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 activeTab="1"/>
  </bookViews>
  <sheets>
    <sheet name="แผ่นพื้น-คาน-เสา-ฐานรากวางบนดิน" sheetId="1" r:id="rId1"/>
    <sheet name="ฐานรากวางบนเสาเข็ม" sheetId="2" r:id="rId2"/>
  </sheets>
  <definedNames>
    <definedName name="Av">'แผ่นพื้น-คาน-เสา-ฐานรากวางบนดิน'!$B$142</definedName>
    <definedName name="b">'แผ่นพื้น-คาน-เสา-ฐานรากวางบนดิน'!$C$116</definedName>
    <definedName name="cov">'แผ่นพื้น-คาน-เสา-ฐานรากวางบนดิน'!$B$123</definedName>
    <definedName name="fcu">'แผ่นพื้น-คาน-เสา-ฐานรากวางบนดิน'!$B$12</definedName>
    <definedName name="fsy">'แผ่นพื้น-คาน-เสา-ฐานรากวางบนดิน'!$F$14</definedName>
    <definedName name="fy">'แผ่นพื้น-คาน-เสา-ฐานรากวางบนดิน'!$B$14</definedName>
    <definedName name="h">'แผ่นพื้น-คาน-เสา-ฐานรากวางบนดิน'!$C$117</definedName>
    <definedName name="m">#REF!</definedName>
    <definedName name="pM">'แผ่นพื้น-คาน-เสา-ฐานรากวางบนดิน'!$B$29</definedName>
    <definedName name="pMax">#REF!</definedName>
    <definedName name="pMin">'แผ่นพื้น-คาน-เสา-ฐานรากวางบนดิน'!$B$23</definedName>
    <definedName name="pV">'แผ่นพื้น-คาน-เสา-ฐานรากวางบนดิน'!$B$30</definedName>
    <definedName name="Rnt">'แผ่นพื้น-คาน-เสา-ฐานรากวางบนดิน'!$B$19</definedName>
  </definedNames>
  <calcPr calcId="144525"/>
</workbook>
</file>

<file path=xl/calcChain.xml><?xml version="1.0" encoding="utf-8"?>
<calcChain xmlns="http://schemas.openxmlformats.org/spreadsheetml/2006/main">
  <c r="B193" i="2" l="1"/>
  <c r="B184" i="2"/>
  <c r="B180" i="2"/>
  <c r="B178" i="2"/>
  <c r="B176" i="2"/>
  <c r="I175" i="2"/>
  <c r="I176" i="2" s="1"/>
  <c r="B171" i="2"/>
  <c r="B172" i="2" s="1"/>
  <c r="B173" i="2" s="1"/>
  <c r="B189" i="2" s="1"/>
  <c r="I169" i="2"/>
  <c r="I168" i="2"/>
  <c r="B168" i="2"/>
  <c r="B167" i="2"/>
  <c r="B166" i="2"/>
  <c r="I163" i="2"/>
  <c r="I164" i="2" s="1"/>
  <c r="I165" i="2" s="1"/>
  <c r="I160" i="2"/>
  <c r="K158" i="2" s="1"/>
  <c r="I159" i="2"/>
  <c r="I158" i="2"/>
  <c r="B153" i="2"/>
  <c r="B144" i="2"/>
  <c r="B140" i="2"/>
  <c r="B146" i="2" s="1"/>
  <c r="B138" i="2"/>
  <c r="B136" i="2"/>
  <c r="I135" i="2"/>
  <c r="I136" i="2" s="1"/>
  <c r="I128" i="2"/>
  <c r="I129" i="2" s="1"/>
  <c r="D126" i="2"/>
  <c r="B126" i="2"/>
  <c r="B127" i="2" s="1"/>
  <c r="B128" i="2" s="1"/>
  <c r="I118" i="2"/>
  <c r="B109" i="2"/>
  <c r="B102" i="2"/>
  <c r="B99" i="2"/>
  <c r="B86" i="2"/>
  <c r="B87" i="2" s="1"/>
  <c r="B88" i="2" s="1"/>
  <c r="B83" i="2"/>
  <c r="I78" i="2"/>
  <c r="I77" i="2"/>
  <c r="I76" i="2"/>
  <c r="B68" i="2"/>
  <c r="B67" i="2"/>
  <c r="I66" i="2"/>
  <c r="B65" i="2"/>
  <c r="B56" i="2"/>
  <c r="B53" i="2"/>
  <c r="B51" i="2"/>
  <c r="B49" i="2"/>
  <c r="I48" i="2"/>
  <c r="I49" i="2" s="1"/>
  <c r="I41" i="2"/>
  <c r="I42" i="2" s="1"/>
  <c r="B40" i="2"/>
  <c r="B41" i="2" s="1"/>
  <c r="D39" i="2"/>
  <c r="B39" i="2"/>
  <c r="B44" i="2" s="1"/>
  <c r="B45" i="2" s="1"/>
  <c r="B46" i="2" s="1"/>
  <c r="B61" i="2" s="1"/>
  <c r="I31" i="2"/>
  <c r="D25" i="2"/>
  <c r="B25" i="2"/>
  <c r="F25" i="2" s="1"/>
  <c r="B24" i="2"/>
  <c r="B20" i="2"/>
  <c r="E18" i="2"/>
  <c r="B14" i="2"/>
  <c r="B13" i="2"/>
  <c r="B8" i="2"/>
  <c r="B9" i="2" s="1"/>
  <c r="B10" i="2" s="1"/>
  <c r="J3" i="2"/>
  <c r="J2" i="2"/>
  <c r="B304" i="1"/>
  <c r="B299" i="1"/>
  <c r="B288" i="1"/>
  <c r="B289" i="1" s="1"/>
  <c r="B287" i="1"/>
  <c r="B277" i="1"/>
  <c r="B276" i="1"/>
  <c r="B274" i="1"/>
  <c r="B302" i="1" s="1"/>
  <c r="B269" i="1"/>
  <c r="B285" i="1" s="1"/>
  <c r="B267" i="1"/>
  <c r="F244" i="1"/>
  <c r="F240" i="1"/>
  <c r="C237" i="1"/>
  <c r="B237" i="1"/>
  <c r="F237" i="1" s="1"/>
  <c r="F234" i="1"/>
  <c r="D234" i="1"/>
  <c r="C234" i="1"/>
  <c r="B234" i="1"/>
  <c r="D222" i="1"/>
  <c r="O174" i="1" s="1"/>
  <c r="O176" i="1" s="1"/>
  <c r="O177" i="1" s="1"/>
  <c r="O184" i="1" s="1"/>
  <c r="S212" i="1"/>
  <c r="R212" i="1"/>
  <c r="Q212" i="1"/>
  <c r="N212" i="1"/>
  <c r="S211" i="1"/>
  <c r="N211" i="1"/>
  <c r="Q211" i="1" s="1"/>
  <c r="R211" i="1" s="1"/>
  <c r="S210" i="1"/>
  <c r="N210" i="1"/>
  <c r="Q210" i="1" s="1"/>
  <c r="R210" i="1" s="1"/>
  <c r="S209" i="1"/>
  <c r="N209" i="1"/>
  <c r="Q209" i="1" s="1"/>
  <c r="R209" i="1" s="1"/>
  <c r="D207" i="1"/>
  <c r="D205" i="1"/>
  <c r="D190" i="1"/>
  <c r="D181" i="1"/>
  <c r="D180" i="1"/>
  <c r="D175" i="1"/>
  <c r="D206" i="1" s="1"/>
  <c r="E208" i="1" s="1"/>
  <c r="D173" i="1"/>
  <c r="D184" i="1" s="1"/>
  <c r="J13" i="2" s="1"/>
  <c r="J14" i="2" s="1"/>
  <c r="N169" i="1"/>
  <c r="M169" i="1"/>
  <c r="L169" i="1"/>
  <c r="O169" i="1" s="1"/>
  <c r="K169" i="1"/>
  <c r="N168" i="1"/>
  <c r="M168" i="1"/>
  <c r="L168" i="1"/>
  <c r="O168" i="1" s="1"/>
  <c r="K168" i="1"/>
  <c r="N167" i="1"/>
  <c r="M167" i="1"/>
  <c r="K167" i="1"/>
  <c r="L167" i="1" s="1"/>
  <c r="O167" i="1" s="1"/>
  <c r="N166" i="1"/>
  <c r="M166" i="1"/>
  <c r="L166" i="1"/>
  <c r="K166" i="1"/>
  <c r="D166" i="1"/>
  <c r="D167" i="1" s="1"/>
  <c r="D165" i="1"/>
  <c r="N163" i="1"/>
  <c r="K163" i="1"/>
  <c r="N162" i="1"/>
  <c r="O162" i="1" s="1"/>
  <c r="K162" i="1"/>
  <c r="K161" i="1"/>
  <c r="N161" i="1" s="1"/>
  <c r="O161" i="1" s="1"/>
  <c r="K160" i="1"/>
  <c r="N160" i="1" s="1"/>
  <c r="D160" i="1"/>
  <c r="B145" i="1"/>
  <c r="B144" i="1"/>
  <c r="B143" i="1"/>
  <c r="E141" i="1"/>
  <c r="B142" i="1" s="1"/>
  <c r="B151" i="1" s="1"/>
  <c r="B128" i="1"/>
  <c r="B124" i="1"/>
  <c r="B125" i="1" s="1"/>
  <c r="B123" i="1"/>
  <c r="C115" i="1"/>
  <c r="J111" i="1"/>
  <c r="J110" i="1"/>
  <c r="H108" i="1"/>
  <c r="J103" i="1"/>
  <c r="J100" i="1"/>
  <c r="H100" i="1"/>
  <c r="J95" i="1"/>
  <c r="J94" i="1"/>
  <c r="J92" i="1"/>
  <c r="H92" i="1"/>
  <c r="J91" i="1"/>
  <c r="J87" i="1"/>
  <c r="J86" i="1"/>
  <c r="H84" i="1"/>
  <c r="J83" i="1"/>
  <c r="J79" i="1"/>
  <c r="J78" i="1"/>
  <c r="J76" i="1"/>
  <c r="H76" i="1"/>
  <c r="J75" i="1"/>
  <c r="J71" i="1"/>
  <c r="J70" i="1"/>
  <c r="J68" i="1"/>
  <c r="H68" i="1"/>
  <c r="J63" i="1"/>
  <c r="J62" i="1"/>
  <c r="J60" i="1"/>
  <c r="H60" i="1"/>
  <c r="J59" i="1"/>
  <c r="D59" i="1"/>
  <c r="J55" i="1"/>
  <c r="J54" i="1"/>
  <c r="J52" i="1"/>
  <c r="H52" i="1"/>
  <c r="J51" i="1"/>
  <c r="D51" i="1"/>
  <c r="D50" i="1"/>
  <c r="D48" i="1"/>
  <c r="D49" i="1" s="1"/>
  <c r="J47" i="1"/>
  <c r="J46" i="1"/>
  <c r="K45" i="1"/>
  <c r="I45" i="1"/>
  <c r="J44" i="1"/>
  <c r="H44" i="1"/>
  <c r="J43" i="1"/>
  <c r="D39" i="1"/>
  <c r="D37" i="1"/>
  <c r="F27" i="1"/>
  <c r="B27" i="1"/>
  <c r="F26" i="1"/>
  <c r="B26" i="1"/>
  <c r="B23" i="1" s="1"/>
  <c r="F24" i="1"/>
  <c r="O205" i="1" s="1"/>
  <c r="F23" i="1"/>
  <c r="B271" i="1" s="1"/>
  <c r="B18" i="1"/>
  <c r="N19" i="1" s="1"/>
  <c r="B17" i="1"/>
  <c r="N78" i="1" l="1"/>
  <c r="R78" i="1" s="1"/>
  <c r="N60" i="1"/>
  <c r="R60" i="1" s="1"/>
  <c r="V60" i="1" s="1"/>
  <c r="Z60" i="1" s="1"/>
  <c r="AD60" i="1" s="1"/>
  <c r="AH60" i="1" s="1"/>
  <c r="N68" i="1"/>
  <c r="R68" i="1" s="1"/>
  <c r="V68" i="1" s="1"/>
  <c r="Z68" i="1" s="1"/>
  <c r="AD68" i="1" s="1"/>
  <c r="AH68" i="1" s="1"/>
  <c r="D63" i="1"/>
  <c r="D64" i="1" s="1"/>
  <c r="D65" i="1" s="1"/>
  <c r="D66" i="1" s="1"/>
  <c r="D67" i="1" s="1"/>
  <c r="D68" i="1" s="1"/>
  <c r="D55" i="1"/>
  <c r="D53" i="1"/>
  <c r="N40" i="1"/>
  <c r="N44" i="1" s="1"/>
  <c r="R44" i="1" s="1"/>
  <c r="V44" i="1" s="1"/>
  <c r="Z44" i="1" s="1"/>
  <c r="AD44" i="1" s="1"/>
  <c r="AH44" i="1" s="1"/>
  <c r="N62" i="1"/>
  <c r="R62" i="1" s="1"/>
  <c r="V62" i="1" s="1"/>
  <c r="Z62" i="1" s="1"/>
  <c r="AD62" i="1" s="1"/>
  <c r="AH62" i="1" s="1"/>
  <c r="N70" i="1"/>
  <c r="R70" i="1" s="1"/>
  <c r="V70" i="1" s="1"/>
  <c r="Z70" i="1" s="1"/>
  <c r="AD70" i="1" s="1"/>
  <c r="N110" i="1"/>
  <c r="R110" i="1" s="1"/>
  <c r="V110" i="1" s="1"/>
  <c r="Z110" i="1" s="1"/>
  <c r="AD110" i="1" s="1"/>
  <c r="AH110" i="1" s="1"/>
  <c r="B290" i="1"/>
  <c r="B308" i="1"/>
  <c r="N43" i="1"/>
  <c r="R43" i="1" s="1"/>
  <c r="V43" i="1" s="1"/>
  <c r="Z43" i="1" s="1"/>
  <c r="AD43" i="1" s="1"/>
  <c r="AH43" i="1" s="1"/>
  <c r="N52" i="1"/>
  <c r="R52" i="1" s="1"/>
  <c r="V52" i="1" s="1"/>
  <c r="Z52" i="1" s="1"/>
  <c r="AD52" i="1" s="1"/>
  <c r="AH52" i="1" s="1"/>
  <c r="N86" i="1"/>
  <c r="R86" i="1" s="1"/>
  <c r="V86" i="1" s="1"/>
  <c r="Z86" i="1" s="1"/>
  <c r="AD86" i="1" s="1"/>
  <c r="N46" i="1"/>
  <c r="R46" i="1" s="1"/>
  <c r="N54" i="1"/>
  <c r="R54" i="1" s="1"/>
  <c r="V54" i="1" s="1"/>
  <c r="Z54" i="1" s="1"/>
  <c r="AD54" i="1" s="1"/>
  <c r="AH54" i="1" s="1"/>
  <c r="N75" i="1"/>
  <c r="R75" i="1" s="1"/>
  <c r="V75" i="1" s="1"/>
  <c r="Z75" i="1" s="1"/>
  <c r="AD75" i="1" s="1"/>
  <c r="AH75" i="1" s="1"/>
  <c r="F21" i="1"/>
  <c r="F22" i="1"/>
  <c r="O166" i="1"/>
  <c r="J5" i="2"/>
  <c r="B268" i="1"/>
  <c r="D174" i="1"/>
  <c r="D159" i="1"/>
  <c r="Q162" i="1" s="1"/>
  <c r="V78" i="1"/>
  <c r="Z78" i="1" s="1"/>
  <c r="AD78" i="1" s="1"/>
  <c r="AH78" i="1" s="1"/>
  <c r="B21" i="1"/>
  <c r="V46" i="1"/>
  <c r="Z46" i="1" s="1"/>
  <c r="AD46" i="1" s="1"/>
  <c r="AH46" i="1" s="1"/>
  <c r="J108" i="1"/>
  <c r="J107" i="1"/>
  <c r="N107" i="1" s="1"/>
  <c r="R107" i="1" s="1"/>
  <c r="V107" i="1" s="1"/>
  <c r="Z107" i="1" s="1"/>
  <c r="AD107" i="1" s="1"/>
  <c r="J102" i="1"/>
  <c r="N102" i="1" s="1"/>
  <c r="R102" i="1" s="1"/>
  <c r="V102" i="1" s="1"/>
  <c r="Z102" i="1" s="1"/>
  <c r="AD102" i="1" s="1"/>
  <c r="J67" i="1"/>
  <c r="N67" i="1" s="1"/>
  <c r="R67" i="1" s="1"/>
  <c r="V67" i="1" s="1"/>
  <c r="Z67" i="1" s="1"/>
  <c r="AD67" i="1" s="1"/>
  <c r="AH67" i="1" s="1"/>
  <c r="AH70" i="1"/>
  <c r="J84" i="1"/>
  <c r="J99" i="1"/>
  <c r="N99" i="1" s="1"/>
  <c r="R99" i="1" s="1"/>
  <c r="V99" i="1" s="1"/>
  <c r="Z99" i="1" s="1"/>
  <c r="AD99" i="1" s="1"/>
  <c r="AH99" i="1" s="1"/>
  <c r="O160" i="1"/>
  <c r="Q163" i="1"/>
  <c r="D178" i="1"/>
  <c r="J7" i="2" s="1"/>
  <c r="D182" i="1"/>
  <c r="B57" i="2"/>
  <c r="D59" i="2" s="1"/>
  <c r="B110" i="2"/>
  <c r="B145" i="2"/>
  <c r="D147" i="2" s="1"/>
  <c r="B185" i="2"/>
  <c r="D187" i="2" s="1"/>
  <c r="B147" i="2"/>
  <c r="AH102" i="1"/>
  <c r="J9" i="2"/>
  <c r="D185" i="1"/>
  <c r="D215" i="1" s="1"/>
  <c r="I79" i="2"/>
  <c r="I80" i="2" s="1"/>
  <c r="I82" i="2"/>
  <c r="I83" i="2" s="1"/>
  <c r="I84" i="2" s="1"/>
  <c r="B22" i="1"/>
  <c r="B19" i="1" s="1"/>
  <c r="N94" i="1"/>
  <c r="R94" i="1" s="1"/>
  <c r="V94" i="1" s="1"/>
  <c r="Z94" i="1" s="1"/>
  <c r="AD94" i="1" s="1"/>
  <c r="AH94" i="1" s="1"/>
  <c r="N100" i="1"/>
  <c r="R100" i="1" s="1"/>
  <c r="V100" i="1" s="1"/>
  <c r="Z100" i="1" s="1"/>
  <c r="AD100" i="1" s="1"/>
  <c r="AH100" i="1" s="1"/>
  <c r="B146" i="1"/>
  <c r="O188" i="1"/>
  <c r="O198" i="1"/>
  <c r="O193" i="1"/>
  <c r="F243" i="1"/>
  <c r="F245" i="1" s="1"/>
  <c r="F239" i="1"/>
  <c r="F241" i="1"/>
  <c r="B62" i="2"/>
  <c r="B63" i="2" s="1"/>
  <c r="I87" i="2"/>
  <c r="I88" i="2" s="1"/>
  <c r="B111" i="2"/>
  <c r="B112" i="2" s="1"/>
  <c r="B103" i="2"/>
  <c r="I95" i="2"/>
  <c r="I96" i="2" s="1"/>
  <c r="B96" i="2"/>
  <c r="B97" i="2" s="1"/>
  <c r="I101" i="2"/>
  <c r="I113" i="2" s="1"/>
  <c r="I93" i="2"/>
  <c r="AH86" i="1"/>
  <c r="AH107" i="1"/>
  <c r="O163" i="1"/>
  <c r="O175" i="1"/>
  <c r="O180" i="1" s="1"/>
  <c r="D191" i="1"/>
  <c r="D198" i="1" s="1"/>
  <c r="D193" i="1"/>
  <c r="D194" i="1" s="1"/>
  <c r="D211" i="1" s="1"/>
  <c r="B21" i="2"/>
  <c r="B17" i="2"/>
  <c r="B18" i="2" s="1"/>
  <c r="J10" i="2"/>
  <c r="C208" i="1"/>
  <c r="B305" i="1"/>
  <c r="I71" i="2"/>
  <c r="B58" i="2"/>
  <c r="I32" i="2"/>
  <c r="B104" i="2"/>
  <c r="I177" i="2"/>
  <c r="I178" i="2" s="1"/>
  <c r="I182" i="2"/>
  <c r="I170" i="2"/>
  <c r="I171" i="2" s="1"/>
  <c r="B91" i="2"/>
  <c r="B92" i="2" s="1"/>
  <c r="B93" i="2" s="1"/>
  <c r="B95" i="2" s="1"/>
  <c r="B131" i="2"/>
  <c r="B132" i="2" s="1"/>
  <c r="B133" i="2" s="1"/>
  <c r="B149" i="2" s="1"/>
  <c r="B150" i="2" s="1"/>
  <c r="B151" i="2" s="1"/>
  <c r="I161" i="2"/>
  <c r="I192" i="2"/>
  <c r="B186" i="2"/>
  <c r="I119" i="2"/>
  <c r="I152" i="2"/>
  <c r="I120" i="2" l="1"/>
  <c r="I121" i="2" s="1"/>
  <c r="I123" i="2"/>
  <c r="I124" i="2" s="1"/>
  <c r="I125" i="2" s="1"/>
  <c r="D214" i="1"/>
  <c r="I214" i="1" s="1"/>
  <c r="D217" i="1"/>
  <c r="D212" i="1"/>
  <c r="B147" i="1"/>
  <c r="A153" i="1" s="1"/>
  <c r="B152" i="1"/>
  <c r="B148" i="1"/>
  <c r="B187" i="2"/>
  <c r="I185" i="2"/>
  <c r="I127" i="2"/>
  <c r="I167" i="2"/>
  <c r="K172" i="2" s="1"/>
  <c r="I86" i="2"/>
  <c r="I40" i="2"/>
  <c r="D18" i="2"/>
  <c r="G18" i="2"/>
  <c r="N181" i="1"/>
  <c r="P181" i="1"/>
  <c r="O202" i="1"/>
  <c r="O203" i="1" s="1"/>
  <c r="O204" i="1" s="1"/>
  <c r="O206" i="1" s="1"/>
  <c r="B190" i="2"/>
  <c r="B191" i="2" s="1"/>
  <c r="D112" i="2"/>
  <c r="N84" i="1"/>
  <c r="R84" i="1" s="1"/>
  <c r="V84" i="1" s="1"/>
  <c r="Z84" i="1" s="1"/>
  <c r="AD84" i="1" s="1"/>
  <c r="AH84" i="1" s="1"/>
  <c r="N108" i="1"/>
  <c r="R108" i="1" s="1"/>
  <c r="V108" i="1" s="1"/>
  <c r="Z108" i="1" s="1"/>
  <c r="AD108" i="1" s="1"/>
  <c r="AH108" i="1" s="1"/>
  <c r="I186" i="2"/>
  <c r="I187" i="2" s="1"/>
  <c r="N92" i="1"/>
  <c r="R92" i="1" s="1"/>
  <c r="V92" i="1" s="1"/>
  <c r="Z92" i="1" s="1"/>
  <c r="AD92" i="1" s="1"/>
  <c r="AH92" i="1" s="1"/>
  <c r="B313" i="1"/>
  <c r="B309" i="1"/>
  <c r="N76" i="1"/>
  <c r="R76" i="1" s="1"/>
  <c r="V76" i="1" s="1"/>
  <c r="Z76" i="1" s="1"/>
  <c r="AD76" i="1" s="1"/>
  <c r="AH76" i="1" s="1"/>
  <c r="N83" i="1"/>
  <c r="R83" i="1" s="1"/>
  <c r="V83" i="1" s="1"/>
  <c r="Z83" i="1" s="1"/>
  <c r="AD83" i="1" s="1"/>
  <c r="AH83" i="1" s="1"/>
  <c r="E24" i="2"/>
  <c r="F24" i="2"/>
  <c r="D24" i="2"/>
  <c r="P189" i="1"/>
  <c r="D216" i="1"/>
  <c r="O192" i="1"/>
  <c r="P194" i="1" s="1"/>
  <c r="Q160" i="1"/>
  <c r="Q161" i="1"/>
  <c r="D168" i="1"/>
  <c r="D169" i="1" s="1"/>
  <c r="B293" i="1"/>
  <c r="B292" i="1"/>
  <c r="J11" i="2"/>
  <c r="J12" i="2" s="1"/>
  <c r="I47" i="2" s="1"/>
  <c r="D183" i="1"/>
  <c r="O187" i="1" s="1"/>
  <c r="N189" i="1" s="1"/>
  <c r="I36" i="2"/>
  <c r="I37" i="2" s="1"/>
  <c r="I38" i="2" s="1"/>
  <c r="I33" i="2"/>
  <c r="I34" i="2" s="1"/>
  <c r="B272" i="1"/>
  <c r="B291" i="1" s="1"/>
  <c r="D292" i="1" s="1"/>
  <c r="D179" i="1"/>
  <c r="B127" i="1"/>
  <c r="D58" i="1"/>
  <c r="B59" i="2"/>
  <c r="N194" i="1"/>
  <c r="I89" i="2"/>
  <c r="I90" i="2" s="1"/>
  <c r="I97" i="2"/>
  <c r="I98" i="2" s="1"/>
  <c r="I103" i="2"/>
  <c r="I188" i="2"/>
  <c r="I148" i="2"/>
  <c r="I68" i="2"/>
  <c r="I69" i="2" s="1"/>
  <c r="I62" i="2"/>
  <c r="I109" i="2"/>
  <c r="B294" i="1"/>
  <c r="B295" i="1" s="1"/>
  <c r="B297" i="1" s="1"/>
  <c r="B300" i="1" s="1"/>
  <c r="B270" i="1"/>
  <c r="D177" i="1"/>
  <c r="J6" i="2" s="1"/>
  <c r="N127" i="1"/>
  <c r="H127" i="1" s="1"/>
  <c r="N109" i="1"/>
  <c r="R109" i="1" s="1"/>
  <c r="V109" i="1" s="1"/>
  <c r="Z109" i="1" s="1"/>
  <c r="AD109" i="1" s="1"/>
  <c r="AH109" i="1" s="1"/>
  <c r="O101" i="1"/>
  <c r="S101" i="1" s="1"/>
  <c r="W101" i="1" s="1"/>
  <c r="AA101" i="1" s="1"/>
  <c r="AE101" i="1" s="1"/>
  <c r="AI101" i="1" s="1"/>
  <c r="M85" i="1"/>
  <c r="Q85" i="1" s="1"/>
  <c r="U85" i="1" s="1"/>
  <c r="Y85" i="1" s="1"/>
  <c r="AC85" i="1" s="1"/>
  <c r="AG85" i="1" s="1"/>
  <c r="O109" i="1"/>
  <c r="S109" i="1" s="1"/>
  <c r="W109" i="1" s="1"/>
  <c r="AA109" i="1" s="1"/>
  <c r="AE109" i="1" s="1"/>
  <c r="AI109" i="1" s="1"/>
  <c r="O77" i="1"/>
  <c r="S77" i="1" s="1"/>
  <c r="W77" i="1" s="1"/>
  <c r="AA77" i="1" s="1"/>
  <c r="AE77" i="1" s="1"/>
  <c r="AI77" i="1" s="1"/>
  <c r="O53" i="1"/>
  <c r="S53" i="1" s="1"/>
  <c r="W53" i="1" s="1"/>
  <c r="AA53" i="1" s="1"/>
  <c r="AE53" i="1" s="1"/>
  <c r="AI53" i="1" s="1"/>
  <c r="N85" i="1"/>
  <c r="R85" i="1" s="1"/>
  <c r="V85" i="1" s="1"/>
  <c r="Z85" i="1" s="1"/>
  <c r="AD85" i="1" s="1"/>
  <c r="AH85" i="1" s="1"/>
  <c r="N77" i="1"/>
  <c r="R77" i="1" s="1"/>
  <c r="V77" i="1" s="1"/>
  <c r="Z77" i="1" s="1"/>
  <c r="AD77" i="1" s="1"/>
  <c r="AH77" i="1" s="1"/>
  <c r="O69" i="1"/>
  <c r="S69" i="1" s="1"/>
  <c r="W69" i="1" s="1"/>
  <c r="AA69" i="1" s="1"/>
  <c r="AE69" i="1" s="1"/>
  <c r="AI69" i="1" s="1"/>
  <c r="M109" i="1"/>
  <c r="Q109" i="1" s="1"/>
  <c r="U109" i="1" s="1"/>
  <c r="Y109" i="1" s="1"/>
  <c r="AC109" i="1" s="1"/>
  <c r="AG109" i="1" s="1"/>
  <c r="O93" i="1"/>
  <c r="S93" i="1" s="1"/>
  <c r="W93" i="1" s="1"/>
  <c r="AA93" i="1" s="1"/>
  <c r="AE93" i="1" s="1"/>
  <c r="AI93" i="1" s="1"/>
  <c r="N91" i="1"/>
  <c r="R91" i="1" s="1"/>
  <c r="V91" i="1" s="1"/>
  <c r="Z91" i="1" s="1"/>
  <c r="AD91" i="1" s="1"/>
  <c r="AH91" i="1" s="1"/>
  <c r="N61" i="1"/>
  <c r="R61" i="1" s="1"/>
  <c r="V61" i="1" s="1"/>
  <c r="Z61" i="1" s="1"/>
  <c r="AD61" i="1" s="1"/>
  <c r="AH61" i="1" s="1"/>
  <c r="M53" i="1"/>
  <c r="Q53" i="1" s="1"/>
  <c r="U53" i="1" s="1"/>
  <c r="Y53" i="1" s="1"/>
  <c r="AC53" i="1" s="1"/>
  <c r="AG53" i="1" s="1"/>
  <c r="N93" i="1"/>
  <c r="R93" i="1" s="1"/>
  <c r="V93" i="1" s="1"/>
  <c r="Z93" i="1" s="1"/>
  <c r="AD93" i="1" s="1"/>
  <c r="AH93" i="1" s="1"/>
  <c r="M77" i="1"/>
  <c r="Q77" i="1" s="1"/>
  <c r="U77" i="1" s="1"/>
  <c r="Y77" i="1" s="1"/>
  <c r="AC77" i="1" s="1"/>
  <c r="AG77" i="1" s="1"/>
  <c r="N69" i="1"/>
  <c r="R69" i="1" s="1"/>
  <c r="V69" i="1" s="1"/>
  <c r="Z69" i="1" s="1"/>
  <c r="AD69" i="1" s="1"/>
  <c r="AH69" i="1" s="1"/>
  <c r="M61" i="1"/>
  <c r="Q61" i="1" s="1"/>
  <c r="U61" i="1" s="1"/>
  <c r="Y61" i="1" s="1"/>
  <c r="AC61" i="1" s="1"/>
  <c r="AG61" i="1" s="1"/>
  <c r="N101" i="1"/>
  <c r="R101" i="1" s="1"/>
  <c r="V101" i="1" s="1"/>
  <c r="Z101" i="1" s="1"/>
  <c r="AD101" i="1" s="1"/>
  <c r="AH101" i="1" s="1"/>
  <c r="M93" i="1"/>
  <c r="Q93" i="1" s="1"/>
  <c r="U93" i="1" s="1"/>
  <c r="Y93" i="1" s="1"/>
  <c r="AC93" i="1" s="1"/>
  <c r="AG93" i="1" s="1"/>
  <c r="M69" i="1"/>
  <c r="Q69" i="1" s="1"/>
  <c r="U69" i="1" s="1"/>
  <c r="Y69" i="1" s="1"/>
  <c r="AC69" i="1" s="1"/>
  <c r="AG69" i="1" s="1"/>
  <c r="N45" i="1"/>
  <c r="R45" i="1" s="1"/>
  <c r="V45" i="1" s="1"/>
  <c r="Z45" i="1" s="1"/>
  <c r="AD45" i="1" s="1"/>
  <c r="AH45" i="1" s="1"/>
  <c r="M101" i="1"/>
  <c r="Q101" i="1" s="1"/>
  <c r="U101" i="1" s="1"/>
  <c r="Y101" i="1" s="1"/>
  <c r="AC101" i="1" s="1"/>
  <c r="AG101" i="1" s="1"/>
  <c r="O85" i="1"/>
  <c r="S85" i="1" s="1"/>
  <c r="W85" i="1" s="1"/>
  <c r="AA85" i="1" s="1"/>
  <c r="AE85" i="1" s="1"/>
  <c r="AI85" i="1" s="1"/>
  <c r="O61" i="1"/>
  <c r="S61" i="1" s="1"/>
  <c r="W61" i="1" s="1"/>
  <c r="AA61" i="1" s="1"/>
  <c r="AE61" i="1" s="1"/>
  <c r="AI61" i="1" s="1"/>
  <c r="N53" i="1"/>
  <c r="R53" i="1" s="1"/>
  <c r="V53" i="1" s="1"/>
  <c r="Z53" i="1" s="1"/>
  <c r="AD53" i="1" s="1"/>
  <c r="AH53" i="1" s="1"/>
  <c r="O45" i="1"/>
  <c r="S45" i="1" s="1"/>
  <c r="W45" i="1" s="1"/>
  <c r="AA45" i="1" s="1"/>
  <c r="AE45" i="1" s="1"/>
  <c r="AI45" i="1" s="1"/>
  <c r="M45" i="1"/>
  <c r="Q45" i="1" s="1"/>
  <c r="U45" i="1" s="1"/>
  <c r="Y45" i="1" s="1"/>
  <c r="AC45" i="1" s="1"/>
  <c r="AG45" i="1" s="1"/>
  <c r="N51" i="1"/>
  <c r="R51" i="1" s="1"/>
  <c r="V51" i="1" s="1"/>
  <c r="Z51" i="1" s="1"/>
  <c r="AD51" i="1" s="1"/>
  <c r="AH51" i="1" s="1"/>
  <c r="N59" i="1"/>
  <c r="R59" i="1" s="1"/>
  <c r="V59" i="1" s="1"/>
  <c r="Z59" i="1" s="1"/>
  <c r="AD59" i="1" s="1"/>
  <c r="AH59" i="1" s="1"/>
  <c r="O212" i="1" l="1"/>
  <c r="O210" i="1"/>
  <c r="O211" i="1"/>
  <c r="O209" i="1"/>
  <c r="K91" i="2"/>
  <c r="I91" i="2"/>
  <c r="I189" i="2"/>
  <c r="I190" i="2" s="1"/>
  <c r="I174" i="2"/>
  <c r="I106" i="2"/>
  <c r="I107" i="2" s="1"/>
  <c r="I108" i="2" s="1"/>
  <c r="I110" i="2" s="1"/>
  <c r="I111" i="2" s="1"/>
  <c r="J8" i="2"/>
  <c r="O197" i="1"/>
  <c r="L162" i="1"/>
  <c r="L161" i="1"/>
  <c r="L163" i="1"/>
  <c r="L160" i="1"/>
  <c r="D218" i="1"/>
  <c r="I218" i="1" s="1"/>
  <c r="I94" i="2"/>
  <c r="I99" i="2" s="1"/>
  <c r="B154" i="1"/>
  <c r="K99" i="2"/>
  <c r="I55" i="2"/>
  <c r="I50" i="2"/>
  <c r="I51" i="2" s="1"/>
  <c r="I43" i="2"/>
  <c r="I44" i="2" s="1"/>
  <c r="I134" i="2"/>
  <c r="D213" i="1"/>
  <c r="I213" i="1" s="1"/>
  <c r="I172" i="2"/>
  <c r="I130" i="2"/>
  <c r="I131" i="2" s="1"/>
  <c r="I137" i="2"/>
  <c r="I138" i="2" s="1"/>
  <c r="I142" i="2"/>
  <c r="G120" i="1"/>
  <c r="B136" i="1"/>
  <c r="B138" i="1"/>
  <c r="B129" i="1"/>
  <c r="B134" i="1"/>
  <c r="B133" i="1"/>
  <c r="B135" i="1"/>
  <c r="H129" i="1"/>
  <c r="B130" i="1"/>
  <c r="B131" i="1" s="1"/>
  <c r="B132" i="1" s="1"/>
  <c r="B137" i="1" s="1"/>
  <c r="B314" i="1"/>
  <c r="B315" i="1"/>
  <c r="B153" i="1"/>
  <c r="K139" i="2" l="1"/>
  <c r="I139" i="2"/>
  <c r="I132" i="2"/>
  <c r="K132" i="2"/>
  <c r="K45" i="2"/>
  <c r="I45" i="2"/>
  <c r="I120" i="1"/>
  <c r="E120" i="1"/>
  <c r="I52" i="2"/>
  <c r="K52" i="2"/>
  <c r="N199" i="1"/>
  <c r="P199" i="1"/>
  <c r="K143" i="2"/>
  <c r="I145" i="2"/>
  <c r="I146" i="2" s="1"/>
  <c r="I147" i="2" s="1"/>
  <c r="I149" i="2" s="1"/>
  <c r="I150" i="2" s="1"/>
  <c r="I143" i="2"/>
  <c r="I59" i="2"/>
  <c r="I60" i="2" s="1"/>
  <c r="I61" i="2" s="1"/>
  <c r="I63" i="2" s="1"/>
  <c r="I64" i="2" s="1"/>
  <c r="I181" i="2"/>
  <c r="I141" i="2"/>
  <c r="I102" i="2"/>
  <c r="I54" i="2"/>
  <c r="K56" i="2" s="1"/>
  <c r="K179" i="2"/>
  <c r="I179" i="2"/>
  <c r="K183" i="2" l="1"/>
  <c r="I183" i="2"/>
  <c r="I56" i="2"/>
  <c r="I104" i="2"/>
  <c r="K104" i="2"/>
</calcChain>
</file>

<file path=xl/sharedStrings.xml><?xml version="1.0" encoding="utf-8"?>
<sst xmlns="http://schemas.openxmlformats.org/spreadsheetml/2006/main" count="1496" uniqueCount="562">
  <si>
    <t>RC design วิธีกำลัง</t>
  </si>
  <si>
    <t>อ้างอิงตามมาตรฐาน วสท. 011008-21</t>
  </si>
  <si>
    <t>คำชี้แจง :</t>
  </si>
  <si>
    <t>สเปรดชีตนี้ใช้สำหรับช่วยวิศวกรออกแบบอาคารคอนกรีตเสริมเหล็ก ซึ่งการนำข้อมูลไปใช้นั้น</t>
  </si>
  <si>
    <t>start 1/1/2566 by Dr.Sorakarn Sritong-on</t>
  </si>
  <si>
    <t>เป็นดุลพินิจของวิศวกรผู้ใช้ เพราะวิศวกรเป็นผู้รับผิดชอบต่อการคำนวณออกแบบนั้นตามกฎหมาย</t>
  </si>
  <si>
    <t>latest update 14/06/2567</t>
  </si>
  <si>
    <t>โดยสเปรดชีตนี้เป็นเพียงเครื่องมือช่วยเท่านั้น</t>
  </si>
  <si>
    <t>ป้อนข้อมูล</t>
  </si>
  <si>
    <t>ผลลัพธ์สำคัญ</t>
  </si>
  <si>
    <t>รายการคำนวณ</t>
  </si>
  <si>
    <t>สมบัติของวัสดุ</t>
  </si>
  <si>
    <t>fc'</t>
  </si>
  <si>
    <t>ksc</t>
  </si>
  <si>
    <t>เหล็กเส้นกลมผิวเรียบ (RB)</t>
  </si>
  <si>
    <t>เหล็กข้ออ้อย (DB)</t>
  </si>
  <si>
    <t>fy</t>
  </si>
  <si>
    <t>พารามิเตอร์</t>
  </si>
  <si>
    <t>fc</t>
  </si>
  <si>
    <t>0.85fc'</t>
  </si>
  <si>
    <t>b1</t>
  </si>
  <si>
    <t>ถ้า fc' &lt;= 280 , b1 = 0.85 แต่ถ้า fc' &gt; 280 , b1 = 0.85 - 0.05[(fc'-280)/70) &gt;= 0.65</t>
  </si>
  <si>
    <t>RnT</t>
  </si>
  <si>
    <t>(pT)fy[1 - 0.5(pT)fy/fc]</t>
  </si>
  <si>
    <t>หรืือ</t>
  </si>
  <si>
    <t>0.375b1fc(1 - 0.1875b1)</t>
  </si>
  <si>
    <t>pB</t>
  </si>
  <si>
    <t>(fc)(b1)(6000)/[fy(6000 + fy)]</t>
  </si>
  <si>
    <t>pT</t>
  </si>
  <si>
    <t>0.375b1fc/fy</t>
  </si>
  <si>
    <t>pMin</t>
  </si>
  <si>
    <t>max(0.8sqrt(fc')/fy, 14/fy)</t>
  </si>
  <si>
    <t>pTemp</t>
  </si>
  <si>
    <t>0.8sqrt(fc')/fy</t>
  </si>
  <si>
    <t>14/fy</t>
  </si>
  <si>
    <t>phiM</t>
  </si>
  <si>
    <t>กฎกระทรวง กำหนดการออกแบบโครงสร้างอาคารและลักษณะและคุณสมบัติของวัสดุที่ใช้ในงานโครงสร้างอาคาร พ.ศ. 2566 ข้อ 8</t>
  </si>
  <si>
    <t>phiV</t>
  </si>
  <si>
    <t>กฎกระทรวงฯ ข้อ 8</t>
  </si>
  <si>
    <t>phiC</t>
  </si>
  <si>
    <t>DLfac</t>
  </si>
  <si>
    <t>กฎกระทรวงฯ ข้อ 7 (1)</t>
  </si>
  <si>
    <t>LLfac</t>
  </si>
  <si>
    <t>ออกแบบแผ่นพื้น</t>
  </si>
  <si>
    <t>#1, #3</t>
  </si>
  <si>
    <t>M- (ขนาน) ด้านสั้น</t>
  </si>
  <si>
    <t>ใช้เหล็กเสริม</t>
  </si>
  <si>
    <t>RB</t>
  </si>
  <si>
    <t>mm</t>
  </si>
  <si>
    <t>#1</t>
  </si>
  <si>
    <t>#2</t>
  </si>
  <si>
    <t>M+ (ขนาน) ด้านสั้น</t>
  </si>
  <si>
    <t>As ต่อ 1 เส้น</t>
  </si>
  <si>
    <t>sq.cm</t>
  </si>
  <si>
    <t>#4, #6</t>
  </si>
  <si>
    <t>M- (ขนาน) ด้านยาว</t>
  </si>
  <si>
    <t>#4</t>
  </si>
  <si>
    <t>#5</t>
  </si>
  <si>
    <t>#6</t>
  </si>
  <si>
    <t>M+ (ขนาน) ด้านยาว</t>
  </si>
  <si>
    <t>ดังนั้น ใช้ fy</t>
  </si>
  <si>
    <t>#3</t>
  </si>
  <si>
    <t>covering</t>
  </si>
  <si>
    <t>cm</t>
  </si>
  <si>
    <t>Wu(S^2)</t>
  </si>
  <si>
    <t>kg-m/m</t>
  </si>
  <si>
    <t>LL</t>
  </si>
  <si>
    <t>kg/sq.m</t>
  </si>
  <si>
    <t>กรณีที่ 1 : ช่วงพื้นภายใน</t>
  </si>
  <si>
    <t>As Use (cm^2/m)</t>
  </si>
  <si>
    <t>SL</t>
  </si>
  <si>
    <t>C</t>
  </si>
  <si>
    <t xml:space="preserve">Mu = C(Wu)S^2 (kg-m/m) </t>
  </si>
  <si>
    <t>Rn = Mu/(phiM)bd^2 (ksc)</t>
  </si>
  <si>
    <t>p = (fc/fy)[1 - sqrt(1-2Rn/fc)]</t>
  </si>
  <si>
    <t>As = pbd (cm^2/m)</t>
  </si>
  <si>
    <t>&lt;มากกว่าหรือเท่ากับ Asmin&gt;</t>
  </si>
  <si>
    <t>spacing (m)</t>
  </si>
  <si>
    <t>S</t>
  </si>
  <si>
    <t>m</t>
  </si>
  <si>
    <t>L</t>
  </si>
  <si>
    <t>กำหนดความหนา (t)</t>
  </si>
  <si>
    <t xml:space="preserve">คิดความกว้างพื้น (b) </t>
  </si>
  <si>
    <t>DL = 2400(ความหนา)</t>
  </si>
  <si>
    <t>Wu = DLfac(DL+SL) + LLfac(LL)</t>
  </si>
  <si>
    <t>กรณีที่ 2 : ไม่ต่อเนื่องกันด้านเดียว (ด้าน L)</t>
  </si>
  <si>
    <t>d = t - covering</t>
  </si>
  <si>
    <t>m = S/L</t>
  </si>
  <si>
    <t>นน.ลงคานด้าน S</t>
  </si>
  <si>
    <t>T/m</t>
  </si>
  <si>
    <t>(Wu)S/3</t>
  </si>
  <si>
    <t>นน.ลงคานด้าน L</t>
  </si>
  <si>
    <t>((Wu)S/3) * (3-m^2)/2</t>
  </si>
  <si>
    <t>กรณีที่ 2 : ไม่ต่อเนื่องกันด้านเดียว (ด้าน S)</t>
  </si>
  <si>
    <t>phiM(Mnt)</t>
  </si>
  <si>
    <t>kg-m</t>
  </si>
  <si>
    <t>phiM(RnT)bd^2</t>
  </si>
  <si>
    <t>AsMin</t>
  </si>
  <si>
    <t>(pTemp)bt</t>
  </si>
  <si>
    <t>Recheck</t>
  </si>
  <si>
    <t>c</t>
  </si>
  <si>
    <t>Mu</t>
  </si>
  <si>
    <t>Rn</t>
  </si>
  <si>
    <t>Mu/(phiM)bd^2</t>
  </si>
  <si>
    <t>p</t>
  </si>
  <si>
    <t>(fc/fy)[1 - sqrt(1-2Rn/fc)]</t>
  </si>
  <si>
    <t>กรณีที่ 3 : ไม่ต่อเนื่องกันสองด้าน (ด้าน L)</t>
  </si>
  <si>
    <t>As</t>
  </si>
  <si>
    <t>pbd</t>
  </si>
  <si>
    <t>AsUse</t>
  </si>
  <si>
    <t>spacing</t>
  </si>
  <si>
    <t>As1/AsUse</t>
  </si>
  <si>
    <t xml:space="preserve">กรณีที่ 3 : ไม่ต่อเนื่องกันสองด้าน (ด้าน S และด้าน L) </t>
  </si>
  <si>
    <t xml:space="preserve">กรณีที่ 3 : ไม่ต่อเนื่องกันสองด้าน (ด้าน S) </t>
  </si>
  <si>
    <t>กรณีที่ 4 : ไม่ต่อเนื่องกันสามด้าน (ด้าน L ต่อเนื่อง)</t>
  </si>
  <si>
    <t>กรณีที่ 4 : ไม่ต่อเนื่องกันสามด้าน (ด้าน S ต่อเนื่อง)</t>
  </si>
  <si>
    <t>กรณีที่ 5 : ไม่ต่อเนื่องกันทั้งสี่ด้าน</t>
  </si>
  <si>
    <t>ออกแบบคาน</t>
  </si>
  <si>
    <t>ใช้เหล็กเสริมหลัก DB</t>
  </si>
  <si>
    <t>b</t>
  </si>
  <si>
    <t>h</t>
  </si>
  <si>
    <t>covering (ล่างเท่ากับบน)</t>
  </si>
  <si>
    <t>(assume การเสริมเหล็กบนและล่างจำนวนใกล้เคียงกัน)</t>
  </si>
  <si>
    <t>T-m</t>
  </si>
  <si>
    <t>phiM*Mnt</t>
  </si>
  <si>
    <t>Vu</t>
  </si>
  <si>
    <t>T</t>
  </si>
  <si>
    <t>d</t>
  </si>
  <si>
    <t>d'</t>
  </si>
  <si>
    <t>d-d'</t>
  </si>
  <si>
    <t>Mnt</t>
  </si>
  <si>
    <t>(RnT)bd^2</t>
  </si>
  <si>
    <t>pT*b*d*fy(d - a/2) โดย a = pT*d*fy/fc =</t>
  </si>
  <si>
    <t>Mu/phiM</t>
  </si>
  <si>
    <t>Mn'</t>
  </si>
  <si>
    <t>(Mu/phiM) - MnT : Case Doubly RC</t>
  </si>
  <si>
    <t>หรือ</t>
  </si>
  <si>
    <t>(Mu - phiM*Rnt)/phiM</t>
  </si>
  <si>
    <t>Mu/(phiM*bd^2) : Case Singly RC</t>
  </si>
  <si>
    <t>(fc/fy)*(1 - sqrt(1 - 2Rn/fc)) : Case Singly RC</t>
  </si>
  <si>
    <t>pUse</t>
  </si>
  <si>
    <t>If p &lt; pMin use pMin : Case Singly RC</t>
  </si>
  <si>
    <t>As1</t>
  </si>
  <si>
    <t>pT*bd : Case Doubly RC</t>
  </si>
  <si>
    <t>As2</t>
  </si>
  <si>
    <t>Mn'/fy(d-d') : Case Doubly RC</t>
  </si>
  <si>
    <t>fs'</t>
  </si>
  <si>
    <t>6000(1 - d'/0.375d) : Case Doubly RC</t>
  </si>
  <si>
    <t>fs' use</t>
  </si>
  <si>
    <t>fs' &lt;= fy : Case Doubly RC</t>
  </si>
  <si>
    <t>Ast</t>
  </si>
  <si>
    <t>pUsebd : Case Singly RC, As1 + As2 : Case Doubly RC</t>
  </si>
  <si>
    <t>Asc</t>
  </si>
  <si>
    <t>As2*fy/fs' : Case Doubly RC</t>
  </si>
  <si>
    <t>ใช้เหล็กลูกตั้งขนาด</t>
  </si>
  <si>
    <t>ปลอก</t>
  </si>
  <si>
    <t>Av ต่อ 1 ปลอก เท่ากับ 2As</t>
  </si>
  <si>
    <t>ดังนั้น Av เท่ากับ</t>
  </si>
  <si>
    <t>fyt</t>
  </si>
  <si>
    <t>Vc</t>
  </si>
  <si>
    <t>0.53sqrt(fc')*b*d</t>
  </si>
  <si>
    <t>Vu/phiV</t>
  </si>
  <si>
    <t>Vs</t>
  </si>
  <si>
    <t>(Vu/phiV) - Vc ถ้า (Vu/phiV) &gt; Vc</t>
  </si>
  <si>
    <t>1.1sqrt(fc')bd</t>
  </si>
  <si>
    <t>2.2sqrt(fc')bd</t>
  </si>
  <si>
    <t>ระยะเรียง เลือกค่าน้อยมาใช้</t>
  </si>
  <si>
    <t>แต่ถ้า Vs &gt; 2.2sqrt(fc')bwd ให้เปลี่ยนขนาดหน้าตัด</t>
  </si>
  <si>
    <t>Av*fyt/3.5b</t>
  </si>
  <si>
    <t>Av*fyt*d/Vs</t>
  </si>
  <si>
    <t>ถ้า Vs &lt; 1.1sqrt(fc')bd ใช้ d/2 แต่ถ้า Vs &gt; 1.1sqrt(fc')bd ใช้ d/4</t>
  </si>
  <si>
    <t>code</t>
  </si>
  <si>
    <t>ถ้า Vs &lt; 1.1sqrt(fc')bd ใช้ 0.60 m แต่ถ้า Vs &gt; 1.1sqrt(fc')bd ใช้ 0.30 m</t>
  </si>
  <si>
    <t>ออกแบบเสาสี่เหลี่ยมปลอกเดี่ยว (แบบรับแรงตามแนวแกนเท่านั้น)</t>
  </si>
  <si>
    <t>fc = 0.85fc'</t>
  </si>
  <si>
    <t>เหล็กยืน, M</t>
  </si>
  <si>
    <t>DB</t>
  </si>
  <si>
    <t>As/เส้น</t>
  </si>
  <si>
    <t>จำนวน</t>
  </si>
  <si>
    <t>เลือกใช้</t>
  </si>
  <si>
    <t>Pg = As/Ag</t>
  </si>
  <si>
    <t>Pu = phiC(0.80)[fc(Ag-As) + fyAs]</t>
  </si>
  <si>
    <t>ด้านแคบสุดของเสา ,t</t>
  </si>
  <si>
    <t>อีกด้านหนึ่งของเสา</t>
  </si>
  <si>
    <t>Pu</t>
  </si>
  <si>
    <t>เหล็กปลอก</t>
  </si>
  <si>
    <t>St, RB</t>
  </si>
  <si>
    <t>M, DB</t>
  </si>
  <si>
    <t>16M</t>
  </si>
  <si>
    <t>48St</t>
  </si>
  <si>
    <t>ด้านแคบ</t>
  </si>
  <si>
    <t>s &lt;=</t>
  </si>
  <si>
    <t>Ag</t>
  </si>
  <si>
    <t>As min = 0.01Ag</t>
  </si>
  <si>
    <t xml:space="preserve">As คำนวณ </t>
  </si>
  <si>
    <t>((Pu/phiC0.8) - fcAg)/(fy-fc)</t>
  </si>
  <si>
    <t>As ที่ต้องการ</t>
  </si>
  <si>
    <t>ออกแบบฐานรากวางบนดิน (สีเหลี่ยมจัตุรัสรับแรงตามแนวแกนเท่านั้น)</t>
  </si>
  <si>
    <t>เมื่อได้ขนาดและความหนาฐานราก นำมาหาค่า P และ Pu จริง</t>
  </si>
  <si>
    <t xml:space="preserve">fc </t>
  </si>
  <si>
    <t>น้ำหนักฐานราก</t>
  </si>
  <si>
    <t>2.4(B^2)(h)</t>
  </si>
  <si>
    <t>น้ำหนักใช้งาน, P</t>
  </si>
  <si>
    <t>น้ำหนักใช้งานจากตอม่อ + น้ำหนักฐานราก</t>
  </si>
  <si>
    <t>น้ำหนักเพิ่มค่าฐานราก</t>
  </si>
  <si>
    <t>DLfac*น้ำหนักฐานราก</t>
  </si>
  <si>
    <t>น้ำหนักเพิ่่มค่า, Pu</t>
  </si>
  <si>
    <t>น้ำหนักเพิ่มค่าจากตอม่อ + น้ำหนักเพิ่มค่าฐานราก</t>
  </si>
  <si>
    <t>ตรวจสอบกำลังแบกทาน</t>
  </si>
  <si>
    <t>กำลังแบกทานใช้งาน, q</t>
  </si>
  <si>
    <t>T/sq.m</t>
  </si>
  <si>
    <t>P/B^2</t>
  </si>
  <si>
    <t>q</t>
  </si>
  <si>
    <t>qa</t>
  </si>
  <si>
    <t xml:space="preserve">vcb </t>
  </si>
  <si>
    <t>หน่วยแรงเฉือนแบบคานที่ยอมให้ = 0.53sqrt(fc')</t>
  </si>
  <si>
    <t>ksm</t>
  </si>
  <si>
    <t>ออกแบบโดยใช้ค่า qu</t>
  </si>
  <si>
    <t>vct</t>
  </si>
  <si>
    <t>หน่่วยแรงเฉือนแบบสองทางที่ยอมให้ = sqrt(fc')</t>
  </si>
  <si>
    <t>กำลังแบกทานเพิ่มค่า, qu</t>
  </si>
  <si>
    <t>Pu/B^2</t>
  </si>
  <si>
    <t>ตรวจสอบแรงเฉือนแบบคาน</t>
  </si>
  <si>
    <t>ด้านแคบสุดของตอม่อ, c</t>
  </si>
  <si>
    <t>ถ้าเป็นเสาสี่เหลี่ยมผืนผ้า เลือกใช้ด้านแคบสุด</t>
  </si>
  <si>
    <t>phiV*Vcb</t>
  </si>
  <si>
    <t>phiV*vcb*B*d</t>
  </si>
  <si>
    <t>น้ำหนักใช้งานจากตอม่อ</t>
  </si>
  <si>
    <t>Vub</t>
  </si>
  <si>
    <t>qu[0.5B(B-c-2d)]</t>
  </si>
  <si>
    <t xml:space="preserve">ประเมินน้ำหนักฐานราก </t>
  </si>
  <si>
    <t>% ของน้ำหนักถ่ายจากตอม่อ</t>
  </si>
  <si>
    <t>น้ำหนักฐานรากประเมิน</t>
  </si>
  <si>
    <t>รวมน้ำหนักใช้งานประเมิน, Pe</t>
  </si>
  <si>
    <t>น้ำหนักใช้งานจากตอม่อ + น้ำหนักฐานรากประเมิน</t>
  </si>
  <si>
    <t>ตรวจสอบแรงเฉือนแบบสองทาง</t>
  </si>
  <si>
    <t>น้ำหนักเพิ่มค่าจากตอม่อ</t>
  </si>
  <si>
    <t>phiV*Vct</t>
  </si>
  <si>
    <t>phiV*vct*(4d^2 + 4cd)</t>
  </si>
  <si>
    <t>น้ำหนักเพิ่มค่าฐานรากประเมิน</t>
  </si>
  <si>
    <t>DLfac*น้ำหนักฐานรากประเมิน</t>
  </si>
  <si>
    <t>Vut</t>
  </si>
  <si>
    <t>qu[B^2 - (d+c)^2]</t>
  </si>
  <si>
    <t>รวมน้ำหนักเพิ่มค่าประเมิน, Pue</t>
  </si>
  <si>
    <t>น้ำหนักเพิ่มค่าจากตอม่อ + น้ำหนักเพิ่มค่าฐานรากประเมิน</t>
  </si>
  <si>
    <t>นำค่าประเมิน Pe มาหาขนาดฐานราก</t>
  </si>
  <si>
    <t>ตรวจสอบโมเมนต์ดัด</t>
  </si>
  <si>
    <t>กำลังแบกทานปลอดภัยของดิน, qa</t>
  </si>
  <si>
    <t>phiM*Rnt*Bd^2</t>
  </si>
  <si>
    <t>ขนาดฐานรากคำนวณ</t>
  </si>
  <si>
    <t>sqrt(Pe/qa)</t>
  </si>
  <si>
    <t>quB(B-c)^2/8</t>
  </si>
  <si>
    <t>เลือกใช้ขนาด, B</t>
  </si>
  <si>
    <t>ต้อง &gt;= ขนาดฐานรากคำนวณ</t>
  </si>
  <si>
    <t>ระยะหุ้มเหล็กเสริมฐานราก, cov</t>
  </si>
  <si>
    <t>มาตรฐาน วสท. 011008-21 ข้อ 7.7.1</t>
  </si>
  <si>
    <t>หาจำนวนเหล็กเสริม</t>
  </si>
  <si>
    <t>ตรวจสอบระยะฝังยึด</t>
  </si>
  <si>
    <t>Mu/(phiM*Bd^2)</t>
  </si>
  <si>
    <t>ระยะฝังยึดต่ำสุด</t>
  </si>
  <si>
    <t>มาตรฐาน วสท. 011008-21 ข้อ 12.2.1</t>
  </si>
  <si>
    <t>(fc/fy)[1 - sqrt(1 - 2Rn/fc)]</t>
  </si>
  <si>
    <t>เลือกใช้เหล็กยืน, db</t>
  </si>
  <si>
    <t>As req</t>
  </si>
  <si>
    <t>cm^2</t>
  </si>
  <si>
    <t>pBd</t>
  </si>
  <si>
    <t>Ab</t>
  </si>
  <si>
    <t>As min</t>
  </si>
  <si>
    <t>pTemp*Bh</t>
  </si>
  <si>
    <t>ระยะฝังพอ, ld</t>
  </si>
  <si>
    <t>fy*db/13.3sqrt(fc') &gt;= 30 cm</t>
  </si>
  <si>
    <t>As use</t>
  </si>
  <si>
    <t>เลือกค่ามากระหว่าง As และ As min</t>
  </si>
  <si>
    <t>ระยะฝัังยึดจริง, Ld</t>
  </si>
  <si>
    <t>[(B - c)/2]  - cov</t>
  </si>
  <si>
    <t>Ld</t>
  </si>
  <si>
    <t>ld</t>
  </si>
  <si>
    <t>ถ้าไม่ผ่าน ลดขนาดเหล็กยืน/เพิ่มขนาดฐานราก</t>
  </si>
  <si>
    <t>ขนาด</t>
  </si>
  <si>
    <t>As ต่อเส้น</t>
  </si>
  <si>
    <t>จำนวนเส้น</t>
  </si>
  <si>
    <t>As รวม</t>
  </si>
  <si>
    <t>ระยะเรียง</t>
  </si>
  <si>
    <t>ไม่ควรเกิน 0.45 m  มาตรฐาน วสท. 011008-21 ข้อ 7.6.5</t>
  </si>
  <si>
    <t>นำค่าประเมิน Pue มาหาความลึกฐานราก</t>
  </si>
  <si>
    <t>กำลังแบกทานเพิ่มค่าประเมิน, que</t>
  </si>
  <si>
    <t>Pue/B^2</t>
  </si>
  <si>
    <t>Mu ที่หน้าตัดวิกฤต</t>
  </si>
  <si>
    <t>queB(B-c)^2/8</t>
  </si>
  <si>
    <t>d เนื่องจาก Mu</t>
  </si>
  <si>
    <t>sqrt(Mu/phiM*Rnt*B)</t>
  </si>
  <si>
    <t>d เนื่องจากแรงเฉือนแบบคาน</t>
  </si>
  <si>
    <t>que(B-c)/[2(phiV*vcb + que)]</t>
  </si>
  <si>
    <t>vub/phiV</t>
  </si>
  <si>
    <t>Vu/(phiV*Bd)</t>
  </si>
  <si>
    <t>k1 = 4phiV*vct + que</t>
  </si>
  <si>
    <t>k2 = 2c(2phiV*vct + que)</t>
  </si>
  <si>
    <t>kg/m</t>
  </si>
  <si>
    <t>k3 = que(c^2 - B^2)</t>
  </si>
  <si>
    <t>kg</t>
  </si>
  <si>
    <t>d เนื่องจากแรงเฉือนแบบเจาะทะลุ</t>
  </si>
  <si>
    <t>(-k2 + sqrt(k2^2 - 4k1k3))/2k1</t>
  </si>
  <si>
    <t>vup/phiv</t>
  </si>
  <si>
    <t>Vu/(phiV*bo*d)</t>
  </si>
  <si>
    <t>d น้อยที่สุด</t>
  </si>
  <si>
    <t>มาตรฐาน วสท. 011008-34 ข้อ 15.7</t>
  </si>
  <si>
    <t>เลือกใช้ d</t>
  </si>
  <si>
    <t>ดังนั้น ความหนาฐานราก, h</t>
  </si>
  <si>
    <t>d + cov</t>
  </si>
  <si>
    <t>การเสริมเหล็กปลอกเสาเพื่อต้านทานการสั่นสะเทือนของแรงแผ่นดินไหว</t>
  </si>
  <si>
    <t>ด้านกว้างของหน้าตัดเสา, c1</t>
  </si>
  <si>
    <t>ด้่านแคบของหน้าตัดเสา, c2</t>
  </si>
  <si>
    <t>ความสูงเสาจากพื้นถึงใต้คาน, H</t>
  </si>
  <si>
    <t>ขนาดเหล็กแกนเสา, M</t>
  </si>
  <si>
    <t>ขนาเหล็กปลอกเสา, S</t>
  </si>
  <si>
    <t>8M</t>
  </si>
  <si>
    <t>24S</t>
  </si>
  <si>
    <t>c2/2</t>
  </si>
  <si>
    <t>ค่าคงที่</t>
  </si>
  <si>
    <t>ใช้ระยะเรียง &lt;=</t>
  </si>
  <si>
    <t>So</t>
  </si>
  <si>
    <t>H/6</t>
  </si>
  <si>
    <t>c1</t>
  </si>
  <si>
    <t>ใช้ระยะ &gt;=</t>
  </si>
  <si>
    <t>Lo</t>
  </si>
  <si>
    <t>2So</t>
  </si>
  <si>
    <t>&lt;=</t>
  </si>
  <si>
    <t>H - 2Lo</t>
  </si>
  <si>
    <t>0.5So</t>
  </si>
  <si>
    <t>Av = 3.5c1S/fy , sq.cm</t>
  </si>
  <si>
    <t>ออกแบบบันไดท้องเรียบ</t>
  </si>
  <si>
    <t>เหล็กเสริมหลักใช้</t>
  </si>
  <si>
    <t>RB หรือ DB</t>
  </si>
  <si>
    <t>Rnt</t>
  </si>
  <si>
    <t>เหล็กกันร้าวใช้</t>
  </si>
  <si>
    <t>ความยาวของบันได, L</t>
  </si>
  <si>
    <t>ลูกนอน, T</t>
  </si>
  <si>
    <t>ลููกตั้ง, R</t>
  </si>
  <si>
    <t>cov</t>
  </si>
  <si>
    <t xml:space="preserve">kg/sq.m </t>
  </si>
  <si>
    <t xml:space="preserve">พิจารณาตามกฎกระทรวงฯ </t>
  </si>
  <si>
    <t>h ขั้นต่ำ</t>
  </si>
  <si>
    <t>(L/20) * [0.4 + (fy/7000)]</t>
  </si>
  <si>
    <t>เลือกใช้ h</t>
  </si>
  <si>
    <t>ไม่ต่ำกว่า T ขั้นต่ำ และ 0.10 m</t>
  </si>
  <si>
    <t>h - cov</t>
  </si>
  <si>
    <t>DL</t>
  </si>
  <si>
    <t>2400[(h/T)*sqrt(R^2 + T^2) + 0.5R]</t>
  </si>
  <si>
    <t>Wu</t>
  </si>
  <si>
    <t>1.4DL + 1.7LL</t>
  </si>
  <si>
    <t>คิดต่อความกว้างบันได 1 m</t>
  </si>
  <si>
    <t>WuL^2/8</t>
  </si>
  <si>
    <t>phiM*Rnt*d^2</t>
  </si>
  <si>
    <t>phiM*Rnt</t>
  </si>
  <si>
    <t>Mu/(phiM*d^2)</t>
  </si>
  <si>
    <t>p คำนวณ</t>
  </si>
  <si>
    <t>ค่ามากของ p คำนวณ และ pMin</t>
  </si>
  <si>
    <t>เหล็กเสริมหลัก</t>
  </si>
  <si>
    <t>sq.cm/m</t>
  </si>
  <si>
    <t>p(100)d</t>
  </si>
  <si>
    <t>คิดต่อความกว้างบันได 1 00 cm</t>
  </si>
  <si>
    <t>เลือกใช้ขนาด</t>
  </si>
  <si>
    <t>ระยะเรียง &lt;=</t>
  </si>
  <si>
    <t>As ต่อเส้น/As</t>
  </si>
  <si>
    <t>เหล็กกันร้าว</t>
  </si>
  <si>
    <t>AsTemp</t>
  </si>
  <si>
    <t>pTemp(100)t</t>
  </si>
  <si>
    <t>คานรับบันได</t>
  </si>
  <si>
    <t>นน.เพิ่มค่าจากบันได</t>
  </si>
  <si>
    <t>Wu จากบันได*L/2</t>
  </si>
  <si>
    <t>นน.ตามแนวคาน</t>
  </si>
  <si>
    <t>นน.เพิ่มค่าจากบันได/1.4  ใช้ป้อนนน.บรรทุกตามแนวคานใน DON_RC_SDM</t>
  </si>
  <si>
    <t>ความกว้างช่องบันได, L</t>
  </si>
  <si>
    <t>ความกว้าง, b</t>
  </si>
  <si>
    <t>ความลึก, h</t>
  </si>
  <si>
    <t xml:space="preserve">นน.เพิ่มค่าจากบันได + DLfac*2.4*b*h </t>
  </si>
  <si>
    <t>Wu*L/2</t>
  </si>
  <si>
    <t>Wu*L^2/8</t>
  </si>
  <si>
    <t>ถ้ามีคานชานพัก นำค่า b, h , Vu และ Mu ไปป้อนใน ออกแบบคาน</t>
  </si>
  <si>
    <t>เสาเข็ม 1 ต้น</t>
  </si>
  <si>
    <t>ขนาดหน้าตัดเสาเข็ม</t>
  </si>
  <si>
    <t>กำลังรับน้ำหนักปลอดภัย, Pa</t>
  </si>
  <si>
    <t>T/ต้น</t>
  </si>
  <si>
    <t>น้ำหนักใช้งานจากตอม่อ, Pc</t>
  </si>
  <si>
    <t>ระยะหุ้มเหล็กเสริม, cov</t>
  </si>
  <si>
    <t>น้ำหนักฐานรากประเมิน, F</t>
  </si>
  <si>
    <t>Pc + F</t>
  </si>
  <si>
    <t>จำนวนเสาเข็ม</t>
  </si>
  <si>
    <t>ต้น</t>
  </si>
  <si>
    <t>Pe/Pa</t>
  </si>
  <si>
    <t>เลือกใช้ขนาด D</t>
  </si>
  <si>
    <t>&gt;= ขนาดหน้าตัดเสาเข็ม</t>
  </si>
  <si>
    <t>ความลึกฐานราก, H</t>
  </si>
  <si>
    <t>2D</t>
  </si>
  <si>
    <t>2D + 5cov</t>
  </si>
  <si>
    <t>เลือกใช้ขนาดฐานราก, B</t>
  </si>
  <si>
    <t>&gt;= ขนาดฐานรากคำนวณ</t>
  </si>
  <si>
    <t>2.4*B^2*H</t>
  </si>
  <si>
    <t>น้ำหนัักใช้งาน, P</t>
  </si>
  <si>
    <t>pTemp*B*H</t>
  </si>
  <si>
    <t>เหล็กยืน ใช้เหล็ก DB-20 mm</t>
  </si>
  <si>
    <t>เส้น</t>
  </si>
  <si>
    <t>จำนวนขั้นต่ำคือ 8 เส้น แต่ถ้า As &lt; As req และ ระยะเรียง &gt; 45 cm ใช้ 16 เส้น</t>
  </si>
  <si>
    <t>ถ้าใช้เหล็ก 8 เส้น, ระยะห่าง = (B - 2cov)/2 หน่วย m</t>
  </si>
  <si>
    <t>ถ้าใช้เหล็ก 16 เส้น, ระยะห่าง = (B - 2cov)/4 หน่วย m</t>
  </si>
  <si>
    <t>เหล็็กปลอก ใช้ 2ป-RB 9 mm @ 0.10 m</t>
  </si>
  <si>
    <t>เสาเข็ม 2 ต้น</t>
  </si>
  <si>
    <t>1. ข้อมูลเบื้องต้น</t>
  </si>
  <si>
    <t>8. ตรวจสอบกำลังรับน้ำหนักใช้งาน</t>
  </si>
  <si>
    <t>น้ำหนักเพิ่มค่าจากตอม่อ, Puc</t>
  </si>
  <si>
    <t>แรงต้านทานที่ยอมให้ของเสาเข็ม 2 ต้น, 2Pa</t>
  </si>
  <si>
    <t>ถ้าไม่ได้คำนวณมา ให้ Pc = Puc/1.45</t>
  </si>
  <si>
    <t>2.4(B*L*H)</t>
  </si>
  <si>
    <t>ขนาดหน้าตัดเสาเข็ม, Dp</t>
  </si>
  <si>
    <t>น้ำหนักใช้งานออกแบบ, P</t>
  </si>
  <si>
    <t>Pc + น้ำหนักฐานราก</t>
  </si>
  <si>
    <t>แรงต้านทานที่ยอมให้ของเสาเข็ม, Pa</t>
  </si>
  <si>
    <t>% ของ Pc</t>
  </si>
  <si>
    <t>9. หาแรงปฏิกิริยาเพิ่มค่าในเสาเข็ม, Ru</t>
  </si>
  <si>
    <t>1.4*น้ำหนักฐานราก</t>
  </si>
  <si>
    <t>น้ำหนักเพิ่มค่าออกแบบ, Pu</t>
  </si>
  <si>
    <t>Puc + น้ำหนักเพิ่มค่าฐานราก</t>
  </si>
  <si>
    <t>2. หาจำนวนเสาเข็ม</t>
  </si>
  <si>
    <t>Ru</t>
  </si>
  <si>
    <t>Pu/2</t>
  </si>
  <si>
    <t>10. ตรวจสอบแรงเฉือนแบบสองทาง</t>
  </si>
  <si>
    <t>จำนวนเสาเข็มคำนวณ</t>
  </si>
  <si>
    <t>Dcri</t>
  </si>
  <si>
    <t>(c+d)/2</t>
  </si>
  <si>
    <t>เลือกใช้จำนวนเสาเข็ม</t>
  </si>
  <si>
    <t>X</t>
  </si>
  <si>
    <t>(Lm/2) - Dcri</t>
  </si>
  <si>
    <t>3. หาแรงปฏิกิริยาเพิ่มค่าประเมินในเสาเข็ม, Rue</t>
  </si>
  <si>
    <t>Vut req</t>
  </si>
  <si>
    <t>2Ru(0.5 + X/Dp)</t>
  </si>
  <si>
    <t>น้ำหนักเพิ่มค่าฐานรากประเมิน, Fu</t>
  </si>
  <si>
    <t>1.4F</t>
  </si>
  <si>
    <t>ถ้า Vut req &gt; 2Ru ให้เท่ากับ 2Ru</t>
  </si>
  <si>
    <t>Puc + Fu</t>
  </si>
  <si>
    <t>Rue</t>
  </si>
  <si>
    <t>Pue/2</t>
  </si>
  <si>
    <t>11. ตรวจสอบแรงเฉือนแบบคาน</t>
  </si>
  <si>
    <t>4. หาความยาวฐานราก, L</t>
  </si>
  <si>
    <t>เลือกใช้ D</t>
  </si>
  <si>
    <t>&gt;= Dp</t>
  </si>
  <si>
    <t>c/2 + d</t>
  </si>
  <si>
    <t>Lm req</t>
  </si>
  <si>
    <t>3D</t>
  </si>
  <si>
    <t>เลือกใช้ Lm</t>
  </si>
  <si>
    <t>Vub req</t>
  </si>
  <si>
    <t>Ru(0.5 + X/Dp)</t>
  </si>
  <si>
    <t>Le req</t>
  </si>
  <si>
    <t>D</t>
  </si>
  <si>
    <t>ถ้า Vub req &lt; 0 ให้เท่ากับ 0</t>
  </si>
  <si>
    <t>เลือกใช้ Le</t>
  </si>
  <si>
    <t>Lm + 2Le</t>
  </si>
  <si>
    <t>12. ตรวจสอบโมเมนต์ดัด</t>
  </si>
  <si>
    <t>5. ตรวจสอบระยะฝังยึด</t>
  </si>
  <si>
    <t>เลือกใช้เหล็กเสริม, db</t>
  </si>
  <si>
    <t>Ru(Lm-c)/2</t>
  </si>
  <si>
    <t>ระยะฝังพอ, Ldh</t>
  </si>
  <si>
    <t>13. หาจำนวนเหล็กเสริม</t>
  </si>
  <si>
    <t>ระยะฝังยึดจริง, Ld</t>
  </si>
  <si>
    <t>[(L - c)/2]  - cov</t>
  </si>
  <si>
    <t>ขนานด้าน L</t>
  </si>
  <si>
    <t>Ldh</t>
  </si>
  <si>
    <t>6. หาความลึกประสิทธิผล (d) และความหนาฐานราก (H)</t>
  </si>
  <si>
    <t>Vue</t>
  </si>
  <si>
    <t>2Rue</t>
  </si>
  <si>
    <t>k</t>
  </si>
  <si>
    <t>sq.m</t>
  </si>
  <si>
    <t>c^2 + 0.9Vue/(phiV*vct)</t>
  </si>
  <si>
    <t>pTemp*BH</t>
  </si>
  <si>
    <t xml:space="preserve">ประมาณค่า d </t>
  </si>
  <si>
    <t>[-c + sqrt(k)]/2</t>
  </si>
  <si>
    <t>&gt;= ประมาณค่า d และ 0.30 m</t>
  </si>
  <si>
    <t>จำนวนเหล็กเสริม</t>
  </si>
  <si>
    <t>As/Ab</t>
  </si>
  <si>
    <t>H</t>
  </si>
  <si>
    <t>เลือกใช้, N</t>
  </si>
  <si>
    <t>เส้้น</t>
  </si>
  <si>
    <t>7. หาความกว้างฐานราก, B</t>
  </si>
  <si>
    <t>(B-2*cov)/(N-1)</t>
  </si>
  <si>
    <t>ขนานด้าน B</t>
  </si>
  <si>
    <t>c + d + 2cov</t>
  </si>
  <si>
    <t>pTemp*LH</t>
  </si>
  <si>
    <t>B</t>
  </si>
  <si>
    <t>&gt;= max(2D, c+d+2cov)</t>
  </si>
  <si>
    <t>As req/Ab</t>
  </si>
  <si>
    <t>(L-2*cov)/(N-1)</t>
  </si>
  <si>
    <t>เสาเข็ม 3 ต้น</t>
  </si>
  <si>
    <t>7. ตรวจสอบกำลังรับน้ำหนักใช้งาน</t>
  </si>
  <si>
    <t>กำลังรับน้ำหนักปลอดภัย 3 ต้น, 3Pa</t>
  </si>
  <si>
    <t>พื้นที่ฐานราก, Af</t>
  </si>
  <si>
    <t>0.5[Lm + 2sqrt(3)D]*[0.5sqrt(3)*Lm) + 3D] - sqrt(3)D^2</t>
  </si>
  <si>
    <t>2.4(Af*H)</t>
  </si>
  <si>
    <t>ขนาดหน้าตัดเสา, Cx</t>
  </si>
  <si>
    <t>8. หาแรงปฏิกิริยาเพิ่มค่าในเสาเข็ม, Ru</t>
  </si>
  <si>
    <t>ขนาดหน้้าตัดเสา, Cy</t>
  </si>
  <si>
    <t>เส้นผ่านศูนย์กลางตอม่อเทียบเท่า, c</t>
  </si>
  <si>
    <t>2*sqrt(Cx*Cy/Pi)</t>
  </si>
  <si>
    <t>Pu/3</t>
  </si>
  <si>
    <t>9. ตรวจสอบแรงเฉือนแบบสองทาง</t>
  </si>
  <si>
    <t>phiV*vct*Pi*(c+d)*d</t>
  </si>
  <si>
    <t>[Lm/sqrt(3)] - Dcri</t>
  </si>
  <si>
    <t>3Ru(0.5 + X/Dp)</t>
  </si>
  <si>
    <t>ถ้า Vut req &gt; 3Ru ให้เท่ากับ 3Ru</t>
  </si>
  <si>
    <t>10. ตรวจสอบแรงเฉือนแบบคาน</t>
  </si>
  <si>
    <t>Pue/3</t>
  </si>
  <si>
    <t>Bb</t>
  </si>
  <si>
    <t>(2/sqrt(3))[(Lm/sqrt(3) + 2D - (c/2) - d]</t>
  </si>
  <si>
    <t>4. หาความลึกประสิทธิผล (d) และความหนาฐานราก (H)</t>
  </si>
  <si>
    <t>phiV*vcb*Bb*d</t>
  </si>
  <si>
    <t>3Rue</t>
  </si>
  <si>
    <t>c^2 + 4(0.9Vue)/(Pi*phiV*vct)</t>
  </si>
  <si>
    <t>ประมาณค่า d</t>
  </si>
  <si>
    <t>5. หาระยะ Lm</t>
  </si>
  <si>
    <t>11. ตรวจสอบโมเมนต์ดัด</t>
  </si>
  <si>
    <t>Bm</t>
  </si>
  <si>
    <t>(2/sqrt(3))[(Lm/sqrt(3) + 2D - (c/2)]</t>
  </si>
  <si>
    <t>condition 1</t>
  </si>
  <si>
    <t>phiM*Rnt*Bm*d^2</t>
  </si>
  <si>
    <t>sqrt(3)[c + d + 2cov - 2D]</t>
  </si>
  <si>
    <t>condition 2</t>
  </si>
  <si>
    <t xml:space="preserve">Ru[(Lm/sqrt(3)) - (c/2)] </t>
  </si>
  <si>
    <t>ประมาณค่า Lm</t>
  </si>
  <si>
    <t>max(condition 1, condition 2)</t>
  </si>
  <si>
    <t>&gt;= ประมาณค่า Lm</t>
  </si>
  <si>
    <t>12. หาจำนวนเหล็กเสริม</t>
  </si>
  <si>
    <t>6. ตรวจสอบระยะฝังยึด</t>
  </si>
  <si>
    <t>Mu/(phiM*Bm*d^2)</t>
  </si>
  <si>
    <t>p*Bm*d</t>
  </si>
  <si>
    <t>pTemp*Bm*H</t>
  </si>
  <si>
    <t>(Lm/sqrt(3)) + D - (c/2) - cov</t>
  </si>
  <si>
    <t>As use/Ab</t>
  </si>
  <si>
    <t>(Bm - 2*cov)/(N-1)</t>
  </si>
  <si>
    <t>เสาเข็ม 4 ต้น</t>
  </si>
  <si>
    <t>แรงต้านทานที่ยอมให้ของเสาเข็ม 4 ต้น, 4Pa</t>
  </si>
  <si>
    <t>2.4(L^2*H)</t>
  </si>
  <si>
    <t>น้ำหนักเพิ่่มค่าออกแบบ, Pu</t>
  </si>
  <si>
    <t>Pu/4</t>
  </si>
  <si>
    <t>4Ru(0.5 + X/Dp)</t>
  </si>
  <si>
    <t>ถ้า Vut req &gt; 4Ru ให้เท่ากับ 4Ru</t>
  </si>
  <si>
    <t>Pue/4</t>
  </si>
  <si>
    <t>phiV*vcb*L*d</t>
  </si>
  <si>
    <t>เลือกใช้้ Le</t>
  </si>
  <si>
    <t>phiM*Rnt*Ld^2</t>
  </si>
  <si>
    <t>2Ru(Lmid-c)/2</t>
  </si>
  <si>
    <t>Mu/(phiM*Ld^2)</t>
  </si>
  <si>
    <t>pLd</t>
  </si>
  <si>
    <t>4Rue</t>
  </si>
  <si>
    <t>เสาเข็ม 5 ต้น</t>
  </si>
  <si>
    <t>แรงต้านทานที่ยอมให้ของเสาเข็ม 5 ต้น, 5Pa</t>
  </si>
  <si>
    <t>Pu/5</t>
  </si>
  <si>
    <t>(Lmid/2) - Dcri</t>
  </si>
  <si>
    <t>Pue/5</t>
  </si>
  <si>
    <t>Lmid req</t>
  </si>
  <si>
    <t>3sqrt(2)D</t>
  </si>
  <si>
    <t>เลือกใช้ Lmid</t>
  </si>
  <si>
    <t>Ledge req</t>
  </si>
  <si>
    <t>เลือกใช้้ Ledge</t>
  </si>
  <si>
    <t>Lmid + 2Ledge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</si>
</sst>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7" formatCode="0.0000"/>
    <numFmt numFmtId="188" formatCode="0.00000"/>
    <numFmt numFmtId="189" formatCode="0.000"/>
    <numFmt numFmtId="190" formatCode="#,##0.000"/>
    <numFmt numFmtId="191" formatCode="#,##0.0000"/>
    <numFmt numFmtId="192" formatCode="0.0"/>
    <numFmt numFmtId="193" formatCode="[$฿-41E]#,##0.00"/>
  </numFmts>
  <fonts count="37">
    <font>
      <sz val="10"/>
      <color rgb="FF000000"/>
      <name val="Calibri"/>
      <scheme val="minor"/>
    </font>
    <font>
      <b/>
      <i/>
      <sz val="14"/>
      <color rgb="FF000000"/>
      <name val="Calibri"/>
    </font>
    <font>
      <sz val="10"/>
      <color rgb="FF000000"/>
      <name val="Calibri"/>
    </font>
    <font>
      <sz val="14"/>
      <color theme="1"/>
      <name val="Calibri"/>
      <scheme val="minor"/>
    </font>
    <font>
      <i/>
      <sz val="14"/>
      <color rgb="FF000000"/>
      <name val="Calibri"/>
    </font>
    <font>
      <i/>
      <sz val="14"/>
      <color theme="1"/>
      <name val="Calibri"/>
      <scheme val="minor"/>
    </font>
    <font>
      <sz val="14"/>
      <color rgb="FF000000"/>
      <name val="Calibri"/>
    </font>
    <font>
      <b/>
      <sz val="14"/>
      <color rgb="FF000000"/>
      <name val="Calibri"/>
    </font>
    <font>
      <b/>
      <i/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rgb="FF974806"/>
      <name val="Calibri"/>
      <scheme val="minor"/>
    </font>
    <font>
      <sz val="14"/>
      <color rgb="FF000000"/>
      <name val="Calibri"/>
      <scheme val="minor"/>
    </font>
    <font>
      <i/>
      <sz val="14"/>
      <color rgb="FF000000"/>
      <name val="Calibri"/>
      <scheme val="minor"/>
    </font>
    <font>
      <i/>
      <sz val="14"/>
      <color rgb="FF6AA84F"/>
      <name val="Calibri"/>
      <scheme val="minor"/>
    </font>
    <font>
      <i/>
      <sz val="10"/>
      <color rgb="FF6AA84F"/>
      <name val="Calibri"/>
      <scheme val="minor"/>
    </font>
    <font>
      <i/>
      <sz val="14"/>
      <color rgb="FF1F1F1F"/>
      <name val="Calibri"/>
      <scheme val="minor"/>
    </font>
    <font>
      <b/>
      <sz val="14"/>
      <color rgb="FF0070C0"/>
      <name val="Calibri"/>
      <scheme val="minor"/>
    </font>
    <font>
      <sz val="14"/>
      <color rgb="FFFF0000"/>
      <name val="Calibri"/>
      <scheme val="minor"/>
    </font>
    <font>
      <sz val="10"/>
      <color theme="1"/>
      <name val="Calibri"/>
      <scheme val="minor"/>
    </font>
    <font>
      <sz val="10"/>
      <color rgb="FF000000"/>
      <name val="Roboto"/>
    </font>
    <font>
      <b/>
      <sz val="14"/>
      <color rgb="FFFF0000"/>
      <name val="Calibri"/>
      <scheme val="minor"/>
    </font>
    <font>
      <sz val="14"/>
      <color theme="4"/>
      <name val="Calibri"/>
      <scheme val="minor"/>
    </font>
    <font>
      <b/>
      <sz val="14"/>
      <color rgb="FF000000"/>
      <name val="Calibri"/>
      <scheme val="minor"/>
    </font>
    <font>
      <sz val="10"/>
      <name val="Calibri"/>
    </font>
    <font>
      <b/>
      <sz val="14"/>
      <color rgb="FFC00000"/>
      <name val="Calibri"/>
      <scheme val="minor"/>
    </font>
    <font>
      <sz val="14"/>
      <color rgb="FFC00000"/>
      <name val="Calibri"/>
      <scheme val="minor"/>
    </font>
    <font>
      <b/>
      <sz val="10"/>
      <color theme="1"/>
      <name val="Calibri"/>
      <scheme val="minor"/>
    </font>
    <font>
      <i/>
      <sz val="14"/>
      <color rgb="FFFF0000"/>
      <name val="Calibri"/>
      <scheme val="minor"/>
    </font>
    <font>
      <sz val="14"/>
      <color rgb="FF7E3794"/>
      <name val="Calibri"/>
      <scheme val="minor"/>
    </font>
    <font>
      <sz val="13"/>
      <color theme="1"/>
      <name val="Calibri"/>
      <scheme val="minor"/>
    </font>
    <font>
      <i/>
      <sz val="13"/>
      <color rgb="FF000000"/>
      <name val="Arial"/>
    </font>
    <font>
      <sz val="14"/>
      <name val="Calibri"/>
    </font>
    <font>
      <b/>
      <sz val="13"/>
      <color theme="1"/>
      <name val="Calibri"/>
      <scheme val="minor"/>
    </font>
    <font>
      <sz val="14"/>
      <color rgb="FF000000"/>
      <name val="&quot;Google Sans Mono&quot;"/>
    </font>
    <font>
      <sz val="14"/>
      <color rgb="FF1F1F1F"/>
      <name val="Arial"/>
    </font>
    <font>
      <b/>
      <sz val="14"/>
      <color rgb="FF1F1F1F"/>
      <name val="&quot;Google Sans&quot;"/>
    </font>
    <font>
      <i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 applyAlignment="1"/>
    <xf numFmtId="0" fontId="6" fillId="2" borderId="0" xfId="0" applyFont="1" applyFill="1" applyAlignment="1"/>
    <xf numFmtId="0" fontId="6" fillId="3" borderId="0" xfId="0" applyFont="1" applyFill="1" applyAlignment="1"/>
    <xf numFmtId="0" fontId="8" fillId="0" borderId="0" xfId="0" applyFont="1"/>
    <xf numFmtId="0" fontId="9" fillId="0" borderId="0" xfId="0" applyFont="1"/>
    <xf numFmtId="0" fontId="3" fillId="4" borderId="1" xfId="0" applyFont="1" applyFill="1" applyBorder="1"/>
    <xf numFmtId="0" fontId="9" fillId="0" borderId="0" xfId="0" applyFont="1" applyAlignment="1"/>
    <xf numFmtId="0" fontId="10" fillId="0" borderId="0" xfId="0" applyFont="1"/>
    <xf numFmtId="0" fontId="11" fillId="2" borderId="1" xfId="0" applyFont="1" applyFill="1" applyBorder="1" applyAlignment="1"/>
    <xf numFmtId="0" fontId="11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3" fillId="4" borderId="0" xfId="0" applyFont="1" applyFill="1" applyAlignment="1"/>
    <xf numFmtId="0" fontId="12" fillId="0" borderId="0" xfId="0" applyFont="1"/>
    <xf numFmtId="0" fontId="3" fillId="2" borderId="0" xfId="0" applyFont="1" applyFill="1" applyAlignment="1"/>
    <xf numFmtId="0" fontId="3" fillId="0" borderId="0" xfId="0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87" fontId="3" fillId="0" borderId="0" xfId="0" applyNumberFormat="1" applyFont="1"/>
    <xf numFmtId="187" fontId="3" fillId="0" borderId="0" xfId="0" applyNumberFormat="1" applyFont="1" applyAlignment="1"/>
    <xf numFmtId="188" fontId="3" fillId="0" borderId="0" xfId="0" applyNumberFormat="1" applyFont="1" applyAlignment="1">
      <alignment horizontal="center"/>
    </xf>
    <xf numFmtId="0" fontId="3" fillId="4" borderId="0" xfId="0" applyFont="1" applyFill="1"/>
    <xf numFmtId="0" fontId="13" fillId="0" borderId="0" xfId="0" applyFont="1" applyAlignment="1">
      <alignment horizontal="right"/>
    </xf>
    <xf numFmtId="187" fontId="13" fillId="0" borderId="0" xfId="0" applyNumberFormat="1" applyFont="1"/>
    <xf numFmtId="0" fontId="13" fillId="0" borderId="0" xfId="0" applyFont="1"/>
    <xf numFmtId="0" fontId="14" fillId="0" borderId="0" xfId="0" applyFont="1"/>
    <xf numFmtId="187" fontId="13" fillId="0" borderId="0" xfId="0" applyNumberFormat="1" applyFont="1" applyAlignment="1"/>
    <xf numFmtId="0" fontId="15" fillId="4" borderId="0" xfId="0" applyFont="1" applyFill="1" applyAlignment="1"/>
    <xf numFmtId="11" fontId="9" fillId="4" borderId="1" xfId="0" applyNumberFormat="1" applyFont="1" applyFill="1" applyBorder="1"/>
    <xf numFmtId="0" fontId="16" fillId="0" borderId="0" xfId="0" applyFont="1" applyAlignment="1"/>
    <xf numFmtId="0" fontId="10" fillId="4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1" fillId="0" borderId="2" xfId="0" applyFont="1" applyBorder="1"/>
    <xf numFmtId="0" fontId="16" fillId="0" borderId="3" xfId="0" applyFont="1" applyBorder="1" applyAlignment="1">
      <alignment horizontal="center"/>
    </xf>
    <xf numFmtId="0" fontId="11" fillId="0" borderId="4" xfId="0" applyFont="1" applyBorder="1"/>
    <xf numFmtId="0" fontId="17" fillId="0" borderId="0" xfId="0" applyFont="1" applyAlignment="1"/>
    <xf numFmtId="0" fontId="3" fillId="0" borderId="0" xfId="0" applyFont="1" applyAlignment="1">
      <alignment horizontal="right"/>
    </xf>
    <xf numFmtId="187" fontId="11" fillId="0" borderId="0" xfId="0" applyNumberFormat="1" applyFont="1"/>
    <xf numFmtId="2" fontId="9" fillId="0" borderId="0" xfId="0" applyNumberFormat="1" applyFont="1" applyAlignment="1">
      <alignment horizontal="center"/>
    </xf>
    <xf numFmtId="189" fontId="3" fillId="0" borderId="0" xfId="0" applyNumberFormat="1" applyFont="1"/>
    <xf numFmtId="0" fontId="3" fillId="0" borderId="0" xfId="0" applyFont="1" applyAlignment="1"/>
    <xf numFmtId="0" fontId="18" fillId="0" borderId="5" xfId="0" applyFont="1" applyBorder="1"/>
    <xf numFmtId="0" fontId="17" fillId="0" borderId="0" xfId="0" applyFont="1" applyAlignment="1">
      <alignment horizontal="center"/>
    </xf>
    <xf numFmtId="0" fontId="18" fillId="0" borderId="6" xfId="0" applyFont="1" applyBorder="1"/>
    <xf numFmtId="189" fontId="3" fillId="4" borderId="1" xfId="0" applyNumberFormat="1" applyFont="1" applyFill="1" applyBorder="1"/>
    <xf numFmtId="0" fontId="5" fillId="0" borderId="0" xfId="0" applyFont="1"/>
    <xf numFmtId="0" fontId="16" fillId="0" borderId="5" xfId="0" applyFont="1" applyBorder="1"/>
    <xf numFmtId="0" fontId="16" fillId="0" borderId="6" xfId="0" applyFont="1" applyBorder="1" applyAlignment="1">
      <alignment horizontal="right"/>
    </xf>
    <xf numFmtId="0" fontId="11" fillId="0" borderId="7" xfId="0" applyFont="1" applyBorder="1"/>
    <xf numFmtId="0" fontId="16" fillId="0" borderId="8" xfId="0" applyFont="1" applyBorder="1" applyAlignment="1">
      <alignment horizontal="center"/>
    </xf>
    <xf numFmtId="0" fontId="11" fillId="0" borderId="9" xfId="0" applyFont="1" applyBorder="1"/>
    <xf numFmtId="0" fontId="10" fillId="0" borderId="0" xfId="0" applyFont="1" applyAlignment="1"/>
    <xf numFmtId="0" fontId="11" fillId="4" borderId="0" xfId="0" applyFont="1" applyFill="1" applyAlignment="1">
      <alignment horizontal="center"/>
    </xf>
    <xf numFmtId="190" fontId="3" fillId="4" borderId="1" xfId="0" applyNumberFormat="1" applyFont="1" applyFill="1" applyBorder="1"/>
    <xf numFmtId="11" fontId="3" fillId="4" borderId="1" xfId="0" applyNumberFormat="1" applyFont="1" applyFill="1" applyBorder="1" applyAlignment="1">
      <alignment horizontal="center"/>
    </xf>
    <xf numFmtId="11" fontId="3" fillId="4" borderId="1" xfId="0" applyNumberFormat="1" applyFont="1" applyFill="1" applyBorder="1" applyAlignment="1">
      <alignment horizontal="center"/>
    </xf>
    <xf numFmtId="11" fontId="19" fillId="4" borderId="0" xfId="0" applyNumberFormat="1" applyFont="1" applyFill="1" applyAlignment="1">
      <alignment horizontal="center"/>
    </xf>
    <xf numFmtId="11" fontId="11" fillId="4" borderId="0" xfId="0" applyNumberFormat="1" applyFont="1" applyFill="1" applyAlignment="1">
      <alignment horizontal="center"/>
    </xf>
    <xf numFmtId="11" fontId="3" fillId="4" borderId="10" xfId="0" applyNumberFormat="1" applyFont="1" applyFill="1" applyBorder="1" applyAlignment="1">
      <alignment horizontal="center"/>
    </xf>
    <xf numFmtId="11" fontId="9" fillId="4" borderId="10" xfId="0" applyNumberFormat="1" applyFont="1" applyFill="1" applyBorder="1"/>
    <xf numFmtId="11" fontId="9" fillId="4" borderId="11" xfId="0" applyNumberFormat="1" applyFont="1" applyFill="1" applyBorder="1" applyAlignment="1">
      <alignment horizontal="center"/>
    </xf>
    <xf numFmtId="190" fontId="20" fillId="4" borderId="12" xfId="0" applyNumberFormat="1" applyFont="1" applyFill="1" applyBorder="1" applyAlignment="1">
      <alignment horizontal="center"/>
    </xf>
    <xf numFmtId="11" fontId="9" fillId="4" borderId="13" xfId="0" applyNumberFormat="1" applyFont="1" applyFill="1" applyBorder="1" applyAlignment="1">
      <alignment horizontal="center"/>
    </xf>
    <xf numFmtId="11" fontId="9" fillId="4" borderId="1" xfId="0" applyNumberFormat="1" applyFont="1" applyFill="1" applyBorder="1" applyAlignment="1">
      <alignment horizontal="center"/>
    </xf>
    <xf numFmtId="4" fontId="16" fillId="4" borderId="12" xfId="0" applyNumberFormat="1" applyFont="1" applyFill="1" applyBorder="1" applyAlignment="1">
      <alignment horizontal="center"/>
    </xf>
    <xf numFmtId="11" fontId="9" fillId="4" borderId="14" xfId="0" applyNumberFormat="1" applyFont="1" applyFill="1" applyBorder="1" applyAlignment="1">
      <alignment horizontal="center"/>
    </xf>
    <xf numFmtId="4" fontId="9" fillId="4" borderId="11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11" fontId="9" fillId="4" borderId="15" xfId="0" applyNumberFormat="1" applyFont="1" applyFill="1" applyBorder="1" applyAlignment="1">
      <alignment horizontal="center"/>
    </xf>
    <xf numFmtId="191" fontId="16" fillId="4" borderId="12" xfId="0" applyNumberFormat="1" applyFont="1" applyFill="1" applyBorder="1" applyAlignment="1">
      <alignment horizontal="center"/>
    </xf>
    <xf numFmtId="190" fontId="16" fillId="4" borderId="12" xfId="0" applyNumberFormat="1" applyFont="1" applyFill="1" applyBorder="1" applyAlignment="1">
      <alignment horizontal="center"/>
    </xf>
    <xf numFmtId="189" fontId="3" fillId="4" borderId="16" xfId="0" applyNumberFormat="1" applyFont="1" applyFill="1" applyBorder="1" applyAlignment="1">
      <alignment horizontal="center"/>
    </xf>
    <xf numFmtId="4" fontId="9" fillId="4" borderId="17" xfId="0" applyNumberFormat="1" applyFont="1" applyFill="1" applyBorder="1" applyAlignment="1">
      <alignment horizontal="center"/>
    </xf>
    <xf numFmtId="190" fontId="16" fillId="4" borderId="18" xfId="0" applyNumberFormat="1" applyFont="1" applyFill="1" applyBorder="1" applyAlignment="1">
      <alignment horizontal="center"/>
    </xf>
    <xf numFmtId="4" fontId="9" fillId="4" borderId="1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20" xfId="0" applyFont="1" applyBorder="1"/>
    <xf numFmtId="189" fontId="17" fillId="4" borderId="1" xfId="0" applyNumberFormat="1" applyFont="1" applyFill="1" applyBorder="1" applyAlignment="1">
      <alignment horizontal="center"/>
    </xf>
    <xf numFmtId="0" fontId="18" fillId="0" borderId="21" xfId="0" applyFont="1" applyBorder="1"/>
    <xf numFmtId="0" fontId="3" fillId="4" borderId="16" xfId="0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horizontal="center"/>
    </xf>
    <xf numFmtId="191" fontId="17" fillId="4" borderId="1" xfId="0" applyNumberFormat="1" applyFont="1" applyFill="1" applyBorder="1" applyAlignment="1">
      <alignment horizontal="center"/>
    </xf>
    <xf numFmtId="190" fontId="17" fillId="4" borderId="1" xfId="0" applyNumberFormat="1" applyFont="1" applyFill="1" applyBorder="1" applyAlignment="1">
      <alignment horizontal="center"/>
    </xf>
    <xf numFmtId="190" fontId="17" fillId="4" borderId="0" xfId="0" applyNumberFormat="1" applyFont="1" applyFill="1" applyAlignment="1">
      <alignment horizontal="center"/>
    </xf>
    <xf numFmtId="0" fontId="9" fillId="4" borderId="1" xfId="0" applyFont="1" applyFill="1" applyBorder="1"/>
    <xf numFmtId="0" fontId="10" fillId="2" borderId="1" xfId="0" applyFont="1" applyFill="1" applyBorder="1"/>
    <xf numFmtId="189" fontId="16" fillId="4" borderId="22" xfId="0" applyNumberFormat="1" applyFont="1" applyFill="1" applyBorder="1" applyAlignment="1">
      <alignment horizontal="left"/>
    </xf>
    <xf numFmtId="189" fontId="21" fillId="4" borderId="10" xfId="0" applyNumberFormat="1" applyFont="1" applyFill="1" applyBorder="1" applyAlignment="1">
      <alignment horizontal="center"/>
    </xf>
    <xf numFmtId="189" fontId="16" fillId="4" borderId="23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2" fontId="16" fillId="4" borderId="22" xfId="0" applyNumberFormat="1" applyFont="1" applyFill="1" applyBorder="1" applyAlignment="1">
      <alignment horizontal="left"/>
    </xf>
    <xf numFmtId="2" fontId="16" fillId="4" borderId="23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"/>
    </xf>
    <xf numFmtId="4" fontId="16" fillId="4" borderId="22" xfId="0" applyNumberFormat="1" applyFont="1" applyFill="1" applyBorder="1" applyAlignment="1">
      <alignment horizontal="left"/>
    </xf>
    <xf numFmtId="4" fontId="16" fillId="4" borderId="23" xfId="0" applyNumberFormat="1" applyFont="1" applyFill="1" applyBorder="1" applyAlignment="1">
      <alignment horizontal="right"/>
    </xf>
    <xf numFmtId="0" fontId="3" fillId="4" borderId="24" xfId="0" applyFont="1" applyFill="1" applyBorder="1" applyAlignment="1">
      <alignment horizontal="center"/>
    </xf>
    <xf numFmtId="191" fontId="16" fillId="4" borderId="22" xfId="0" applyNumberFormat="1" applyFont="1" applyFill="1" applyBorder="1" applyAlignment="1">
      <alignment horizontal="left"/>
    </xf>
    <xf numFmtId="191" fontId="16" fillId="4" borderId="23" xfId="0" applyNumberFormat="1" applyFont="1" applyFill="1" applyBorder="1" applyAlignment="1">
      <alignment horizontal="right"/>
    </xf>
    <xf numFmtId="190" fontId="16" fillId="4" borderId="22" xfId="0" applyNumberFormat="1" applyFont="1" applyFill="1" applyBorder="1" applyAlignment="1">
      <alignment horizontal="left"/>
    </xf>
    <xf numFmtId="190" fontId="16" fillId="4" borderId="23" xfId="0" applyNumberFormat="1" applyFont="1" applyFill="1" applyBorder="1" applyAlignment="1">
      <alignment horizontal="right"/>
    </xf>
    <xf numFmtId="190" fontId="16" fillId="4" borderId="25" xfId="0" applyNumberFormat="1" applyFont="1" applyFill="1" applyBorder="1" applyAlignment="1">
      <alignment horizontal="left"/>
    </xf>
    <xf numFmtId="190" fontId="16" fillId="4" borderId="21" xfId="0" applyNumberFormat="1" applyFont="1" applyFill="1" applyBorder="1" applyAlignment="1">
      <alignment horizontal="right"/>
    </xf>
    <xf numFmtId="0" fontId="3" fillId="4" borderId="26" xfId="0" applyFont="1" applyFill="1" applyBorder="1" applyAlignment="1">
      <alignment horizontal="center"/>
    </xf>
    <xf numFmtId="189" fontId="20" fillId="4" borderId="27" xfId="0" applyNumberFormat="1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4" fontId="16" fillId="4" borderId="27" xfId="0" applyNumberFormat="1" applyFont="1" applyFill="1" applyBorder="1" applyAlignment="1">
      <alignment horizontal="center"/>
    </xf>
    <xf numFmtId="4" fontId="3" fillId="4" borderId="26" xfId="0" applyNumberFormat="1" applyFont="1" applyFill="1" applyBorder="1" applyAlignment="1">
      <alignment horizontal="center"/>
    </xf>
    <xf numFmtId="4" fontId="3" fillId="4" borderId="28" xfId="0" applyNumberFormat="1" applyFont="1" applyFill="1" applyBorder="1" applyAlignment="1">
      <alignment horizontal="center"/>
    </xf>
    <xf numFmtId="191" fontId="16" fillId="4" borderId="27" xfId="0" applyNumberFormat="1" applyFont="1" applyFill="1" applyBorder="1" applyAlignment="1">
      <alignment horizontal="center"/>
    </xf>
    <xf numFmtId="190" fontId="16" fillId="4" borderId="27" xfId="0" applyNumberFormat="1" applyFont="1" applyFill="1" applyBorder="1" applyAlignment="1">
      <alignment horizontal="center"/>
    </xf>
    <xf numFmtId="4" fontId="3" fillId="4" borderId="29" xfId="0" applyNumberFormat="1" applyFont="1" applyFill="1" applyBorder="1" applyAlignment="1">
      <alignment horizontal="center"/>
    </xf>
    <xf numFmtId="190" fontId="16" fillId="4" borderId="30" xfId="0" applyNumberFormat="1" applyFont="1" applyFill="1" applyBorder="1" applyAlignment="1">
      <alignment horizontal="center"/>
    </xf>
    <xf numFmtId="4" fontId="3" fillId="4" borderId="31" xfId="0" applyNumberFormat="1" applyFont="1" applyFill="1" applyBorder="1" applyAlignment="1">
      <alignment horizontal="center"/>
    </xf>
    <xf numFmtId="0" fontId="3" fillId="4" borderId="32" xfId="0" applyFont="1" applyFill="1" applyBorder="1"/>
    <xf numFmtId="11" fontId="9" fillId="4" borderId="33" xfId="0" applyNumberFormat="1" applyFont="1" applyFill="1" applyBorder="1" applyAlignment="1">
      <alignment horizontal="center"/>
    </xf>
    <xf numFmtId="190" fontId="16" fillId="4" borderId="34" xfId="0" applyNumberFormat="1" applyFont="1" applyFill="1" applyBorder="1" applyAlignment="1">
      <alignment horizontal="center"/>
    </xf>
    <xf numFmtId="11" fontId="9" fillId="4" borderId="35" xfId="0" applyNumberFormat="1" applyFont="1" applyFill="1" applyBorder="1" applyAlignment="1">
      <alignment horizontal="center"/>
    </xf>
    <xf numFmtId="4" fontId="16" fillId="4" borderId="34" xfId="0" applyNumberFormat="1" applyFont="1" applyFill="1" applyBorder="1" applyAlignment="1">
      <alignment horizontal="center"/>
    </xf>
    <xf numFmtId="4" fontId="9" fillId="4" borderId="33" xfId="0" applyNumberFormat="1" applyFont="1" applyFill="1" applyBorder="1" applyAlignment="1">
      <alignment horizontal="center"/>
    </xf>
    <xf numFmtId="4" fontId="9" fillId="4" borderId="35" xfId="0" applyNumberFormat="1" applyFont="1" applyFill="1" applyBorder="1" applyAlignment="1">
      <alignment horizontal="center"/>
    </xf>
    <xf numFmtId="191" fontId="16" fillId="4" borderId="34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11" fillId="4" borderId="1" xfId="0" applyFont="1" applyFill="1" applyBorder="1"/>
    <xf numFmtId="189" fontId="17" fillId="4" borderId="10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92" fontId="11" fillId="0" borderId="0" xfId="0" applyNumberFormat="1" applyFont="1" applyAlignment="1">
      <alignment horizontal="center"/>
    </xf>
    <xf numFmtId="2" fontId="11" fillId="4" borderId="1" xfId="0" applyNumberFormat="1" applyFont="1" applyFill="1" applyBorder="1" applyAlignment="1">
      <alignment horizontal="center"/>
    </xf>
    <xf numFmtId="189" fontId="16" fillId="4" borderId="2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/>
    <xf numFmtId="189" fontId="11" fillId="0" borderId="0" xfId="0" applyNumberFormat="1" applyFont="1" applyAlignment="1">
      <alignment horizontal="center"/>
    </xf>
    <xf numFmtId="189" fontId="24" fillId="0" borderId="0" xfId="0" applyNumberFormat="1" applyFont="1" applyAlignment="1">
      <alignment horizontal="center"/>
    </xf>
    <xf numFmtId="0" fontId="17" fillId="0" borderId="0" xfId="0" applyFont="1"/>
    <xf numFmtId="189" fontId="25" fillId="0" borderId="0" xfId="0" applyNumberFormat="1" applyFont="1" applyAlignment="1">
      <alignment horizontal="center"/>
    </xf>
    <xf numFmtId="11" fontId="9" fillId="4" borderId="39" xfId="0" applyNumberFormat="1" applyFont="1" applyFill="1" applyBorder="1" applyAlignment="1">
      <alignment horizontal="center"/>
    </xf>
    <xf numFmtId="190" fontId="16" fillId="4" borderId="1" xfId="0" applyNumberFormat="1" applyFont="1" applyFill="1" applyBorder="1" applyAlignment="1">
      <alignment horizontal="center"/>
    </xf>
    <xf numFmtId="11" fontId="9" fillId="4" borderId="23" xfId="0" applyNumberFormat="1" applyFont="1" applyFill="1" applyBorder="1" applyAlignment="1">
      <alignment horizontal="center"/>
    </xf>
    <xf numFmtId="11" fontId="9" fillId="4" borderId="40" xfId="0" applyNumberFormat="1" applyFont="1" applyFill="1" applyBorder="1" applyAlignment="1">
      <alignment horizontal="center"/>
    </xf>
    <xf numFmtId="4" fontId="9" fillId="4" borderId="40" xfId="0" applyNumberFormat="1" applyFont="1" applyFill="1" applyBorder="1" applyAlignment="1">
      <alignment horizontal="center"/>
    </xf>
    <xf numFmtId="11" fontId="9" fillId="4" borderId="41" xfId="0" applyNumberFormat="1" applyFont="1" applyFill="1" applyBorder="1" applyAlignment="1">
      <alignment horizontal="center"/>
    </xf>
    <xf numFmtId="189" fontId="3" fillId="4" borderId="42" xfId="0" applyNumberFormat="1" applyFont="1" applyFill="1" applyBorder="1" applyAlignment="1">
      <alignment horizontal="center"/>
    </xf>
    <xf numFmtId="189" fontId="16" fillId="4" borderId="39" xfId="0" applyNumberFormat="1" applyFont="1" applyFill="1" applyBorder="1" applyAlignment="1">
      <alignment horizontal="left"/>
    </xf>
    <xf numFmtId="4" fontId="16" fillId="4" borderId="39" xfId="0" applyNumberFormat="1" applyFont="1" applyFill="1" applyBorder="1" applyAlignment="1">
      <alignment horizontal="left"/>
    </xf>
    <xf numFmtId="0" fontId="3" fillId="4" borderId="43" xfId="0" applyFont="1" applyFill="1" applyBorder="1" applyAlignment="1">
      <alignment horizontal="center"/>
    </xf>
    <xf numFmtId="191" fontId="16" fillId="4" borderId="39" xfId="0" applyNumberFormat="1" applyFont="1" applyFill="1" applyBorder="1" applyAlignment="1">
      <alignment horizontal="left"/>
    </xf>
    <xf numFmtId="190" fontId="16" fillId="4" borderId="39" xfId="0" applyNumberFormat="1" applyFont="1" applyFill="1" applyBorder="1" applyAlignment="1">
      <alignment horizontal="left"/>
    </xf>
    <xf numFmtId="0" fontId="3" fillId="4" borderId="42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4" fontId="3" fillId="4" borderId="44" xfId="0" applyNumberFormat="1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189" fontId="16" fillId="4" borderId="46" xfId="0" applyNumberFormat="1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4" fontId="16" fillId="4" borderId="46" xfId="0" applyNumberFormat="1" applyFont="1" applyFill="1" applyBorder="1" applyAlignment="1">
      <alignment horizontal="center"/>
    </xf>
    <xf numFmtId="4" fontId="3" fillId="4" borderId="45" xfId="0" applyNumberFormat="1" applyFont="1" applyFill="1" applyBorder="1" applyAlignment="1">
      <alignment horizontal="center"/>
    </xf>
    <xf numFmtId="4" fontId="3" fillId="4" borderId="47" xfId="0" applyNumberFormat="1" applyFont="1" applyFill="1" applyBorder="1" applyAlignment="1">
      <alignment horizontal="center"/>
    </xf>
    <xf numFmtId="191" fontId="16" fillId="4" borderId="46" xfId="0" applyNumberFormat="1" applyFont="1" applyFill="1" applyBorder="1" applyAlignment="1">
      <alignment horizontal="center"/>
    </xf>
    <xf numFmtId="190" fontId="16" fillId="4" borderId="46" xfId="0" applyNumberFormat="1" applyFont="1" applyFill="1" applyBorder="1" applyAlignment="1">
      <alignment horizontal="center"/>
    </xf>
    <xf numFmtId="11" fontId="9" fillId="4" borderId="48" xfId="0" applyNumberFormat="1" applyFont="1" applyFill="1" applyBorder="1" applyAlignment="1">
      <alignment horizontal="center"/>
    </xf>
    <xf numFmtId="4" fontId="9" fillId="4" borderId="48" xfId="0" applyNumberFormat="1" applyFont="1" applyFill="1" applyBorder="1" applyAlignment="1">
      <alignment horizontal="center"/>
    </xf>
    <xf numFmtId="11" fontId="9" fillId="4" borderId="49" xfId="0" applyNumberFormat="1" applyFont="1" applyFill="1" applyBorder="1" applyAlignment="1">
      <alignment horizontal="center"/>
    </xf>
    <xf numFmtId="4" fontId="9" fillId="4" borderId="49" xfId="0" applyNumberFormat="1" applyFont="1" applyFill="1" applyBorder="1" applyAlignment="1">
      <alignment horizontal="center"/>
    </xf>
    <xf numFmtId="189" fontId="3" fillId="4" borderId="1" xfId="0" applyNumberFormat="1" applyFont="1" applyFill="1" applyBorder="1" applyAlignment="1">
      <alignment horizontal="center"/>
    </xf>
    <xf numFmtId="189" fontId="16" fillId="4" borderId="50" xfId="0" applyNumberFormat="1" applyFont="1" applyFill="1" applyBorder="1" applyAlignment="1">
      <alignment horizontal="right"/>
    </xf>
    <xf numFmtId="4" fontId="16" fillId="4" borderId="50" xfId="0" applyNumberFormat="1" applyFont="1" applyFill="1" applyBorder="1" applyAlignment="1">
      <alignment horizontal="right"/>
    </xf>
    <xf numFmtId="191" fontId="16" fillId="4" borderId="50" xfId="0" applyNumberFormat="1" applyFont="1" applyFill="1" applyBorder="1" applyAlignment="1">
      <alignment horizontal="right"/>
    </xf>
    <xf numFmtId="190" fontId="16" fillId="4" borderId="50" xfId="0" applyNumberFormat="1" applyFont="1" applyFill="1" applyBorder="1" applyAlignment="1">
      <alignment horizontal="right"/>
    </xf>
    <xf numFmtId="0" fontId="3" fillId="4" borderId="51" xfId="0" applyFont="1" applyFill="1" applyBorder="1" applyAlignment="1">
      <alignment horizontal="center"/>
    </xf>
    <xf numFmtId="4" fontId="3" fillId="4" borderId="51" xfId="0" applyNumberFormat="1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4" fontId="3" fillId="4" borderId="52" xfId="0" applyNumberFormat="1" applyFont="1" applyFill="1" applyBorder="1" applyAlignment="1">
      <alignment horizontal="center"/>
    </xf>
    <xf numFmtId="4" fontId="3" fillId="4" borderId="53" xfId="0" applyNumberFormat="1" applyFont="1" applyFill="1" applyBorder="1" applyAlignment="1">
      <alignment horizontal="center"/>
    </xf>
    <xf numFmtId="11" fontId="9" fillId="4" borderId="54" xfId="0" applyNumberFormat="1" applyFont="1" applyFill="1" applyBorder="1" applyAlignment="1">
      <alignment horizontal="center"/>
    </xf>
    <xf numFmtId="4" fontId="9" fillId="4" borderId="54" xfId="0" applyNumberFormat="1" applyFont="1" applyFill="1" applyBorder="1" applyAlignment="1">
      <alignment horizontal="center"/>
    </xf>
    <xf numFmtId="189" fontId="3" fillId="4" borderId="14" xfId="0" applyNumberFormat="1" applyFont="1" applyFill="1" applyBorder="1" applyAlignment="1">
      <alignment horizontal="center"/>
    </xf>
    <xf numFmtId="1" fontId="3" fillId="0" borderId="0" xfId="0" applyNumberFormat="1" applyFont="1" applyAlignment="1"/>
    <xf numFmtId="2" fontId="3" fillId="2" borderId="1" xfId="0" applyNumberFormat="1" applyFont="1" applyFill="1" applyBorder="1" applyAlignment="1"/>
    <xf numFmtId="0" fontId="3" fillId="2" borderId="1" xfId="0" applyFont="1" applyFill="1" applyBorder="1" applyAlignment="1"/>
    <xf numFmtId="189" fontId="3" fillId="2" borderId="0" xfId="0" applyNumberFormat="1" applyFont="1" applyFill="1" applyAlignment="1">
      <alignment horizontal="right"/>
    </xf>
    <xf numFmtId="0" fontId="26" fillId="0" borderId="0" xfId="0" applyFont="1" applyAlignment="1">
      <alignment horizontal="center"/>
    </xf>
    <xf numFmtId="189" fontId="3" fillId="3" borderId="0" xfId="0" applyNumberFormat="1" applyFont="1" applyFill="1"/>
    <xf numFmtId="189" fontId="3" fillId="2" borderId="0" xfId="0" applyNumberFormat="1" applyFont="1" applyFill="1" applyAlignment="1"/>
    <xf numFmtId="189" fontId="3" fillId="0" borderId="0" xfId="0" applyNumberFormat="1" applyFont="1" applyAlignment="1">
      <alignment horizontal="right"/>
    </xf>
    <xf numFmtId="0" fontId="11" fillId="4" borderId="0" xfId="0" applyFont="1" applyFill="1" applyAlignment="1"/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89" fontId="3" fillId="3" borderId="0" xfId="0" applyNumberFormat="1" applyFont="1" applyFill="1" applyAlignment="1">
      <alignment horizontal="right"/>
    </xf>
    <xf numFmtId="189" fontId="11" fillId="4" borderId="1" xfId="0" applyNumberFormat="1" applyFont="1" applyFill="1" applyBorder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3" fillId="0" borderId="0" xfId="0" applyNumberFormat="1" applyFont="1"/>
    <xf numFmtId="0" fontId="27" fillId="0" borderId="0" xfId="0" applyFont="1" applyAlignment="1"/>
    <xf numFmtId="189" fontId="3" fillId="3" borderId="0" xfId="0" applyNumberFormat="1" applyFont="1" applyFill="1" applyAlignment="1">
      <alignment horizontal="right"/>
    </xf>
    <xf numFmtId="189" fontId="3" fillId="3" borderId="1" xfId="0" applyNumberFormat="1" applyFont="1" applyFill="1" applyBorder="1" applyAlignment="1">
      <alignment horizontal="right"/>
    </xf>
    <xf numFmtId="189" fontId="3" fillId="3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8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9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9" fontId="3" fillId="2" borderId="1" xfId="0" applyNumberFormat="1" applyFont="1" applyFill="1" applyBorder="1" applyAlignment="1"/>
    <xf numFmtId="2" fontId="3" fillId="2" borderId="1" xfId="0" applyNumberFormat="1" applyFont="1" applyFill="1" applyBorder="1"/>
    <xf numFmtId="189" fontId="3" fillId="3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right"/>
    </xf>
    <xf numFmtId="2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187" fontId="11" fillId="4" borderId="1" xfId="0" applyNumberFormat="1" applyFont="1" applyFill="1" applyBorder="1"/>
    <xf numFmtId="2" fontId="11" fillId="4" borderId="1" xfId="0" applyNumberFormat="1" applyFont="1" applyFill="1" applyBorder="1"/>
    <xf numFmtId="2" fontId="11" fillId="4" borderId="1" xfId="0" applyNumberFormat="1" applyFont="1" applyFill="1" applyBorder="1" applyAlignment="1"/>
    <xf numFmtId="0" fontId="12" fillId="4" borderId="1" xfId="0" applyFont="1" applyFill="1" applyBorder="1"/>
    <xf numFmtId="0" fontId="12" fillId="4" borderId="1" xfId="0" applyFont="1" applyFill="1" applyBorder="1" applyAlignment="1"/>
    <xf numFmtId="0" fontId="9" fillId="0" borderId="0" xfId="0" applyFont="1" applyAlignment="1">
      <alignment horizontal="center"/>
    </xf>
    <xf numFmtId="0" fontId="9" fillId="0" borderId="0" xfId="0" applyFont="1"/>
    <xf numFmtId="189" fontId="11" fillId="4" borderId="1" xfId="0" applyNumberFormat="1" applyFont="1" applyFill="1" applyBorder="1"/>
    <xf numFmtId="1" fontId="11" fillId="4" borderId="1" xfId="0" applyNumberFormat="1" applyFont="1" applyFill="1" applyBorder="1"/>
    <xf numFmtId="2" fontId="11" fillId="2" borderId="1" xfId="0" applyNumberFormat="1" applyFont="1" applyFill="1" applyBorder="1" applyAlignment="1"/>
    <xf numFmtId="189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89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89" fontId="5" fillId="0" borderId="0" xfId="0" applyNumberFormat="1" applyFont="1" applyAlignment="1"/>
    <xf numFmtId="1" fontId="5" fillId="0" borderId="0" xfId="0" applyNumberFormat="1" applyFont="1"/>
    <xf numFmtId="189" fontId="11" fillId="3" borderId="1" xfId="0" applyNumberFormat="1" applyFont="1" applyFill="1" applyBorder="1"/>
    <xf numFmtId="0" fontId="28" fillId="4" borderId="1" xfId="0" applyFont="1" applyFill="1" applyBorder="1"/>
    <xf numFmtId="193" fontId="9" fillId="0" borderId="0" xfId="0" applyNumberFormat="1" applyFont="1" applyAlignment="1"/>
    <xf numFmtId="2" fontId="3" fillId="3" borderId="1" xfId="0" applyNumberFormat="1" applyFont="1" applyFill="1" applyBorder="1"/>
    <xf numFmtId="1" fontId="11" fillId="0" borderId="0" xfId="0" applyNumberFormat="1" applyFont="1" applyAlignment="1"/>
    <xf numFmtId="192" fontId="3" fillId="3" borderId="0" xfId="0" applyNumberFormat="1" applyFont="1" applyFill="1"/>
    <xf numFmtId="189" fontId="9" fillId="0" borderId="0" xfId="0" applyNumberFormat="1" applyFont="1" applyAlignment="1">
      <alignment horizontal="center"/>
    </xf>
    <xf numFmtId="193" fontId="3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192" fontId="3" fillId="3" borderId="1" xfId="0" applyNumberFormat="1" applyFont="1" applyFill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1" fontId="3" fillId="4" borderId="1" xfId="0" applyNumberFormat="1" applyFont="1" applyFill="1" applyBorder="1"/>
    <xf numFmtId="189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0" fillId="0" borderId="0" xfId="0" applyFont="1" applyAlignment="1"/>
    <xf numFmtId="0" fontId="5" fillId="0" borderId="0" xfId="0" applyFont="1" applyAlignment="1">
      <alignment horizontal="left"/>
    </xf>
    <xf numFmtId="189" fontId="9" fillId="0" borderId="0" xfId="0" applyNumberFormat="1" applyFont="1" applyAlignment="1">
      <alignment horizont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189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87" fontId="3" fillId="3" borderId="0" xfId="0" applyNumberFormat="1" applyFont="1" applyFill="1" applyAlignment="1">
      <alignment horizontal="center"/>
    </xf>
    <xf numFmtId="0" fontId="18" fillId="0" borderId="0" xfId="0" applyFont="1" applyAlignment="1">
      <alignment horizontal="right"/>
    </xf>
    <xf numFmtId="189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/>
    <xf numFmtId="0" fontId="3" fillId="6" borderId="0" xfId="0" applyFont="1" applyFill="1" applyAlignment="1">
      <alignment horizontal="right"/>
    </xf>
    <xf numFmtId="189" fontId="3" fillId="6" borderId="0" xfId="0" applyNumberFormat="1" applyFont="1" applyFill="1" applyAlignment="1">
      <alignment horizontal="center"/>
    </xf>
    <xf numFmtId="0" fontId="3" fillId="6" borderId="0" xfId="0" applyFont="1" applyFill="1" applyAlignment="1"/>
    <xf numFmtId="0" fontId="5" fillId="6" borderId="0" xfId="0" applyFont="1" applyFill="1" applyAlignment="1"/>
    <xf numFmtId="0" fontId="5" fillId="6" borderId="0" xfId="0" applyFont="1" applyFill="1"/>
    <xf numFmtId="0" fontId="3" fillId="6" borderId="0" xfId="0" applyFont="1" applyFill="1"/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189" fontId="3" fillId="6" borderId="0" xfId="0" applyNumberFormat="1" applyFont="1" applyFill="1" applyAlignment="1">
      <alignment horizontal="right"/>
    </xf>
    <xf numFmtId="0" fontId="26" fillId="6" borderId="0" xfId="0" applyFont="1" applyFill="1" applyAlignment="1">
      <alignment horizontal="center"/>
    </xf>
    <xf numFmtId="189" fontId="3" fillId="0" borderId="0" xfId="0" applyNumberFormat="1" applyFont="1" applyAlignment="1"/>
    <xf numFmtId="0" fontId="9" fillId="5" borderId="0" xfId="0" applyFont="1" applyFill="1" applyAlignment="1"/>
    <xf numFmtId="0" fontId="32" fillId="0" borderId="0" xfId="0" applyFont="1" applyAlignment="1"/>
    <xf numFmtId="0" fontId="29" fillId="0" borderId="0" xfId="0" applyFont="1"/>
    <xf numFmtId="2" fontId="3" fillId="2" borderId="0" xfId="0" applyNumberFormat="1" applyFont="1" applyFill="1" applyAlignment="1"/>
    <xf numFmtId="0" fontId="29" fillId="0" borderId="0" xfId="0" applyFont="1" applyAlignment="1">
      <alignment horizontal="right"/>
    </xf>
    <xf numFmtId="0" fontId="3" fillId="4" borderId="0" xfId="0" applyFont="1" applyFill="1" applyAlignment="1"/>
    <xf numFmtId="0" fontId="29" fillId="0" borderId="0" xfId="0" applyFont="1" applyAlignment="1"/>
    <xf numFmtId="189" fontId="11" fillId="4" borderId="0" xfId="0" applyNumberFormat="1" applyFont="1" applyFill="1"/>
    <xf numFmtId="1" fontId="3" fillId="3" borderId="0" xfId="0" applyNumberFormat="1" applyFont="1" applyFill="1"/>
    <xf numFmtId="2" fontId="3" fillId="3" borderId="0" xfId="0" applyNumberFormat="1" applyFont="1" applyFill="1"/>
    <xf numFmtId="189" fontId="3" fillId="0" borderId="0" xfId="0" applyNumberFormat="1" applyFont="1" applyAlignment="1">
      <alignment horizontal="center"/>
    </xf>
    <xf numFmtId="0" fontId="33" fillId="4" borderId="0" xfId="0" applyFont="1" applyFill="1" applyAlignment="1"/>
    <xf numFmtId="0" fontId="34" fillId="4" borderId="0" xfId="0" applyFont="1" applyFill="1" applyAlignment="1"/>
    <xf numFmtId="0" fontId="3" fillId="3" borderId="0" xfId="0" applyFont="1" applyFill="1" applyAlignment="1"/>
    <xf numFmtId="0" fontId="35" fillId="4" borderId="0" xfId="0" applyFont="1" applyFill="1" applyAlignment="1"/>
    <xf numFmtId="189" fontId="3" fillId="3" borderId="0" xfId="0" applyNumberFormat="1" applyFont="1" applyFill="1" applyAlignment="1"/>
    <xf numFmtId="2" fontId="3" fillId="3" borderId="0" xfId="0" applyNumberFormat="1" applyFont="1" applyFill="1" applyAlignment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" fontId="3" fillId="3" borderId="0" xfId="0" applyNumberFormat="1" applyFont="1" applyFill="1" applyAlignment="1"/>
    <xf numFmtId="192" fontId="3" fillId="0" borderId="0" xfId="0" applyNumberFormat="1" applyFont="1"/>
    <xf numFmtId="189" fontId="11" fillId="4" borderId="0" xfId="0" applyNumberFormat="1" applyFont="1" applyFill="1" applyAlignment="1"/>
    <xf numFmtId="0" fontId="15" fillId="4" borderId="0" xfId="0" applyFont="1" applyFill="1" applyAlignment="1">
      <alignment horizontal="left"/>
    </xf>
    <xf numFmtId="0" fontId="36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1" fontId="3" fillId="4" borderId="36" xfId="0" applyNumberFormat="1" applyFont="1" applyFill="1" applyBorder="1" applyAlignment="1">
      <alignment horizontal="center"/>
    </xf>
    <xf numFmtId="0" fontId="23" fillId="0" borderId="37" xfId="0" applyFont="1" applyBorder="1"/>
    <xf numFmtId="0" fontId="23" fillId="0" borderId="38" xfId="0" applyFont="1" applyBorder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177</xdr:row>
      <xdr:rowOff>219075</xdr:rowOff>
    </xdr:from>
    <xdr:ext cx="7077075" cy="2667000"/>
    <xdr:pic>
      <xdr:nvPicPr>
        <xdr:cNvPr id="2" name="image2.png" title="ภาพ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1400175</xdr:colOff>
      <xdr:row>223</xdr:row>
      <xdr:rowOff>180975</xdr:rowOff>
    </xdr:from>
    <xdr:ext cx="5610225" cy="7839075"/>
    <xdr:pic>
      <xdr:nvPicPr>
        <xdr:cNvPr id="3" name="image1.png" title="ภาพ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sq.cm/m" TargetMode="External"/><Relationship Id="rId1" Type="http://schemas.openxmlformats.org/officeDocument/2006/relationships/hyperlink" Target="http://sq.cm/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V1034"/>
  <sheetViews>
    <sheetView workbookViewId="0">
      <selection sqref="A1:B1"/>
    </sheetView>
  </sheetViews>
  <sheetFormatPr defaultColWidth="14.42578125" defaultRowHeight="15" customHeight="1"/>
  <cols>
    <col min="1" max="1" width="26" customWidth="1"/>
    <col min="2" max="2" width="12.7109375" customWidth="1"/>
    <col min="3" max="3" width="13" customWidth="1"/>
    <col min="4" max="4" width="13.140625" customWidth="1"/>
    <col min="5" max="5" width="17.42578125" customWidth="1"/>
    <col min="6" max="6" width="21" customWidth="1"/>
    <col min="7" max="7" width="12" customWidth="1"/>
    <col min="8" max="8" width="13.140625" customWidth="1"/>
    <col min="9" max="9" width="16.140625" customWidth="1"/>
    <col min="10" max="10" width="10" customWidth="1"/>
    <col min="11" max="11" width="11" customWidth="1"/>
    <col min="12" max="12" width="9.28515625" customWidth="1"/>
    <col min="13" max="13" width="14.5703125" customWidth="1"/>
    <col min="14" max="14" width="15.85546875" customWidth="1"/>
    <col min="15" max="15" width="13.5703125" customWidth="1"/>
    <col min="16" max="16" width="10.7109375" customWidth="1"/>
    <col min="17" max="17" width="11.85546875" customWidth="1"/>
    <col min="18" max="18" width="10" customWidth="1"/>
    <col min="19" max="19" width="11.7109375" customWidth="1"/>
    <col min="20" max="20" width="6.85546875" customWidth="1"/>
    <col min="21" max="21" width="10.28515625" customWidth="1"/>
    <col min="22" max="22" width="10.7109375" customWidth="1"/>
    <col min="23" max="23" width="8.7109375" customWidth="1"/>
    <col min="24" max="24" width="6.85546875" customWidth="1"/>
    <col min="25" max="25" width="7" customWidth="1"/>
    <col min="26" max="26" width="11.85546875" customWidth="1"/>
    <col min="27" max="27" width="9.140625" customWidth="1"/>
    <col min="28" max="28" width="9.42578125" customWidth="1"/>
    <col min="29" max="29" width="8.5703125" customWidth="1"/>
    <col min="30" max="30" width="9.140625" customWidth="1"/>
    <col min="31" max="31" width="8.140625" customWidth="1"/>
    <col min="32" max="32" width="6.28515625" customWidth="1"/>
    <col min="33" max="33" width="8" customWidth="1"/>
    <col min="34" max="34" width="10.5703125" customWidth="1"/>
    <col min="35" max="35" width="7.7109375" customWidth="1"/>
  </cols>
  <sheetData>
    <row r="1" spans="1:48" ht="15.75" customHeight="1">
      <c r="A1" s="314" t="s">
        <v>0</v>
      </c>
      <c r="B1" s="315"/>
      <c r="C1" s="1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5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ht="15.75" customHeight="1">
      <c r="A2" s="316" t="s">
        <v>1</v>
      </c>
      <c r="B2" s="315"/>
      <c r="C2" s="315"/>
      <c r="D2" s="315"/>
      <c r="E2" s="3"/>
      <c r="F2" s="3"/>
      <c r="G2" s="6" t="s">
        <v>2</v>
      </c>
      <c r="H2" s="6" t="s">
        <v>3</v>
      </c>
      <c r="I2" s="7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5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5.75" customHeight="1">
      <c r="A3" s="316" t="s">
        <v>4</v>
      </c>
      <c r="B3" s="315"/>
      <c r="C3" s="315"/>
      <c r="D3" s="315"/>
      <c r="E3" s="8"/>
      <c r="F3" s="8"/>
      <c r="G3" s="6" t="s">
        <v>5</v>
      </c>
      <c r="H3" s="7"/>
      <c r="I3" s="7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  <c r="AL3" s="5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5.75" customHeight="1">
      <c r="A4" s="317" t="s">
        <v>6</v>
      </c>
      <c r="B4" s="315"/>
      <c r="C4" s="10"/>
      <c r="D4" s="2"/>
      <c r="E4" s="8"/>
      <c r="F4" s="8"/>
      <c r="G4" s="6" t="s">
        <v>7</v>
      </c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/>
      <c r="AL4" s="5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5.75" customHeight="1">
      <c r="A5" s="11"/>
      <c r="B5" s="12"/>
      <c r="C5" s="10"/>
      <c r="D5" s="13"/>
      <c r="E5" s="9"/>
      <c r="F5" s="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/>
      <c r="AL5" s="5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5.75" customHeight="1">
      <c r="A6" s="11"/>
      <c r="B6" s="12"/>
      <c r="C6" s="12"/>
      <c r="D6" s="14"/>
      <c r="E6" s="317" t="s">
        <v>8</v>
      </c>
      <c r="F6" s="3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  <c r="AL6" s="5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5.75" customHeight="1">
      <c r="A7" s="11"/>
      <c r="B7" s="12"/>
      <c r="C7" s="12"/>
      <c r="D7" s="15"/>
      <c r="E7" s="317" t="s">
        <v>9</v>
      </c>
      <c r="F7" s="31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  <c r="AL7" s="5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.75" customHeight="1">
      <c r="A8" s="16"/>
      <c r="B8" s="5"/>
      <c r="C8" s="5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/>
      <c r="AL8" s="5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.75" customHeight="1">
      <c r="A9" s="16" t="s">
        <v>10</v>
      </c>
      <c r="B9" s="5"/>
      <c r="C9" s="5"/>
      <c r="D9" s="6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/>
      <c r="AL9" s="5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5.75" customHeight="1">
      <c r="A10" s="17"/>
      <c r="B10" s="5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  <c r="AK10" s="18"/>
      <c r="AL10" s="5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5.75" customHeight="1">
      <c r="A11" s="19" t="s">
        <v>11</v>
      </c>
      <c r="B11" s="5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  <c r="AK11" s="18"/>
      <c r="AL11" s="5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5.75" customHeight="1">
      <c r="A12" s="20" t="s">
        <v>12</v>
      </c>
      <c r="B12" s="21">
        <v>240</v>
      </c>
      <c r="C12" s="22" t="s">
        <v>13</v>
      </c>
      <c r="D12" s="4"/>
      <c r="E12" s="4"/>
      <c r="F12" s="4"/>
      <c r="G12" s="23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18"/>
      <c r="AL12" s="5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5.75" customHeight="1">
      <c r="A13" s="24" t="s">
        <v>14</v>
      </c>
      <c r="B13" s="25"/>
      <c r="C13" s="25"/>
      <c r="D13" s="25"/>
      <c r="E13" s="26" t="s">
        <v>15</v>
      </c>
      <c r="F13" s="25"/>
      <c r="G13" s="25"/>
      <c r="H13" s="25"/>
      <c r="I13" s="2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7"/>
      <c r="AK13" s="28"/>
      <c r="AL13" s="27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15.75" customHeight="1">
      <c r="A14" s="20" t="s">
        <v>16</v>
      </c>
      <c r="B14" s="21">
        <v>2400</v>
      </c>
      <c r="C14" s="22" t="s">
        <v>13</v>
      </c>
      <c r="D14" s="29"/>
      <c r="E14" s="23" t="s">
        <v>16</v>
      </c>
      <c r="F14" s="30">
        <v>3000</v>
      </c>
      <c r="G14" s="23" t="s">
        <v>13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"/>
      <c r="AK14" s="18"/>
      <c r="AL14" s="5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5.75" customHeight="1">
      <c r="A15" s="23"/>
      <c r="B15" s="4"/>
      <c r="C15" s="4"/>
      <c r="D15" s="4"/>
      <c r="E15" s="4"/>
      <c r="F15" s="4"/>
      <c r="G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  <c r="AK15" s="18"/>
      <c r="AL15" s="5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5.75" customHeight="1">
      <c r="A16" s="19" t="s">
        <v>17</v>
      </c>
      <c r="B16" s="4"/>
      <c r="C16" s="4"/>
      <c r="D16" s="4"/>
      <c r="E16" s="4"/>
      <c r="F16" s="4"/>
      <c r="G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18"/>
      <c r="AL16" s="5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8.75">
      <c r="A17" s="31" t="s">
        <v>18</v>
      </c>
      <c r="B17" s="32">
        <f>0.85*B12</f>
        <v>204</v>
      </c>
      <c r="C17" s="23" t="s">
        <v>13</v>
      </c>
      <c r="E17" s="4"/>
      <c r="F17" s="4"/>
      <c r="G17" s="4"/>
      <c r="H17" s="6" t="s">
        <v>19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.75" customHeight="1">
      <c r="A18" s="31" t="s">
        <v>20</v>
      </c>
      <c r="B18" s="32">
        <f>IF(B12&lt;=280,0.85,0.85-0.05*((B12-280)/70))</f>
        <v>0.85</v>
      </c>
      <c r="C18" s="4"/>
      <c r="E18" s="4"/>
      <c r="F18" s="4"/>
      <c r="G18" s="4"/>
      <c r="H18" s="6" t="s">
        <v>21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5"/>
      <c r="AK18" s="18"/>
      <c r="AL18" s="5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.75" customHeight="1">
      <c r="A19" s="31" t="s">
        <v>22</v>
      </c>
      <c r="B19" s="33">
        <f>B22*B14*(1-(0.5*B22*B14/B17))</f>
        <v>54.66164062499999</v>
      </c>
      <c r="C19" s="23" t="s">
        <v>13</v>
      </c>
      <c r="D19" s="4"/>
      <c r="H19" s="6" t="s">
        <v>23</v>
      </c>
      <c r="J19" s="34" t="s">
        <v>24</v>
      </c>
      <c r="K19" s="23" t="s">
        <v>25</v>
      </c>
      <c r="L19" s="4"/>
      <c r="M19" s="4"/>
      <c r="N19" s="35">
        <f>0.375*B18*B17*(1-0.1875*B18)</f>
        <v>54.66164062499999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  <c r="AK19" s="18"/>
      <c r="AL19" s="5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.75" customHeight="1">
      <c r="A20" s="24" t="s">
        <v>14</v>
      </c>
      <c r="B20" s="25"/>
      <c r="C20" s="25"/>
      <c r="D20" s="25"/>
      <c r="E20" s="26" t="s">
        <v>15</v>
      </c>
      <c r="F20" s="25"/>
      <c r="G20" s="25"/>
      <c r="H20" s="27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7"/>
      <c r="AK20" s="28"/>
      <c r="AL20" s="27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ht="15.75" customHeight="1">
      <c r="A21" s="31" t="s">
        <v>26</v>
      </c>
      <c r="B21" s="36">
        <f>B17*B18*6000/B14/(6000+fy)</f>
        <v>5.1607142857142858E-2</v>
      </c>
      <c r="C21" s="4"/>
      <c r="E21" s="31" t="s">
        <v>26</v>
      </c>
      <c r="F21" s="36">
        <f>B17*B18*6000/F14/(6000+F14)</f>
        <v>3.8533333333333336E-2</v>
      </c>
      <c r="G21" s="4"/>
      <c r="H21" s="6" t="s">
        <v>27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5"/>
      <c r="AK21" s="18"/>
      <c r="AL21" s="5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15.75" customHeight="1">
      <c r="A22" s="31" t="s">
        <v>28</v>
      </c>
      <c r="B22" s="36">
        <f>0.375*B18*B17/B14</f>
        <v>2.7093749999999996E-2</v>
      </c>
      <c r="D22" s="6"/>
      <c r="E22" s="31" t="s">
        <v>28</v>
      </c>
      <c r="F22" s="37">
        <f>0.375*B18*B17/F14</f>
        <v>2.1674999999999996E-2</v>
      </c>
      <c r="H22" s="6" t="s">
        <v>29</v>
      </c>
      <c r="J22" s="4"/>
      <c r="K22" s="34"/>
      <c r="O22" s="3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K22" s="18"/>
      <c r="AL22" s="5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5.75" customHeight="1">
      <c r="A23" s="31" t="s">
        <v>30</v>
      </c>
      <c r="B23" s="36">
        <f>IF(B26&lt;=B27,B27,B26)</f>
        <v>5.8333333333333336E-3</v>
      </c>
      <c r="C23" s="4"/>
      <c r="E23" s="31" t="s">
        <v>30</v>
      </c>
      <c r="F23" s="36">
        <f>IF(F26&lt;=F27,F27,F26)</f>
        <v>4.6666666666666671E-3</v>
      </c>
      <c r="G23" s="4"/>
      <c r="H23" s="6" t="s">
        <v>31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  <c r="AK23" s="18"/>
      <c r="AL23" s="5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.75" customHeight="1">
      <c r="A24" s="31" t="s">
        <v>32</v>
      </c>
      <c r="B24" s="37">
        <v>2.5000000000000001E-3</v>
      </c>
      <c r="C24" s="4"/>
      <c r="E24" s="31" t="s">
        <v>32</v>
      </c>
      <c r="F24" s="36">
        <f>IF($F$14&lt;=3000,0.002,IF($F$14&lt;=4000,0.0018,IF($F$14&lt;=5000,0.0014)))</f>
        <v>2E-3</v>
      </c>
      <c r="G24" s="4"/>
      <c r="H24" s="2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  <c r="AK24" s="39"/>
      <c r="AL24" s="5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6" spans="1:48" ht="15.75" customHeight="1">
      <c r="A26" s="40" t="s">
        <v>33</v>
      </c>
      <c r="B26" s="41">
        <f>0.8*SQRT(B12)/B14</f>
        <v>5.1639777949432225E-3</v>
      </c>
      <c r="C26" s="42"/>
      <c r="D26" s="43"/>
      <c r="E26" s="40" t="s">
        <v>33</v>
      </c>
      <c r="F26" s="41">
        <f>0.8*SQRT(B12)/F14</f>
        <v>4.1311822359545785E-3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  <c r="AK26" s="18"/>
      <c r="AL26" s="5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.75" customHeight="1">
      <c r="A27" s="40" t="s">
        <v>34</v>
      </c>
      <c r="B27" s="44">
        <f>14/B14</f>
        <v>5.8333333333333336E-3</v>
      </c>
      <c r="C27" s="42"/>
      <c r="D27" s="43"/>
      <c r="E27" s="40" t="s">
        <v>34</v>
      </c>
      <c r="F27" s="41">
        <f>14/F14</f>
        <v>4.6666666666666671E-3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5"/>
      <c r="AK27" s="18"/>
      <c r="AL27" s="5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.75" customHeight="1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5"/>
      <c r="AK28" s="18"/>
      <c r="AL28" s="5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.75" customHeight="1">
      <c r="A29" s="31" t="s">
        <v>35</v>
      </c>
      <c r="B29" s="33">
        <v>0.9</v>
      </c>
      <c r="C29" s="4"/>
      <c r="D29" s="6" t="s">
        <v>36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5"/>
      <c r="AK29" s="18"/>
      <c r="AL29" s="5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.75" customHeight="1">
      <c r="A30" s="31" t="s">
        <v>37</v>
      </c>
      <c r="B30" s="23">
        <v>0.85</v>
      </c>
      <c r="C30" s="4"/>
      <c r="D30" s="45" t="s">
        <v>38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5"/>
      <c r="AK30" s="18"/>
      <c r="AL30" s="5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.75" customHeight="1">
      <c r="A31" s="31" t="s">
        <v>39</v>
      </c>
      <c r="B31" s="33">
        <v>0.7</v>
      </c>
      <c r="C31" s="4"/>
      <c r="D31" s="45" t="s">
        <v>38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6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.75" customHeight="1">
      <c r="A32" s="31" t="s">
        <v>40</v>
      </c>
      <c r="B32" s="23">
        <v>1.4</v>
      </c>
      <c r="C32" s="4"/>
      <c r="D32" s="6" t="s">
        <v>41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6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75" customHeight="1">
      <c r="A33" s="31" t="s">
        <v>42</v>
      </c>
      <c r="B33" s="23">
        <v>1.7</v>
      </c>
      <c r="C33" s="4"/>
      <c r="D33" s="45" t="s">
        <v>41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6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75" customHeight="1">
      <c r="A34" s="1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6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.75" customHeight="1">
      <c r="A35" s="17" t="s">
        <v>43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7" t="s">
        <v>44</v>
      </c>
      <c r="N35" s="23" t="s">
        <v>45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6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.75" customHeight="1">
      <c r="A36" s="48" t="s">
        <v>46</v>
      </c>
      <c r="B36" s="48"/>
      <c r="C36" s="49" t="s">
        <v>47</v>
      </c>
      <c r="D36" s="50">
        <v>9</v>
      </c>
      <c r="E36" s="20" t="s">
        <v>48</v>
      </c>
      <c r="F36" s="4"/>
      <c r="G36" s="4"/>
      <c r="H36" s="4"/>
      <c r="I36" s="51"/>
      <c r="J36" s="52" t="s">
        <v>49</v>
      </c>
      <c r="K36" s="53"/>
      <c r="L36" s="4"/>
      <c r="M36" s="54" t="s">
        <v>50</v>
      </c>
      <c r="N36" s="23" t="s">
        <v>51</v>
      </c>
      <c r="O36" s="4"/>
      <c r="P36" s="5"/>
      <c r="R36" s="5"/>
      <c r="S36" s="5"/>
      <c r="T36" s="5"/>
      <c r="U36" s="5"/>
      <c r="V36" s="5"/>
      <c r="W36" s="5"/>
      <c r="X36" s="5"/>
      <c r="Y36" s="55"/>
      <c r="Z36" s="56"/>
      <c r="AA36" s="5"/>
      <c r="AB36" s="4"/>
      <c r="AC36" s="31"/>
      <c r="AD36" s="4"/>
      <c r="AE36" s="23"/>
      <c r="AF36" s="57"/>
      <c r="AG36" s="5"/>
      <c r="AH36" s="18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75" customHeight="1">
      <c r="A37" s="5" t="s">
        <v>52</v>
      </c>
      <c r="B37" s="4"/>
      <c r="C37" s="4"/>
      <c r="D37" s="58">
        <f>PI()*(D36/10)^2/4</f>
        <v>0.63617251235193317</v>
      </c>
      <c r="E37" s="59" t="s">
        <v>53</v>
      </c>
      <c r="F37" s="4"/>
      <c r="G37" s="4"/>
      <c r="H37" s="4"/>
      <c r="I37" s="60"/>
      <c r="J37" s="61" t="s">
        <v>50</v>
      </c>
      <c r="K37" s="62"/>
      <c r="L37" s="4"/>
      <c r="M37" s="47" t="s">
        <v>54</v>
      </c>
      <c r="N37" s="23" t="s">
        <v>55</v>
      </c>
      <c r="O37" s="4"/>
      <c r="P37" s="5"/>
      <c r="Q37" s="5"/>
      <c r="R37" s="5"/>
      <c r="S37" s="5"/>
      <c r="T37" s="5"/>
      <c r="U37" s="5"/>
      <c r="V37" s="5"/>
      <c r="W37" s="5"/>
      <c r="X37" s="5"/>
      <c r="Y37" s="4"/>
      <c r="Z37" s="4"/>
      <c r="AA37" s="46"/>
      <c r="AB37" s="46"/>
      <c r="AC37" s="4"/>
      <c r="AD37" s="4"/>
      <c r="AE37" s="4"/>
      <c r="AF37" s="4"/>
      <c r="AG37" s="46"/>
      <c r="AH37" s="46"/>
      <c r="AI37" s="18"/>
      <c r="AJ37" s="4"/>
      <c r="AK37" s="63"/>
      <c r="AL37" s="4"/>
      <c r="AM37" s="4"/>
      <c r="AN37" s="4"/>
      <c r="AO37" s="4"/>
      <c r="AP37" s="17"/>
      <c r="AQ37" s="4"/>
      <c r="AR37" s="64"/>
      <c r="AS37" s="4"/>
      <c r="AT37" s="4"/>
      <c r="AU37" s="4"/>
      <c r="AV37" s="4"/>
    </row>
    <row r="38" spans="1:48" ht="15.75" customHeight="1">
      <c r="A38" s="23"/>
      <c r="B38" s="4"/>
      <c r="C38" s="4"/>
      <c r="D38" s="4"/>
      <c r="E38" s="23"/>
      <c r="F38" s="4"/>
      <c r="G38" s="4"/>
      <c r="H38" s="4"/>
      <c r="I38" s="65" t="s">
        <v>56</v>
      </c>
      <c r="J38" s="61" t="s">
        <v>57</v>
      </c>
      <c r="K38" s="66" t="s">
        <v>58</v>
      </c>
      <c r="L38" s="4"/>
      <c r="M38" s="54" t="s">
        <v>57</v>
      </c>
      <c r="N38" s="23" t="s">
        <v>59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63"/>
      <c r="AL38" s="4"/>
      <c r="AM38" s="4"/>
      <c r="AN38" s="4"/>
      <c r="AO38" s="4"/>
      <c r="AP38" s="17"/>
      <c r="AQ38" s="4"/>
      <c r="AR38" s="64"/>
      <c r="AS38" s="4"/>
      <c r="AT38" s="4"/>
      <c r="AU38" s="4"/>
      <c r="AV38" s="4"/>
    </row>
    <row r="39" spans="1:48" ht="15.75" customHeight="1">
      <c r="A39" s="23" t="s">
        <v>60</v>
      </c>
      <c r="B39" s="4"/>
      <c r="C39" s="4"/>
      <c r="D39" s="4">
        <f>IF(C36="RB",B14,F14)</f>
        <v>2400</v>
      </c>
      <c r="E39" s="23" t="s">
        <v>13</v>
      </c>
      <c r="F39" s="4"/>
      <c r="G39" s="4"/>
      <c r="H39" s="4"/>
      <c r="I39" s="67"/>
      <c r="J39" s="68" t="s">
        <v>61</v>
      </c>
      <c r="K39" s="69"/>
      <c r="L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63"/>
      <c r="AL39" s="4"/>
      <c r="AM39" s="4"/>
      <c r="AN39" s="4"/>
      <c r="AO39" s="4"/>
      <c r="AP39" s="17"/>
      <c r="AQ39" s="4"/>
      <c r="AR39" s="64"/>
      <c r="AS39" s="4"/>
      <c r="AT39" s="4"/>
      <c r="AU39" s="4"/>
      <c r="AV39" s="4"/>
    </row>
    <row r="40" spans="1:48" ht="15.75" customHeight="1">
      <c r="A40" s="20" t="s">
        <v>62</v>
      </c>
      <c r="B40" s="20"/>
      <c r="C40" s="20"/>
      <c r="D40" s="50">
        <v>2.5</v>
      </c>
      <c r="E40" s="20" t="s">
        <v>63</v>
      </c>
      <c r="F40" s="4"/>
      <c r="G40" s="4"/>
      <c r="H40" s="4"/>
      <c r="I40" s="4"/>
      <c r="J40" s="4"/>
      <c r="K40" s="4"/>
      <c r="L40" s="4"/>
      <c r="M40" s="23" t="s">
        <v>64</v>
      </c>
      <c r="N40" s="55">
        <f>D49*D43^2</f>
        <v>8281</v>
      </c>
      <c r="O40" s="5" t="s">
        <v>65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18"/>
      <c r="AL40" s="4"/>
      <c r="AM40" s="4"/>
      <c r="AN40" s="4"/>
      <c r="AO40" s="4"/>
      <c r="AP40" s="4"/>
      <c r="AQ40" s="4"/>
      <c r="AR40" s="64"/>
      <c r="AS40" s="4"/>
      <c r="AT40" s="4"/>
      <c r="AU40" s="4"/>
      <c r="AV40" s="4"/>
    </row>
    <row r="41" spans="1:48" ht="15.75" customHeight="1">
      <c r="A41" s="20" t="s">
        <v>66</v>
      </c>
      <c r="B41" s="20"/>
      <c r="C41" s="20"/>
      <c r="D41" s="50">
        <v>200</v>
      </c>
      <c r="E41" s="70" t="s">
        <v>67</v>
      </c>
      <c r="F41" s="4"/>
      <c r="G41" s="4"/>
      <c r="H41" s="4"/>
      <c r="I41" s="48" t="s">
        <v>68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46"/>
      <c r="AC41" s="46"/>
      <c r="AD41" s="71" t="s">
        <v>69</v>
      </c>
      <c r="AE41" s="4"/>
      <c r="AF41" s="4"/>
      <c r="AG41" s="4"/>
      <c r="AH41" s="46"/>
      <c r="AI41" s="46"/>
      <c r="AJ41" s="4"/>
      <c r="AK41" s="72"/>
      <c r="AL41" s="4"/>
      <c r="AM41" s="4"/>
      <c r="AN41" s="4"/>
      <c r="AO41" s="4"/>
      <c r="AP41" s="4"/>
      <c r="AQ41" s="4"/>
      <c r="AR41" s="64"/>
      <c r="AS41" s="4"/>
      <c r="AT41" s="4"/>
      <c r="AU41" s="4"/>
      <c r="AV41" s="4"/>
    </row>
    <row r="42" spans="1:48" ht="15.75" customHeight="1">
      <c r="A42" s="20" t="s">
        <v>70</v>
      </c>
      <c r="B42" s="20"/>
      <c r="C42" s="20"/>
      <c r="D42" s="50">
        <v>0</v>
      </c>
      <c r="E42" s="70" t="s">
        <v>67</v>
      </c>
      <c r="F42" s="4"/>
      <c r="G42" s="4"/>
      <c r="H42" s="4"/>
      <c r="I42" s="46"/>
      <c r="J42" s="73" t="s">
        <v>71</v>
      </c>
      <c r="K42" s="46"/>
      <c r="L42" s="46"/>
      <c r="M42" s="46"/>
      <c r="N42" s="74" t="s">
        <v>72</v>
      </c>
      <c r="O42" s="46"/>
      <c r="P42" s="46"/>
      <c r="Q42" s="75"/>
      <c r="R42" s="76" t="s">
        <v>73</v>
      </c>
      <c r="S42" s="46"/>
      <c r="T42" s="46"/>
      <c r="U42" s="46"/>
      <c r="V42" s="74" t="s">
        <v>74</v>
      </c>
      <c r="W42" s="46"/>
      <c r="X42" s="46"/>
      <c r="Y42" s="46"/>
      <c r="Z42" s="74" t="s">
        <v>75</v>
      </c>
      <c r="AA42" s="46"/>
      <c r="AB42" s="18"/>
      <c r="AC42" s="46"/>
      <c r="AD42" s="77" t="s">
        <v>76</v>
      </c>
      <c r="AE42" s="78"/>
      <c r="AF42" s="5"/>
      <c r="AG42" s="46"/>
      <c r="AH42" s="73" t="s">
        <v>77</v>
      </c>
      <c r="AI42" s="46"/>
      <c r="AJ42" s="4"/>
      <c r="AK42" s="4"/>
      <c r="AL42" s="4"/>
      <c r="AM42" s="4"/>
      <c r="AN42" s="4"/>
      <c r="AO42" s="4"/>
      <c r="AP42" s="4"/>
      <c r="AQ42" s="4"/>
      <c r="AR42" s="64"/>
      <c r="AS42" s="4"/>
      <c r="AT42" s="4"/>
      <c r="AU42" s="4"/>
      <c r="AV42" s="4"/>
    </row>
    <row r="43" spans="1:48" ht="15.75" customHeight="1">
      <c r="A43" s="20" t="s">
        <v>78</v>
      </c>
      <c r="B43" s="20"/>
      <c r="C43" s="20"/>
      <c r="D43" s="50">
        <v>3.5</v>
      </c>
      <c r="E43" s="20" t="s">
        <v>79</v>
      </c>
      <c r="F43" s="4"/>
      <c r="G43" s="4"/>
      <c r="H43" s="4"/>
      <c r="I43" s="79"/>
      <c r="J43" s="80">
        <f>IF(D51&gt;0.5,1.8947716 - 10.4923074 * D51 + 23.3596158 * D51^ 2 - 24.3537997 *D51^ 3+ 10.2775488 *D51^ 4 + 0.4197035 *D51^ 5 - 1.0725337 *D51^ 6,IF(D51&lt;=0.5,0.083))</f>
        <v>4.9664079361021657E-2</v>
      </c>
      <c r="K43" s="81"/>
      <c r="L43" s="82"/>
      <c r="M43" s="79"/>
      <c r="N43" s="83">
        <f t="shared" ref="N43:N46" si="0">J43*$N$40</f>
        <v>411.26824118862032</v>
      </c>
      <c r="O43" s="81"/>
      <c r="P43" s="84"/>
      <c r="Q43" s="85"/>
      <c r="R43" s="83">
        <f t="shared" ref="R43:R44" si="1">N43/$B$29/$D$50^2</f>
        <v>8.123817109898674</v>
      </c>
      <c r="S43" s="86"/>
      <c r="T43" s="87"/>
      <c r="U43" s="85"/>
      <c r="V43" s="88">
        <f t="shared" ref="V43:V44" si="2">($B$17/$D$39)*(1-SQRT(1-2*R43/$B$17))</f>
        <v>3.45514758909971E-3</v>
      </c>
      <c r="W43" s="86"/>
      <c r="X43" s="87"/>
      <c r="Y43" s="85"/>
      <c r="Z43" s="89">
        <f t="shared" ref="Z43:Z44" si="3">V43*100*$D$50</f>
        <v>2.5913606918247827</v>
      </c>
      <c r="AA43" s="86"/>
      <c r="AB43" s="90"/>
      <c r="AC43" s="91"/>
      <c r="AD43" s="92">
        <f t="shared" ref="AD43:AD44" si="4">IF(Z43&lt;=$D$59,$D$59,Z43)</f>
        <v>2.5913606918247827</v>
      </c>
      <c r="AE43" s="93"/>
      <c r="AF43" s="94"/>
      <c r="AG43" s="79"/>
      <c r="AH43" s="89">
        <f t="shared" ref="AH43:AH44" si="5">$D$37/AD43</f>
        <v>0.24549747719756976</v>
      </c>
      <c r="AI43" s="81"/>
      <c r="AJ43" s="4"/>
      <c r="AK43" s="4"/>
      <c r="AL43" s="4"/>
      <c r="AM43" s="4"/>
      <c r="AN43" s="4"/>
      <c r="AO43" s="4"/>
      <c r="AP43" s="4"/>
      <c r="AQ43" s="4"/>
      <c r="AR43" s="64"/>
      <c r="AS43" s="4"/>
      <c r="AT43" s="4"/>
      <c r="AU43" s="4"/>
      <c r="AV43" s="4"/>
    </row>
    <row r="44" spans="1:48" ht="15.75" customHeight="1">
      <c r="A44" s="20" t="s">
        <v>80</v>
      </c>
      <c r="B44" s="20"/>
      <c r="C44" s="20"/>
      <c r="D44" s="50">
        <v>4.5</v>
      </c>
      <c r="E44" s="20" t="s">
        <v>79</v>
      </c>
      <c r="G44" s="55" t="s">
        <v>78</v>
      </c>
      <c r="H44" s="94">
        <f>D43</f>
        <v>3.5</v>
      </c>
      <c r="I44" s="95"/>
      <c r="J44" s="96">
        <f>IF(D51&gt;0.5,1.1810206 - 6.2189847 * D51 + 13.1660626 *D51^ 2 - 12.9389367 * D51^ 3+ 5.0639921 *D51 ^ 4 + 0.2169061 *D51 ^ 5 - 0.4450605 *D51 ^ 6,IF(D51&lt;=0.5,0.062))</f>
        <v>3.7201048204599019E-2</v>
      </c>
      <c r="K44" s="97"/>
      <c r="L44" s="98"/>
      <c r="M44" s="95"/>
      <c r="N44" s="99">
        <f t="shared" si="0"/>
        <v>308.06188018228448</v>
      </c>
      <c r="O44" s="97"/>
      <c r="P44" s="98"/>
      <c r="Q44" s="95"/>
      <c r="R44" s="99">
        <f t="shared" si="1"/>
        <v>6.085172941872286</v>
      </c>
      <c r="S44" s="97"/>
      <c r="T44" s="98"/>
      <c r="U44" s="95"/>
      <c r="V44" s="100">
        <f t="shared" si="2"/>
        <v>2.5744765462943531E-3</v>
      </c>
      <c r="W44" s="97"/>
      <c r="X44" s="98"/>
      <c r="Y44" s="95"/>
      <c r="Z44" s="101">
        <f t="shared" si="3"/>
        <v>1.9308574097207649</v>
      </c>
      <c r="AA44" s="97"/>
      <c r="AB44" s="98"/>
      <c r="AC44" s="95"/>
      <c r="AD44" s="102">
        <f t="shared" si="4"/>
        <v>2.5</v>
      </c>
      <c r="AE44" s="97"/>
      <c r="AF44" s="94"/>
      <c r="AG44" s="95"/>
      <c r="AH44" s="101">
        <f t="shared" si="5"/>
        <v>0.25446900494077329</v>
      </c>
      <c r="AI44" s="97"/>
      <c r="AJ44" s="4"/>
      <c r="AK44" s="17"/>
      <c r="AL44" s="4"/>
      <c r="AM44" s="4"/>
      <c r="AN44" s="4"/>
      <c r="AO44" s="103"/>
      <c r="AP44" s="4"/>
      <c r="AQ44" s="64"/>
      <c r="AR44" s="64"/>
      <c r="AS44" s="4"/>
      <c r="AT44" s="4"/>
      <c r="AU44" s="4"/>
      <c r="AV44" s="4"/>
    </row>
    <row r="45" spans="1:48" ht="15.75" customHeight="1">
      <c r="A45" s="20" t="s">
        <v>81</v>
      </c>
      <c r="B45" s="20"/>
      <c r="C45" s="20"/>
      <c r="D45" s="104">
        <v>10</v>
      </c>
      <c r="E45" s="20" t="s">
        <v>63</v>
      </c>
      <c r="G45" s="4"/>
      <c r="H45" s="4"/>
      <c r="I45" s="105">
        <f>0.033</f>
        <v>3.3000000000000002E-2</v>
      </c>
      <c r="J45" s="106">
        <v>2.5000000000000001E-2</v>
      </c>
      <c r="K45" s="107">
        <f>0.033</f>
        <v>3.3000000000000002E-2</v>
      </c>
      <c r="L45" s="108"/>
      <c r="M45" s="109">
        <f>I45*N40</f>
        <v>273.27300000000002</v>
      </c>
      <c r="N45" s="99">
        <f t="shared" si="0"/>
        <v>207.02500000000001</v>
      </c>
      <c r="O45" s="110">
        <f>K45*N40</f>
        <v>273.27300000000002</v>
      </c>
      <c r="P45" s="111"/>
      <c r="Q45" s="112">
        <f t="shared" ref="Q45:S45" si="6">M45/$B$29/$D$50^2</f>
        <v>5.3979851851851857</v>
      </c>
      <c r="R45" s="99">
        <f t="shared" si="6"/>
        <v>4.089382716049383</v>
      </c>
      <c r="S45" s="113">
        <f t="shared" si="6"/>
        <v>5.3979851851851857</v>
      </c>
      <c r="T45" s="114"/>
      <c r="U45" s="115">
        <f t="shared" ref="U45:W45" si="7">($B$17/$D$39)*(1-SQRT(1-2*Q45/$B$17))</f>
        <v>2.2797321326303772E-3</v>
      </c>
      <c r="V45" s="100">
        <f t="shared" si="7"/>
        <v>1.7213389219873343E-3</v>
      </c>
      <c r="W45" s="116">
        <f t="shared" si="7"/>
        <v>2.2797321326303772E-3</v>
      </c>
      <c r="X45" s="114"/>
      <c r="Y45" s="117">
        <f t="shared" ref="Y45:AA45" si="8">U45*100*$D$50</f>
        <v>1.7097990994727827</v>
      </c>
      <c r="Z45" s="101">
        <f t="shared" si="8"/>
        <v>1.2910041914905008</v>
      </c>
      <c r="AA45" s="118">
        <f t="shared" si="8"/>
        <v>1.7097990994727827</v>
      </c>
      <c r="AB45" s="98"/>
      <c r="AC45" s="119">
        <f t="shared" ref="AC45:AE45" si="9">IF(Y45&lt;=$D$59,$D$59,Y45)</f>
        <v>2.5</v>
      </c>
      <c r="AD45" s="102">
        <f t="shared" si="9"/>
        <v>2.5</v>
      </c>
      <c r="AE45" s="120">
        <f t="shared" si="9"/>
        <v>2.5</v>
      </c>
      <c r="AF45" s="94"/>
      <c r="AG45" s="117">
        <f t="shared" ref="AG45:AI45" si="10">$D$37/AC45</f>
        <v>0.25446900494077329</v>
      </c>
      <c r="AH45" s="101">
        <f t="shared" si="10"/>
        <v>0.25446900494077329</v>
      </c>
      <c r="AI45" s="118">
        <f t="shared" si="10"/>
        <v>0.25446900494077329</v>
      </c>
      <c r="AJ45" s="4"/>
      <c r="AK45" s="39"/>
      <c r="AL45" s="4"/>
      <c r="AM45" s="4"/>
      <c r="AN45" s="4"/>
      <c r="AO45" s="18"/>
      <c r="AP45" s="4"/>
      <c r="AQ45" s="4"/>
      <c r="AR45" s="64"/>
      <c r="AS45" s="4"/>
      <c r="AT45" s="4"/>
      <c r="AU45" s="4"/>
      <c r="AV45" s="4"/>
    </row>
    <row r="46" spans="1:48" ht="15.75" customHeight="1">
      <c r="A46" s="20" t="s">
        <v>82</v>
      </c>
      <c r="B46" s="20"/>
      <c r="C46" s="20"/>
      <c r="D46" s="20">
        <v>1</v>
      </c>
      <c r="E46" s="20" t="s">
        <v>79</v>
      </c>
      <c r="G46" s="4"/>
      <c r="H46" s="4"/>
      <c r="I46" s="121"/>
      <c r="J46" s="122">
        <f>IF(D51&gt;0.5,1.8947716 - 10.4923074 * D51 + 23.3596158 * D51^ 2 - 24.3537997 *D51^ 3+ 10.2775488 *D51^ 4 + 0.4197035 *D51^ 5 - 1.0725337 *D51^ 6,IF(D51&lt;=0.5,0.083))</f>
        <v>4.9664079361021657E-2</v>
      </c>
      <c r="K46" s="123"/>
      <c r="L46" s="108"/>
      <c r="M46" s="121"/>
      <c r="N46" s="124">
        <f t="shared" si="0"/>
        <v>411.26824118862032</v>
      </c>
      <c r="O46" s="123"/>
      <c r="P46" s="111"/>
      <c r="Q46" s="125"/>
      <c r="R46" s="124">
        <f>N46/$B$29/$D$50^2</f>
        <v>8.123817109898674</v>
      </c>
      <c r="S46" s="126"/>
      <c r="T46" s="114"/>
      <c r="U46" s="125"/>
      <c r="V46" s="127">
        <f>($B$17/$D$39)*(1-SQRT(1-2*R46/$B$17))</f>
        <v>3.45514758909971E-3</v>
      </c>
      <c r="W46" s="126"/>
      <c r="X46" s="114"/>
      <c r="Y46" s="125"/>
      <c r="Z46" s="128">
        <f>V46*100*$D$50</f>
        <v>2.5913606918247827</v>
      </c>
      <c r="AA46" s="126"/>
      <c r="AB46" s="98"/>
      <c r="AC46" s="129"/>
      <c r="AD46" s="130">
        <f>IF(Z46&lt;=$D$59,$D$59,Z46)</f>
        <v>2.5913606918247827</v>
      </c>
      <c r="AE46" s="131"/>
      <c r="AF46" s="94"/>
      <c r="AG46" s="121"/>
      <c r="AH46" s="128">
        <f>$D$37/AD46</f>
        <v>0.24549747719756976</v>
      </c>
      <c r="AI46" s="123"/>
      <c r="AJ46" s="4"/>
      <c r="AK46" s="18"/>
      <c r="AL46" s="4"/>
      <c r="AM46" s="4"/>
      <c r="AN46" s="4"/>
      <c r="AO46" s="18"/>
      <c r="AP46" s="4"/>
      <c r="AQ46" s="4"/>
      <c r="AR46" s="64"/>
      <c r="AS46" s="4"/>
      <c r="AT46" s="4"/>
      <c r="AU46" s="4"/>
      <c r="AV46" s="4"/>
    </row>
    <row r="47" spans="1:48" ht="15.75" customHeight="1">
      <c r="G47" s="4"/>
      <c r="H47" s="4"/>
      <c r="I47" s="55" t="s">
        <v>80</v>
      </c>
      <c r="J47" s="94">
        <f>D44</f>
        <v>4.5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32"/>
      <c r="AF47" s="18"/>
      <c r="AG47" s="18"/>
      <c r="AH47" s="18"/>
      <c r="AI47" s="18"/>
      <c r="AJ47" s="4"/>
      <c r="AK47" s="63"/>
      <c r="AL47" s="4"/>
      <c r="AM47" s="4"/>
      <c r="AN47" s="4"/>
      <c r="AO47" s="63"/>
      <c r="AP47" s="4"/>
      <c r="AQ47" s="4"/>
      <c r="AR47" s="64"/>
      <c r="AS47" s="4"/>
      <c r="AT47" s="4"/>
      <c r="AU47" s="4"/>
      <c r="AV47" s="4"/>
    </row>
    <row r="48" spans="1:48" ht="15.75" customHeight="1">
      <c r="A48" s="5" t="s">
        <v>83</v>
      </c>
      <c r="B48" s="4"/>
      <c r="C48" s="4"/>
      <c r="D48" s="4">
        <f>2400*D45/100</f>
        <v>240</v>
      </c>
      <c r="E48" s="23" t="s">
        <v>67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03"/>
      <c r="AF48" s="103"/>
      <c r="AG48" s="103"/>
      <c r="AH48" s="103"/>
      <c r="AI48" s="18"/>
      <c r="AJ48" s="4"/>
      <c r="AK48" s="63"/>
      <c r="AL48" s="4"/>
      <c r="AM48" s="4"/>
      <c r="AN48" s="4"/>
      <c r="AO48" s="63"/>
      <c r="AP48" s="4"/>
      <c r="AQ48" s="4"/>
      <c r="AR48" s="64"/>
      <c r="AS48" s="4"/>
      <c r="AT48" s="4"/>
      <c r="AU48" s="4"/>
      <c r="AV48" s="4"/>
    </row>
    <row r="49" spans="1:48" ht="15.75" customHeight="1">
      <c r="A49" s="23" t="s">
        <v>84</v>
      </c>
      <c r="B49" s="4"/>
      <c r="C49" s="4"/>
      <c r="D49" s="5">
        <f>B32*(D48+D42)+B33*D41</f>
        <v>676</v>
      </c>
      <c r="E49" s="23" t="s">
        <v>67</v>
      </c>
      <c r="G49" s="4"/>
      <c r="H49" s="4"/>
      <c r="I49" s="48" t="s">
        <v>85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46"/>
      <c r="AC49" s="46"/>
      <c r="AD49" s="71" t="s">
        <v>69</v>
      </c>
      <c r="AE49" s="4"/>
      <c r="AF49" s="4"/>
      <c r="AG49" s="4"/>
      <c r="AH49" s="46"/>
      <c r="AI49" s="46"/>
      <c r="AJ49" s="4"/>
      <c r="AK49" s="63"/>
      <c r="AL49" s="4"/>
      <c r="AM49" s="4"/>
      <c r="AN49" s="4"/>
      <c r="AO49" s="63"/>
      <c r="AP49" s="4"/>
      <c r="AQ49" s="4"/>
      <c r="AR49" s="64"/>
      <c r="AS49" s="4"/>
      <c r="AT49" s="4"/>
      <c r="AU49" s="4"/>
      <c r="AV49" s="4"/>
    </row>
    <row r="50" spans="1:48" ht="15.75" customHeight="1">
      <c r="A50" s="5" t="s">
        <v>86</v>
      </c>
      <c r="B50" s="4"/>
      <c r="C50" s="4"/>
      <c r="D50" s="5">
        <f>D45-D40</f>
        <v>7.5</v>
      </c>
      <c r="E50" s="5" t="s">
        <v>63</v>
      </c>
      <c r="G50" s="4"/>
      <c r="H50" s="5"/>
      <c r="I50" s="46"/>
      <c r="J50" s="73" t="s">
        <v>71</v>
      </c>
      <c r="K50" s="46"/>
      <c r="L50" s="46"/>
      <c r="M50" s="46"/>
      <c r="N50" s="74" t="s">
        <v>72</v>
      </c>
      <c r="O50" s="46"/>
      <c r="P50" s="46"/>
      <c r="Q50" s="75"/>
      <c r="R50" s="76" t="s">
        <v>73</v>
      </c>
      <c r="S50" s="78"/>
      <c r="T50" s="46"/>
      <c r="U50" s="78"/>
      <c r="V50" s="77" t="s">
        <v>74</v>
      </c>
      <c r="W50" s="78"/>
      <c r="X50" s="46"/>
      <c r="Y50" s="78"/>
      <c r="Z50" s="77" t="s">
        <v>75</v>
      </c>
      <c r="AA50" s="78"/>
      <c r="AB50" s="18"/>
      <c r="AC50" s="78"/>
      <c r="AD50" s="77" t="s">
        <v>76</v>
      </c>
      <c r="AE50" s="78"/>
      <c r="AF50" s="5"/>
      <c r="AG50" s="46"/>
      <c r="AH50" s="73" t="s">
        <v>77</v>
      </c>
      <c r="AI50" s="46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ht="15.75" customHeight="1">
      <c r="A51" s="5" t="s">
        <v>87</v>
      </c>
      <c r="B51" s="4"/>
      <c r="C51" s="4"/>
      <c r="D51" s="32">
        <f>D43/D44</f>
        <v>0.77777777777777779</v>
      </c>
      <c r="E51" s="4"/>
      <c r="G51" s="4"/>
      <c r="H51" s="5"/>
      <c r="I51" s="133"/>
      <c r="J51" s="134">
        <f>IF(D51&gt;0.5,1.1222564 - 6.9300216 * D51 + 17.2649866 * D51 ^ 2 - 20.2243189 * D51 ^ 3+ 9.6823438 * D51 ^ 4 + 0.343984 * D51 ^ 5 - 1.2382314 * D51 ^ 6,IF(D51&lt;=0.5,0.042))</f>
        <v>2.7843965188797115E-2</v>
      </c>
      <c r="K51" s="135"/>
      <c r="L51" s="82"/>
      <c r="M51" s="133"/>
      <c r="N51" s="136">
        <f t="shared" ref="N51:N52" si="11">J51*$N$40</f>
        <v>230.57587572842891</v>
      </c>
      <c r="O51" s="135"/>
      <c r="P51" s="84"/>
      <c r="Q51" s="137"/>
      <c r="R51" s="136">
        <f t="shared" ref="R51:R52" si="12">N51/$B$29/$D$50^2</f>
        <v>4.5545851995739044</v>
      </c>
      <c r="S51" s="138"/>
      <c r="T51" s="87"/>
      <c r="U51" s="137"/>
      <c r="V51" s="139">
        <f t="shared" ref="V51:V52" si="13">($B$17/$D$39)*(1-SQRT(1-2*R51/$B$17))</f>
        <v>1.9194153344867482E-3</v>
      </c>
      <c r="W51" s="138"/>
      <c r="X51" s="87"/>
      <c r="Y51" s="137"/>
      <c r="Z51" s="134">
        <f t="shared" ref="Z51:Z52" si="14">V51*100*$D$50</f>
        <v>1.4395615008650611</v>
      </c>
      <c r="AA51" s="138"/>
      <c r="AB51" s="90"/>
      <c r="AC51" s="137"/>
      <c r="AD51" s="134">
        <f t="shared" ref="AD51:AD52" si="15">IF(Z51&lt;=$D$59,$D$59,Z51)</f>
        <v>2.5</v>
      </c>
      <c r="AE51" s="138"/>
      <c r="AF51" s="94"/>
      <c r="AG51" s="133"/>
      <c r="AH51" s="134">
        <f t="shared" ref="AH51:AH52" si="16">$D$37/AD51</f>
        <v>0.25446900494077329</v>
      </c>
      <c r="AI51" s="135"/>
      <c r="AJ51" s="140"/>
      <c r="AK51" s="18"/>
      <c r="AL51" s="63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ht="15.75" customHeight="1">
      <c r="G52" s="55" t="s">
        <v>78</v>
      </c>
      <c r="H52" s="94">
        <f>D43</f>
        <v>3.5</v>
      </c>
      <c r="I52" s="95"/>
      <c r="J52" s="96">
        <f>IF(D51&gt;0.5,2.5455803 - 15.8944465 * D51 + 39.3385918 * D51 ^ 2 - 45.5872858 *D51 ^ 3+ 21.5683823 * D51^ 4 + 0.7484081 * D51^ 5 - 2.6882328 *D51 ^ 6,IF(D51&lt;=0.5,0.064))</f>
        <v>4.2351153090936178E-2</v>
      </c>
      <c r="K52" s="97"/>
      <c r="L52" s="98"/>
      <c r="M52" s="95"/>
      <c r="N52" s="99">
        <f t="shared" si="11"/>
        <v>350.70989874604248</v>
      </c>
      <c r="O52" s="97"/>
      <c r="P52" s="98"/>
      <c r="Q52" s="95"/>
      <c r="R52" s="99">
        <f t="shared" si="12"/>
        <v>6.9276029381934316</v>
      </c>
      <c r="S52" s="97"/>
      <c r="T52" s="98"/>
      <c r="U52" s="95"/>
      <c r="V52" s="100">
        <f t="shared" si="13"/>
        <v>2.9372508876410811E-3</v>
      </c>
      <c r="W52" s="97"/>
      <c r="X52" s="98"/>
      <c r="Y52" s="95"/>
      <c r="Z52" s="101">
        <f t="shared" si="14"/>
        <v>2.2029381657308105</v>
      </c>
      <c r="AA52" s="97"/>
      <c r="AB52" s="98"/>
      <c r="AC52" s="95"/>
      <c r="AD52" s="101">
        <f t="shared" si="15"/>
        <v>2.5</v>
      </c>
      <c r="AE52" s="97"/>
      <c r="AF52" s="94"/>
      <c r="AG52" s="95"/>
      <c r="AH52" s="101">
        <f t="shared" si="16"/>
        <v>0.25446900494077329</v>
      </c>
      <c r="AI52" s="97"/>
      <c r="AJ52" s="4"/>
      <c r="AK52" s="4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141"/>
    </row>
    <row r="53" spans="1:48" ht="15.75" customHeight="1">
      <c r="A53" s="5" t="s">
        <v>88</v>
      </c>
      <c r="B53" s="4"/>
      <c r="C53" s="4"/>
      <c r="D53" s="58">
        <f>D49*D43/3/1000</f>
        <v>0.78866666666666663</v>
      </c>
      <c r="E53" s="5" t="s">
        <v>89</v>
      </c>
      <c r="G53" s="4"/>
      <c r="H53" s="4"/>
      <c r="I53" s="105">
        <v>4.1000000000000002E-2</v>
      </c>
      <c r="J53" s="142">
        <v>3.1E-2</v>
      </c>
      <c r="K53" s="107">
        <v>4.1000000000000002E-2</v>
      </c>
      <c r="L53" s="108"/>
      <c r="M53" s="112">
        <f t="shared" ref="M53:O53" si="17">I53*$N$40</f>
        <v>339.52100000000002</v>
      </c>
      <c r="N53" s="99">
        <f t="shared" si="17"/>
        <v>256.71100000000001</v>
      </c>
      <c r="O53" s="113">
        <f t="shared" si="17"/>
        <v>339.52100000000002</v>
      </c>
      <c r="P53" s="111"/>
      <c r="Q53" s="112">
        <f t="shared" ref="Q53:S53" si="18">M53/$B$29/$D$50^2</f>
        <v>6.7065876543209875</v>
      </c>
      <c r="R53" s="99">
        <f t="shared" si="18"/>
        <v>5.070834567901235</v>
      </c>
      <c r="S53" s="113">
        <f t="shared" si="18"/>
        <v>6.7065876543209875</v>
      </c>
      <c r="T53" s="114"/>
      <c r="U53" s="115">
        <f t="shared" ref="U53:W53" si="19">($B$17/$D$39)*(1-SQRT(1-2*Q53/$B$17))</f>
        <v>2.8419204146526867E-3</v>
      </c>
      <c r="V53" s="100">
        <f t="shared" si="19"/>
        <v>2.1397810479982953E-3</v>
      </c>
      <c r="W53" s="116">
        <f t="shared" si="19"/>
        <v>2.8419204146526867E-3</v>
      </c>
      <c r="X53" s="114"/>
      <c r="Y53" s="117">
        <f t="shared" ref="Y53:AA53" si="20">U53*100*$D$50</f>
        <v>2.131440310989515</v>
      </c>
      <c r="Z53" s="101">
        <f t="shared" si="20"/>
        <v>1.6048357859987215</v>
      </c>
      <c r="AA53" s="118">
        <f t="shared" si="20"/>
        <v>2.131440310989515</v>
      </c>
      <c r="AB53" s="98"/>
      <c r="AC53" s="117">
        <f t="shared" ref="AC53:AE53" si="21">IF(Y53&lt;=$D$59,$D$59,Y53)</f>
        <v>2.5</v>
      </c>
      <c r="AD53" s="101">
        <f t="shared" si="21"/>
        <v>2.5</v>
      </c>
      <c r="AE53" s="118">
        <f t="shared" si="21"/>
        <v>2.5</v>
      </c>
      <c r="AF53" s="94"/>
      <c r="AG53" s="117">
        <f t="shared" ref="AG53:AI53" si="22">$D$37/AC53</f>
        <v>0.25446900494077329</v>
      </c>
      <c r="AH53" s="101">
        <f t="shared" si="22"/>
        <v>0.25446900494077329</v>
      </c>
      <c r="AI53" s="118">
        <f t="shared" si="22"/>
        <v>0.25446900494077329</v>
      </c>
      <c r="AJ53" s="4"/>
      <c r="AK53" s="4"/>
      <c r="AL53" s="5"/>
      <c r="AM53" s="5"/>
      <c r="AN53" s="143"/>
      <c r="AO53" s="144"/>
      <c r="AP53" s="144"/>
      <c r="AQ53" s="144"/>
      <c r="AR53" s="144"/>
      <c r="AS53" s="144"/>
      <c r="AT53" s="144"/>
      <c r="AU53" s="5"/>
      <c r="AV53" s="145"/>
    </row>
    <row r="54" spans="1:48" ht="15.75" customHeight="1">
      <c r="A54" s="23" t="s">
        <v>90</v>
      </c>
      <c r="B54" s="4"/>
      <c r="C54" s="4"/>
      <c r="D54" s="4"/>
      <c r="E54" s="4"/>
      <c r="G54" s="4"/>
      <c r="H54" s="4"/>
      <c r="I54" s="121"/>
      <c r="J54" s="146">
        <f>IF(D51&gt;0.5,2.1718379 - 12.8567584 * D51 + 30.6613467 * D51 ^ 2 - 34.3693089 *D51 ^ 3+ 15.7441491 * D51 ^ 4 + 0.5653468 *D51 ^ 5 - 1.875615 *D51 ^ 6,IF(D51&lt;=0.5,0.085))</f>
        <v>5.6611006285175514E-2</v>
      </c>
      <c r="K54" s="123"/>
      <c r="L54" s="108"/>
      <c r="M54" s="121"/>
      <c r="N54" s="124">
        <f>J54*$N$40</f>
        <v>468.79574304753845</v>
      </c>
      <c r="O54" s="123"/>
      <c r="P54" s="111"/>
      <c r="Q54" s="125"/>
      <c r="R54" s="124">
        <f>N54/$B$29/$D$50^2</f>
        <v>9.2601628256303901</v>
      </c>
      <c r="S54" s="126"/>
      <c r="T54" s="114"/>
      <c r="U54" s="125"/>
      <c r="V54" s="127">
        <f>($B$17/$D$39)*(1-SQRT(1-2*R54/$B$17))</f>
        <v>3.9501893904052322E-3</v>
      </c>
      <c r="W54" s="126"/>
      <c r="X54" s="114"/>
      <c r="Y54" s="125"/>
      <c r="Z54" s="128">
        <f>V54*100*$D$50</f>
        <v>2.9626420428039242</v>
      </c>
      <c r="AA54" s="126"/>
      <c r="AB54" s="98"/>
      <c r="AC54" s="125"/>
      <c r="AD54" s="128">
        <f>IF(Z54&lt;=$D$59,$D$59,Z54)</f>
        <v>2.9626420428039242</v>
      </c>
      <c r="AE54" s="126"/>
      <c r="AF54" s="94"/>
      <c r="AG54" s="121"/>
      <c r="AH54" s="128">
        <f>$D$37/AD54</f>
        <v>0.21473148060433328</v>
      </c>
      <c r="AI54" s="123"/>
      <c r="AJ54" s="4"/>
      <c r="AK54" s="4"/>
      <c r="AL54" s="5"/>
      <c r="AM54" s="5"/>
      <c r="AN54" s="143"/>
      <c r="AO54" s="144"/>
      <c r="AP54" s="144"/>
      <c r="AQ54" s="144"/>
      <c r="AR54" s="144"/>
      <c r="AS54" s="144"/>
      <c r="AT54" s="144"/>
      <c r="AU54" s="5"/>
      <c r="AV54" s="145"/>
    </row>
    <row r="55" spans="1:48" ht="15.75" customHeight="1">
      <c r="A55" s="5" t="s">
        <v>91</v>
      </c>
      <c r="B55" s="4"/>
      <c r="C55" s="4"/>
      <c r="D55" s="58">
        <f>((D49*D43/3)*(3-D51^2)/2)/1000</f>
        <v>0.94445267489711937</v>
      </c>
      <c r="E55" s="5" t="s">
        <v>89</v>
      </c>
      <c r="G55" s="4"/>
      <c r="H55" s="5"/>
      <c r="I55" s="55" t="s">
        <v>80</v>
      </c>
      <c r="J55" s="94">
        <f>D44</f>
        <v>4.5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132"/>
      <c r="AF55" s="18"/>
      <c r="AG55" s="18"/>
      <c r="AH55" s="18"/>
      <c r="AI55" s="18"/>
      <c r="AJ55" s="4"/>
      <c r="AK55" s="4"/>
      <c r="AL55" s="5"/>
      <c r="AM55" s="5"/>
      <c r="AN55" s="5"/>
      <c r="AO55" s="5"/>
      <c r="AP55" s="5"/>
      <c r="AQ55" s="5"/>
      <c r="AR55" s="5"/>
      <c r="AS55" s="5"/>
      <c r="AT55" s="147"/>
      <c r="AU55" s="5"/>
      <c r="AV55" s="5"/>
    </row>
    <row r="56" spans="1:48" ht="15.75" customHeight="1">
      <c r="A56" s="23" t="s">
        <v>92</v>
      </c>
      <c r="B56" s="4"/>
      <c r="C56" s="4"/>
      <c r="D56" s="4"/>
      <c r="E56" s="4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4"/>
      <c r="AK56" s="4"/>
      <c r="AL56" s="148"/>
      <c r="AM56" s="5"/>
      <c r="AN56" s="5"/>
      <c r="AO56" s="5"/>
      <c r="AP56" s="5"/>
      <c r="AQ56" s="5"/>
      <c r="AR56" s="5"/>
      <c r="AS56" s="5"/>
      <c r="AT56" s="5"/>
      <c r="AU56" s="5"/>
      <c r="AV56" s="5"/>
    </row>
    <row r="57" spans="1:48" ht="15.75" customHeight="1">
      <c r="G57" s="4"/>
      <c r="H57" s="5"/>
      <c r="I57" s="48" t="s">
        <v>93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46"/>
      <c r="AC57" s="46"/>
      <c r="AD57" s="71" t="s">
        <v>69</v>
      </c>
      <c r="AE57" s="5"/>
      <c r="AF57" s="5"/>
      <c r="AG57" s="5"/>
      <c r="AH57" s="46"/>
      <c r="AI57" s="46"/>
      <c r="AJ57" s="4"/>
      <c r="AK57" s="4"/>
      <c r="AL57" s="22"/>
      <c r="AM57" s="5"/>
      <c r="AN57" s="5"/>
      <c r="AO57" s="149"/>
      <c r="AP57" s="149"/>
      <c r="AQ57" s="149"/>
      <c r="AR57" s="149"/>
      <c r="AS57" s="149"/>
      <c r="AT57" s="149"/>
      <c r="AU57" s="5"/>
      <c r="AV57" s="5"/>
    </row>
    <row r="58" spans="1:48" ht="15.75" customHeight="1">
      <c r="A58" s="23" t="s">
        <v>94</v>
      </c>
      <c r="D58" s="32">
        <f>IF(C36="RB",B29*B19*D46*D50^2,B29*#REF!*D46*D50^2)</f>
        <v>2767.2455566406243</v>
      </c>
      <c r="E58" s="23" t="s">
        <v>95</v>
      </c>
      <c r="F58" s="6" t="s">
        <v>96</v>
      </c>
      <c r="G58" s="4"/>
      <c r="H58" s="5"/>
      <c r="I58" s="318" t="s">
        <v>71</v>
      </c>
      <c r="J58" s="319"/>
      <c r="K58" s="320"/>
      <c r="L58" s="46"/>
      <c r="M58" s="46"/>
      <c r="N58" s="74" t="s">
        <v>72</v>
      </c>
      <c r="O58" s="46"/>
      <c r="P58" s="46"/>
      <c r="Q58" s="75"/>
      <c r="R58" s="76" t="s">
        <v>73</v>
      </c>
      <c r="S58" s="46"/>
      <c r="T58" s="46"/>
      <c r="U58" s="46"/>
      <c r="V58" s="74" t="s">
        <v>74</v>
      </c>
      <c r="W58" s="46"/>
      <c r="X58" s="46"/>
      <c r="Y58" s="46"/>
      <c r="Z58" s="74" t="s">
        <v>75</v>
      </c>
      <c r="AA58" s="46"/>
      <c r="AB58" s="18"/>
      <c r="AC58" s="46"/>
      <c r="AD58" s="74" t="s">
        <v>76</v>
      </c>
      <c r="AE58" s="46"/>
      <c r="AF58" s="5"/>
      <c r="AG58" s="46"/>
      <c r="AH58" s="73" t="s">
        <v>77</v>
      </c>
      <c r="AI58" s="46"/>
      <c r="AJ58" s="4"/>
      <c r="AK58" s="4"/>
      <c r="AL58" s="22"/>
      <c r="AM58" s="5"/>
      <c r="AN58" s="5"/>
      <c r="AO58" s="150"/>
      <c r="AP58" s="150"/>
      <c r="AQ58" s="150"/>
      <c r="AR58" s="150"/>
      <c r="AS58" s="150"/>
      <c r="AT58" s="150"/>
      <c r="AU58" s="151"/>
      <c r="AV58" s="152"/>
    </row>
    <row r="59" spans="1:48" ht="15.75" customHeight="1">
      <c r="A59" s="23" t="s">
        <v>97</v>
      </c>
      <c r="D59" s="58">
        <f>IF(C36="RB",B24*100*D45,F24*100*D45)</f>
        <v>2.5</v>
      </c>
      <c r="E59" s="59" t="s">
        <v>53</v>
      </c>
      <c r="F59" s="6" t="s">
        <v>98</v>
      </c>
      <c r="G59" s="4"/>
      <c r="H59" s="5"/>
      <c r="I59" s="153"/>
      <c r="J59" s="154">
        <f>IF(D51&gt;0.5,2.1718379 - 12.8567584 * D51 + 30.6613467 * D51 ^ 2 - 34.3693089 *D51 ^ 3+ 15.7441491 * D51 ^ 4 + 0.5653468 *D51 ^ 5 - 1.875615 *D51 ^ 6,IF(D51&lt;=0.5,0.085))</f>
        <v>5.6611006285175514E-2</v>
      </c>
      <c r="K59" s="155"/>
      <c r="L59" s="82"/>
      <c r="M59" s="156"/>
      <c r="N59" s="83">
        <f t="shared" ref="N59:N60" si="23">J59*$N$40</f>
        <v>468.79574304753845</v>
      </c>
      <c r="O59" s="81"/>
      <c r="P59" s="82"/>
      <c r="Q59" s="157"/>
      <c r="R59" s="83">
        <f t="shared" ref="R59:R60" si="24">N59/$B$29/$D$50^2</f>
        <v>9.2601628256303901</v>
      </c>
      <c r="S59" s="86"/>
      <c r="T59" s="158"/>
      <c r="U59" s="157"/>
      <c r="V59" s="88">
        <f t="shared" ref="V59:V60" si="25">($B$17/$D$39)*(1-SQRT(1-2*R59/$B$17))</f>
        <v>3.9501893904052322E-3</v>
      </c>
      <c r="W59" s="86"/>
      <c r="X59" s="158"/>
      <c r="Y59" s="157"/>
      <c r="Z59" s="89">
        <f t="shared" ref="Z59:Z60" si="26">V59*100*$D$50</f>
        <v>2.9626420428039242</v>
      </c>
      <c r="AA59" s="86"/>
      <c r="AB59" s="159"/>
      <c r="AC59" s="157"/>
      <c r="AD59" s="89">
        <f t="shared" ref="AD59:AD60" si="27">IF(Z59&lt;=$D$59,$D$59,Z59)</f>
        <v>2.9626420428039242</v>
      </c>
      <c r="AE59" s="86"/>
      <c r="AF59" s="94"/>
      <c r="AG59" s="156"/>
      <c r="AH59" s="89">
        <f t="shared" ref="AH59:AH60" si="28">$D$37/AD59</f>
        <v>0.21473148060433328</v>
      </c>
      <c r="AI59" s="81"/>
      <c r="AJ59" s="4"/>
      <c r="AK59" s="4"/>
      <c r="AL59" s="22"/>
      <c r="AM59" s="5"/>
      <c r="AN59" s="5"/>
      <c r="AO59" s="147"/>
      <c r="AP59" s="147"/>
      <c r="AQ59" s="147"/>
      <c r="AR59" s="147"/>
      <c r="AS59" s="147"/>
      <c r="AT59" s="147"/>
      <c r="AU59" s="5"/>
      <c r="AV59" s="5"/>
    </row>
    <row r="60" spans="1:48" ht="15.75" customHeight="1">
      <c r="G60" s="55" t="s">
        <v>78</v>
      </c>
      <c r="H60" s="94">
        <f>D43</f>
        <v>3.5</v>
      </c>
      <c r="I60" s="60"/>
      <c r="J60" s="96">
        <f>IF(D51&gt;0.5,2.5455803 - 15.8944465 * D51 + 39.3385918 * D51 ^ 2 - 45.5872858 *D51 ^ 3+ 21.5683823 * D51^ 4 + 0.7484081 * D51^ 5 - 2.6882328 *D51 ^ 6,IF(D51&lt;=0.5,0.064))</f>
        <v>4.2351153090936178E-2</v>
      </c>
      <c r="K60" s="97"/>
      <c r="L60" s="98"/>
      <c r="M60" s="60"/>
      <c r="N60" s="99">
        <f t="shared" si="23"/>
        <v>350.70989874604248</v>
      </c>
      <c r="O60" s="97"/>
      <c r="P60" s="98"/>
      <c r="Q60" s="60"/>
      <c r="R60" s="99">
        <f t="shared" si="24"/>
        <v>6.9276029381934316</v>
      </c>
      <c r="S60" s="97"/>
      <c r="T60" s="98"/>
      <c r="U60" s="60"/>
      <c r="V60" s="100">
        <f t="shared" si="25"/>
        <v>2.9372508876410811E-3</v>
      </c>
      <c r="W60" s="97"/>
      <c r="X60" s="98"/>
      <c r="Y60" s="60"/>
      <c r="Z60" s="101">
        <f t="shared" si="26"/>
        <v>2.2029381657308105</v>
      </c>
      <c r="AA60" s="97"/>
      <c r="AB60" s="98"/>
      <c r="AC60" s="60"/>
      <c r="AD60" s="101">
        <f t="shared" si="27"/>
        <v>2.5</v>
      </c>
      <c r="AE60" s="97"/>
      <c r="AF60" s="94"/>
      <c r="AG60" s="60"/>
      <c r="AH60" s="101">
        <f t="shared" si="28"/>
        <v>0.25446900494077329</v>
      </c>
      <c r="AI60" s="97"/>
      <c r="AJ60" s="4"/>
      <c r="AK60" s="4"/>
      <c r="AL60" s="5"/>
      <c r="AM60" s="5"/>
      <c r="AN60" s="5"/>
      <c r="AO60" s="150"/>
      <c r="AP60" s="150"/>
      <c r="AQ60" s="150"/>
      <c r="AR60" s="150"/>
      <c r="AS60" s="150"/>
      <c r="AT60" s="150"/>
      <c r="AU60" s="151"/>
      <c r="AV60" s="152"/>
    </row>
    <row r="61" spans="1:48" ht="15.75" customHeight="1">
      <c r="A61" s="31" t="s">
        <v>99</v>
      </c>
      <c r="F61" s="4"/>
      <c r="G61" s="4"/>
      <c r="H61" s="4"/>
      <c r="I61" s="160">
        <v>2.1000000000000001E-2</v>
      </c>
      <c r="J61" s="142">
        <v>3.1E-2</v>
      </c>
      <c r="K61" s="107">
        <v>4.1000000000000002E-2</v>
      </c>
      <c r="L61" s="108"/>
      <c r="M61" s="161">
        <f t="shared" ref="M61:O61" si="29">I61*$N$40</f>
        <v>173.90100000000001</v>
      </c>
      <c r="N61" s="99">
        <f t="shared" si="29"/>
        <v>256.71100000000001</v>
      </c>
      <c r="O61" s="113">
        <f t="shared" si="29"/>
        <v>339.52100000000002</v>
      </c>
      <c r="P61" s="108"/>
      <c r="Q61" s="161">
        <f t="shared" ref="Q61:S61" si="30">M61/$B$29/$D$50^2</f>
        <v>3.4350814814814816</v>
      </c>
      <c r="R61" s="99">
        <f t="shared" si="30"/>
        <v>5.070834567901235</v>
      </c>
      <c r="S61" s="113">
        <f t="shared" si="30"/>
        <v>6.7065876543209875</v>
      </c>
      <c r="T61" s="162"/>
      <c r="U61" s="163">
        <f t="shared" ref="U61:W61" si="31">($B$17/$D$39)*(1-SQRT(1-2*Q61/$B$17))</f>
        <v>1.4435416715436495E-3</v>
      </c>
      <c r="V61" s="100">
        <f t="shared" si="31"/>
        <v>2.1397810479982953E-3</v>
      </c>
      <c r="W61" s="116">
        <f t="shared" si="31"/>
        <v>2.8419204146526867E-3</v>
      </c>
      <c r="X61" s="162"/>
      <c r="Y61" s="164">
        <f t="shared" ref="Y61:AA61" si="32">U61*100*$D$50</f>
        <v>1.0826562536577371</v>
      </c>
      <c r="Z61" s="101">
        <f t="shared" si="32"/>
        <v>1.6048357859987215</v>
      </c>
      <c r="AA61" s="118">
        <f t="shared" si="32"/>
        <v>2.131440310989515</v>
      </c>
      <c r="AB61" s="165"/>
      <c r="AC61" s="164">
        <f t="shared" ref="AC61:AE61" si="33">IF(Y61&lt;=$D$59,$D$59,Y61)</f>
        <v>2.5</v>
      </c>
      <c r="AD61" s="101">
        <f t="shared" si="33"/>
        <v>2.5</v>
      </c>
      <c r="AE61" s="118">
        <f t="shared" si="33"/>
        <v>2.5</v>
      </c>
      <c r="AF61" s="94"/>
      <c r="AG61" s="164">
        <f t="shared" ref="AG61:AI61" si="34">$D$37/AC61</f>
        <v>0.25446900494077329</v>
      </c>
      <c r="AH61" s="101">
        <f t="shared" si="34"/>
        <v>0.25446900494077329</v>
      </c>
      <c r="AI61" s="118">
        <f t="shared" si="34"/>
        <v>0.25446900494077329</v>
      </c>
      <c r="AJ61" s="4"/>
      <c r="AK61" s="4"/>
      <c r="AL61" s="148"/>
      <c r="AM61" s="5"/>
      <c r="AN61" s="5"/>
      <c r="AO61" s="5"/>
      <c r="AP61" s="5"/>
      <c r="AQ61" s="5"/>
      <c r="AR61" s="5"/>
      <c r="AS61" s="5"/>
      <c r="AT61" s="5"/>
      <c r="AU61" s="5"/>
      <c r="AV61" s="5"/>
    </row>
    <row r="62" spans="1:48" ht="15.75" customHeight="1">
      <c r="A62" s="23" t="s">
        <v>100</v>
      </c>
      <c r="D62" s="30">
        <v>4.9000000000000002E-2</v>
      </c>
      <c r="F62" s="4"/>
      <c r="G62" s="4"/>
      <c r="H62" s="4"/>
      <c r="I62" s="166"/>
      <c r="J62" s="146">
        <f>IF(D51&gt;0.5,2.1718379 - 12.8567584 * D51 + 30.6613467 * D51 ^ 2 - 34.3693089 *D51 ^ 3+ 15.7441491 * D51 ^ 4 + 0.5653468 *D51 ^ 5 - 1.875615 *D51 ^ 6,IF(D51&lt;=0.5,0.085))</f>
        <v>5.6611006285175514E-2</v>
      </c>
      <c r="K62" s="123"/>
      <c r="L62" s="108"/>
      <c r="M62" s="166"/>
      <c r="N62" s="124">
        <f>J62*$N$40</f>
        <v>468.79574304753845</v>
      </c>
      <c r="O62" s="123"/>
      <c r="P62" s="108"/>
      <c r="Q62" s="167"/>
      <c r="R62" s="124">
        <f>N62/$B$29/$D$50^2</f>
        <v>9.2601628256303901</v>
      </c>
      <c r="S62" s="126"/>
      <c r="T62" s="162"/>
      <c r="U62" s="167"/>
      <c r="V62" s="127">
        <f>($B$17/$D$39)*(1-SQRT(1-2*R62/$B$17))</f>
        <v>3.9501893904052322E-3</v>
      </c>
      <c r="W62" s="126"/>
      <c r="X62" s="162"/>
      <c r="Y62" s="167"/>
      <c r="Z62" s="128">
        <f>V62*100*$D$50</f>
        <v>2.9626420428039242</v>
      </c>
      <c r="AA62" s="126"/>
      <c r="AB62" s="165"/>
      <c r="AC62" s="167"/>
      <c r="AD62" s="128">
        <f>IF(Z62&lt;=$D$59,$D$59,Z62)</f>
        <v>2.9626420428039242</v>
      </c>
      <c r="AE62" s="126"/>
      <c r="AF62" s="94"/>
      <c r="AG62" s="166"/>
      <c r="AH62" s="128">
        <f>$D$37/AD62</f>
        <v>0.21473148060433328</v>
      </c>
      <c r="AI62" s="123"/>
      <c r="AJ62" s="4"/>
      <c r="AK62" s="4"/>
      <c r="AL62" s="148"/>
      <c r="AM62" s="5"/>
      <c r="AN62" s="5"/>
      <c r="AO62" s="5"/>
      <c r="AP62" s="5"/>
      <c r="AQ62" s="5"/>
      <c r="AR62" s="5"/>
      <c r="AS62" s="5"/>
      <c r="AT62" s="5"/>
      <c r="AU62" s="5"/>
      <c r="AV62" s="5"/>
    </row>
    <row r="63" spans="1:48" ht="15.75" customHeight="1">
      <c r="A63" s="23" t="s">
        <v>101</v>
      </c>
      <c r="B63" s="4"/>
      <c r="C63" s="4"/>
      <c r="D63" s="32">
        <f>D62*D49*D43^2</f>
        <v>405.76900000000001</v>
      </c>
      <c r="E63" s="23" t="s">
        <v>95</v>
      </c>
      <c r="F63" s="4"/>
      <c r="G63" s="4"/>
      <c r="H63" s="5"/>
      <c r="I63" s="55" t="s">
        <v>80</v>
      </c>
      <c r="J63" s="94">
        <f>D44</f>
        <v>4.5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132"/>
      <c r="AF63" s="18"/>
      <c r="AG63" s="18"/>
      <c r="AH63" s="18"/>
      <c r="AI63" s="18"/>
      <c r="AJ63" s="4"/>
      <c r="AK63" s="4"/>
      <c r="AL63" s="22"/>
      <c r="AM63" s="5"/>
      <c r="AN63" s="5"/>
      <c r="AO63" s="147"/>
      <c r="AP63" s="147"/>
      <c r="AQ63" s="147"/>
      <c r="AR63" s="147"/>
      <c r="AS63" s="147"/>
      <c r="AT63" s="147"/>
      <c r="AU63" s="5"/>
      <c r="AV63" s="5"/>
    </row>
    <row r="64" spans="1:48" ht="15.75" customHeight="1">
      <c r="A64" s="23" t="s">
        <v>102</v>
      </c>
      <c r="B64" s="4"/>
      <c r="C64" s="4"/>
      <c r="D64" s="32">
        <f>D63/B29/D46/D50^2</f>
        <v>8.0151901234567902</v>
      </c>
      <c r="E64" s="23" t="s">
        <v>13</v>
      </c>
      <c r="F64" s="6" t="s">
        <v>103</v>
      </c>
      <c r="G64" s="4"/>
      <c r="H64" s="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22"/>
      <c r="AM64" s="5"/>
      <c r="AN64" s="5"/>
      <c r="AO64" s="150"/>
      <c r="AP64" s="150"/>
      <c r="AQ64" s="150"/>
      <c r="AR64" s="150"/>
      <c r="AS64" s="150"/>
      <c r="AT64" s="150"/>
      <c r="AU64" s="151"/>
      <c r="AV64" s="152"/>
    </row>
    <row r="65" spans="1:48" ht="15.75" customHeight="1">
      <c r="A65" s="23" t="s">
        <v>104</v>
      </c>
      <c r="B65" s="4"/>
      <c r="C65" s="4"/>
      <c r="D65" s="36">
        <f>(B17/D39)*(1-SQRT(1-(2*D64/B17)))</f>
        <v>3.4079822148321685E-3</v>
      </c>
      <c r="E65" s="4"/>
      <c r="F65" s="6" t="s">
        <v>105</v>
      </c>
      <c r="G65" s="4"/>
      <c r="H65" s="5"/>
      <c r="I65" s="48" t="s">
        <v>106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46"/>
      <c r="AC65" s="46"/>
      <c r="AD65" s="71" t="s">
        <v>69</v>
      </c>
      <c r="AE65" s="5"/>
      <c r="AF65" s="5"/>
      <c r="AG65" s="5"/>
      <c r="AH65" s="46"/>
      <c r="AI65" s="46"/>
      <c r="AJ65" s="4"/>
      <c r="AK65" s="4"/>
      <c r="AL65" s="22"/>
      <c r="AM65" s="5"/>
      <c r="AN65" s="5"/>
      <c r="AO65" s="147"/>
      <c r="AP65" s="147"/>
      <c r="AQ65" s="147"/>
      <c r="AR65" s="147"/>
      <c r="AS65" s="147"/>
      <c r="AT65" s="147"/>
      <c r="AU65" s="5"/>
      <c r="AV65" s="5"/>
    </row>
    <row r="66" spans="1:48" ht="15.75" customHeight="1">
      <c r="A66" s="23" t="s">
        <v>107</v>
      </c>
      <c r="B66" s="4"/>
      <c r="C66" s="4"/>
      <c r="D66" s="58">
        <f>D65*(D46*100)*D50</f>
        <v>2.5559866611241264</v>
      </c>
      <c r="E66" s="59" t="s">
        <v>53</v>
      </c>
      <c r="F66" s="6" t="s">
        <v>108</v>
      </c>
      <c r="G66" s="4"/>
      <c r="H66" s="5"/>
      <c r="I66" s="46"/>
      <c r="J66" s="73" t="s">
        <v>71</v>
      </c>
      <c r="K66" s="46"/>
      <c r="L66" s="46"/>
      <c r="M66" s="46"/>
      <c r="N66" s="74" t="s">
        <v>72</v>
      </c>
      <c r="O66" s="46"/>
      <c r="P66" s="46"/>
      <c r="Q66" s="75"/>
      <c r="R66" s="76" t="s">
        <v>73</v>
      </c>
      <c r="S66" s="78"/>
      <c r="T66" s="46"/>
      <c r="U66" s="78"/>
      <c r="V66" s="77" t="s">
        <v>74</v>
      </c>
      <c r="W66" s="78"/>
      <c r="X66" s="46"/>
      <c r="Y66" s="78"/>
      <c r="Z66" s="77" t="s">
        <v>75</v>
      </c>
      <c r="AA66" s="78"/>
      <c r="AB66" s="18"/>
      <c r="AC66" s="78"/>
      <c r="AD66" s="77" t="s">
        <v>76</v>
      </c>
      <c r="AE66" s="78"/>
      <c r="AF66" s="5"/>
      <c r="AG66" s="46"/>
      <c r="AH66" s="73" t="s">
        <v>77</v>
      </c>
      <c r="AI66" s="46"/>
      <c r="AJ66" s="4"/>
      <c r="AK66" s="4"/>
      <c r="AL66" s="22"/>
      <c r="AM66" s="5"/>
      <c r="AN66" s="5"/>
      <c r="AO66" s="150"/>
      <c r="AP66" s="150"/>
      <c r="AQ66" s="150"/>
      <c r="AR66" s="150"/>
      <c r="AS66" s="150"/>
      <c r="AT66" s="150"/>
      <c r="AU66" s="151"/>
      <c r="AV66" s="152"/>
    </row>
    <row r="67" spans="1:48" ht="15.75" customHeight="1">
      <c r="A67" s="23" t="s">
        <v>109</v>
      </c>
      <c r="B67" s="4"/>
      <c r="C67" s="4"/>
      <c r="D67" s="58">
        <f>IF(D66&lt;D59,D59,D66)</f>
        <v>2.5559866611241264</v>
      </c>
      <c r="E67" s="59" t="s">
        <v>53</v>
      </c>
      <c r="F67" s="4"/>
      <c r="G67" s="4"/>
      <c r="H67" s="5"/>
      <c r="I67" s="133"/>
      <c r="J67" s="134">
        <f>IF(D51&gt;0.5,1.1249303 - 6.8253905 * D51 + 16.6332529 * D51 ^ 2 - 18.9245369 * D51 ^ 3+ 8.7424728 *D51 ^ 4 + 0.3171068 *D51 ^ 5 - 1.0428365 * D51 ^ 6,IF(D51&lt;=0.5,0.045))</f>
        <v>3.295486906599146E-2</v>
      </c>
      <c r="K67" s="135"/>
      <c r="L67" s="82"/>
      <c r="M67" s="133"/>
      <c r="N67" s="136">
        <f t="shared" ref="N67:N68" si="35">J67*$N$40</f>
        <v>272.89927073547528</v>
      </c>
      <c r="O67" s="135"/>
      <c r="P67" s="84"/>
      <c r="Q67" s="137"/>
      <c r="R67" s="136">
        <f t="shared" ref="R67:R68" si="36">N67/$B$29/$D$50^2</f>
        <v>5.3906028787254376</v>
      </c>
      <c r="S67" s="138"/>
      <c r="T67" s="87"/>
      <c r="U67" s="137"/>
      <c r="V67" s="139">
        <f t="shared" ref="V67:V68" si="37">($B$17/$D$39)*(1-SQRT(1-2*R67/$B$17))</f>
        <v>2.2765714599327445E-3</v>
      </c>
      <c r="W67" s="138"/>
      <c r="X67" s="87"/>
      <c r="Y67" s="137"/>
      <c r="Z67" s="134">
        <f t="shared" ref="Z67:Z68" si="38">V67*100*$D$50</f>
        <v>1.7074285949495582</v>
      </c>
      <c r="AA67" s="138"/>
      <c r="AB67" s="90"/>
      <c r="AC67" s="137"/>
      <c r="AD67" s="134">
        <f t="shared" ref="AD67:AD68" si="39">IF(Z67&lt;=$D$59,$D$59,Z67)</f>
        <v>2.5</v>
      </c>
      <c r="AE67" s="138"/>
      <c r="AF67" s="94"/>
      <c r="AG67" s="133"/>
      <c r="AH67" s="134">
        <f t="shared" ref="AH67:AH68" si="40">$D$37/AD67</f>
        <v>0.25446900494077329</v>
      </c>
      <c r="AI67" s="135"/>
      <c r="AJ67" s="4"/>
      <c r="AK67" s="4"/>
      <c r="AL67" s="22"/>
      <c r="AM67" s="5"/>
      <c r="AN67" s="5"/>
      <c r="AO67" s="147"/>
      <c r="AP67" s="147"/>
      <c r="AQ67" s="147"/>
      <c r="AR67" s="147"/>
      <c r="AS67" s="147"/>
      <c r="AT67" s="147"/>
      <c r="AU67" s="5"/>
      <c r="AV67" s="5"/>
    </row>
    <row r="68" spans="1:48" ht="15.75" customHeight="1">
      <c r="A68" s="23" t="s">
        <v>110</v>
      </c>
      <c r="B68" s="4"/>
      <c r="C68" s="4"/>
      <c r="D68" s="58">
        <f>D37/D67</f>
        <v>0.24889508307220337</v>
      </c>
      <c r="E68" s="23" t="s">
        <v>79</v>
      </c>
      <c r="F68" s="6" t="s">
        <v>111</v>
      </c>
      <c r="G68" s="55" t="s">
        <v>78</v>
      </c>
      <c r="H68" s="94">
        <f>D43</f>
        <v>3.5</v>
      </c>
      <c r="I68" s="95"/>
      <c r="J68" s="96">
        <f>IF(D51&gt;0.5,1.9677603 - 12.3608981 * D51 + 31.1229464 * D51 ^ 2 - 36.7063071 *D51 ^ 3+ 17.678214 * D51 ^ 4 + 0.5993751 *D51 ^ 5 - 2.2640927 *D51 ^ 6,IF(D51&lt;=0.5,0.068))</f>
        <v>4.9323466994267928E-2</v>
      </c>
      <c r="K68" s="97"/>
      <c r="L68" s="98"/>
      <c r="M68" s="95"/>
      <c r="N68" s="99">
        <f t="shared" si="35"/>
        <v>408.44763017953272</v>
      </c>
      <c r="O68" s="97"/>
      <c r="P68" s="98"/>
      <c r="Q68" s="95"/>
      <c r="R68" s="99">
        <f t="shared" si="36"/>
        <v>8.0681013368796588</v>
      </c>
      <c r="S68" s="97"/>
      <c r="T68" s="98"/>
      <c r="U68" s="95"/>
      <c r="V68" s="100">
        <f t="shared" si="37"/>
        <v>3.4309526312971432E-3</v>
      </c>
      <c r="W68" s="97"/>
      <c r="X68" s="98"/>
      <c r="Y68" s="95"/>
      <c r="Z68" s="101">
        <f t="shared" si="38"/>
        <v>2.5732144734728575</v>
      </c>
      <c r="AA68" s="97"/>
      <c r="AB68" s="98"/>
      <c r="AC68" s="95"/>
      <c r="AD68" s="101">
        <f t="shared" si="39"/>
        <v>2.5732144734728575</v>
      </c>
      <c r="AE68" s="97"/>
      <c r="AF68" s="94"/>
      <c r="AG68" s="95"/>
      <c r="AH68" s="101">
        <f t="shared" si="40"/>
        <v>0.24722871680934666</v>
      </c>
      <c r="AI68" s="97"/>
      <c r="AJ68" s="4"/>
      <c r="AK68" s="4"/>
      <c r="AL68" s="5"/>
      <c r="AM68" s="5"/>
      <c r="AN68" s="5"/>
      <c r="AO68" s="150"/>
      <c r="AP68" s="150"/>
      <c r="AQ68" s="150"/>
      <c r="AR68" s="150"/>
      <c r="AS68" s="150"/>
      <c r="AT68" s="150"/>
      <c r="AU68" s="151"/>
      <c r="AV68" s="152"/>
    </row>
    <row r="69" spans="1:48" ht="15.75" customHeight="1">
      <c r="G69" s="4"/>
      <c r="H69" s="4"/>
      <c r="I69" s="105">
        <v>4.9000000000000002E-2</v>
      </c>
      <c r="J69" s="142">
        <v>3.6999999999999998E-2</v>
      </c>
      <c r="K69" s="107">
        <v>4.9000000000000002E-2</v>
      </c>
      <c r="L69" s="108"/>
      <c r="M69" s="112">
        <f t="shared" ref="M69:O69" si="41">I69*$N$40</f>
        <v>405.76900000000001</v>
      </c>
      <c r="N69" s="99">
        <f t="shared" si="41"/>
        <v>306.39699999999999</v>
      </c>
      <c r="O69" s="113">
        <f t="shared" si="41"/>
        <v>405.76900000000001</v>
      </c>
      <c r="P69" s="111"/>
      <c r="Q69" s="112">
        <f t="shared" ref="Q69:S69" si="42">M69/$B$29/$D$50^2</f>
        <v>8.0151901234567902</v>
      </c>
      <c r="R69" s="99">
        <f t="shared" si="42"/>
        <v>6.0522864197530861</v>
      </c>
      <c r="S69" s="113">
        <f t="shared" si="42"/>
        <v>8.0151901234567902</v>
      </c>
      <c r="T69" s="114"/>
      <c r="U69" s="115">
        <f t="shared" ref="U69:W69" si="43">($B$17/$D$39)*(1-SQRT(1-2*Q69/$B$17))</f>
        <v>3.4079822148321685E-3</v>
      </c>
      <c r="V69" s="100">
        <f t="shared" si="43"/>
        <v>2.5603470494882335E-3</v>
      </c>
      <c r="W69" s="116">
        <f t="shared" si="43"/>
        <v>3.4079822148321685E-3</v>
      </c>
      <c r="X69" s="114"/>
      <c r="Y69" s="117">
        <f t="shared" ref="Y69:AA69" si="44">U69*100*$D$50</f>
        <v>2.5559866611241264</v>
      </c>
      <c r="Z69" s="101">
        <f t="shared" si="44"/>
        <v>1.9202602871161751</v>
      </c>
      <c r="AA69" s="118">
        <f t="shared" si="44"/>
        <v>2.5559866611241264</v>
      </c>
      <c r="AB69" s="98"/>
      <c r="AC69" s="117">
        <f t="shared" ref="AC69:AE69" si="45">IF(Y69&lt;=$D$59,$D$59,Y69)</f>
        <v>2.5559866611241264</v>
      </c>
      <c r="AD69" s="101">
        <f t="shared" si="45"/>
        <v>2.5</v>
      </c>
      <c r="AE69" s="118">
        <f t="shared" si="45"/>
        <v>2.5559866611241264</v>
      </c>
      <c r="AF69" s="94"/>
      <c r="AG69" s="117">
        <f t="shared" ref="AG69:AI69" si="46">$D$37/AC69</f>
        <v>0.24889508307220337</v>
      </c>
      <c r="AH69" s="101">
        <f t="shared" si="46"/>
        <v>0.25446900494077329</v>
      </c>
      <c r="AI69" s="118">
        <f t="shared" si="46"/>
        <v>0.24889508307220337</v>
      </c>
      <c r="AJ69" s="4"/>
      <c r="AK69" s="4"/>
      <c r="AL69" s="148"/>
      <c r="AM69" s="5"/>
      <c r="AN69" s="5"/>
      <c r="AO69" s="5"/>
      <c r="AP69" s="5"/>
      <c r="AQ69" s="5"/>
      <c r="AR69" s="5"/>
      <c r="AS69" s="5"/>
      <c r="AT69" s="5"/>
      <c r="AU69" s="5"/>
      <c r="AV69" s="5"/>
    </row>
    <row r="70" spans="1:48" ht="15.75" customHeight="1">
      <c r="G70" s="4"/>
      <c r="H70" s="4"/>
      <c r="I70" s="168"/>
      <c r="J70" s="169">
        <f>IF(D51&gt;0.5,1.1249303 - 6.8253905 * D51 + 16.6332529 * D51 ^ 2 - 18.9245369 * D51 ^ 3+ 8.7424728 *D51 ^ 4 + 0.3171068 *D51 ^ 5 - 1.0428365 * D51 ^ 6,IF(D51&lt;=0.5,0.045))</f>
        <v>3.295486906599146E-2</v>
      </c>
      <c r="K70" s="170"/>
      <c r="L70" s="108"/>
      <c r="M70" s="168"/>
      <c r="N70" s="171">
        <f>J70*$N$40</f>
        <v>272.89927073547528</v>
      </c>
      <c r="O70" s="170"/>
      <c r="P70" s="111"/>
      <c r="Q70" s="172"/>
      <c r="R70" s="171">
        <f>N70/$B$29/$D$50^2</f>
        <v>5.3906028787254376</v>
      </c>
      <c r="S70" s="173"/>
      <c r="T70" s="114"/>
      <c r="U70" s="172"/>
      <c r="V70" s="174">
        <f>($B$17/$D$39)*(1-SQRT(1-2*R70/$B$17))</f>
        <v>2.2765714599327445E-3</v>
      </c>
      <c r="W70" s="173"/>
      <c r="X70" s="114"/>
      <c r="Y70" s="172"/>
      <c r="Z70" s="175">
        <f>V70*100*$D$50</f>
        <v>1.7074285949495582</v>
      </c>
      <c r="AA70" s="173"/>
      <c r="AB70" s="98"/>
      <c r="AC70" s="172"/>
      <c r="AD70" s="175">
        <f>IF(Z70&lt;=$D$59,$D$59,Z70)</f>
        <v>2.5</v>
      </c>
      <c r="AE70" s="173"/>
      <c r="AF70" s="94"/>
      <c r="AG70" s="168"/>
      <c r="AH70" s="175">
        <f>$D$37/AD70</f>
        <v>0.25446900494077329</v>
      </c>
      <c r="AI70" s="170"/>
      <c r="AJ70" s="4"/>
      <c r="AK70" s="4"/>
      <c r="AL70" s="148"/>
      <c r="AM70" s="5"/>
      <c r="AN70" s="5"/>
      <c r="AO70" s="5"/>
      <c r="AP70" s="5"/>
      <c r="AQ70" s="5"/>
      <c r="AR70" s="5"/>
      <c r="AS70" s="5"/>
      <c r="AT70" s="5"/>
      <c r="AU70" s="5"/>
      <c r="AV70" s="5"/>
    </row>
    <row r="71" spans="1:48" ht="15.75" customHeight="1">
      <c r="A71" s="4"/>
      <c r="B71" s="4"/>
      <c r="C71" s="4"/>
      <c r="D71" s="4"/>
      <c r="E71" s="4"/>
      <c r="F71" s="4"/>
      <c r="G71" s="4"/>
      <c r="H71" s="5"/>
      <c r="I71" s="55" t="s">
        <v>80</v>
      </c>
      <c r="J71" s="94">
        <f>D44</f>
        <v>4.5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18"/>
      <c r="AF71" s="18"/>
      <c r="AG71" s="18"/>
      <c r="AH71" s="18"/>
      <c r="AI71" s="18"/>
      <c r="AJ71" s="4"/>
      <c r="AK71" s="4"/>
      <c r="AL71" s="22"/>
      <c r="AM71" s="5"/>
      <c r="AN71" s="5"/>
      <c r="AO71" s="149"/>
      <c r="AP71" s="149"/>
      <c r="AQ71" s="149"/>
      <c r="AR71" s="149"/>
      <c r="AS71" s="149"/>
      <c r="AT71" s="149"/>
      <c r="AU71" s="5"/>
      <c r="AV71" s="5"/>
    </row>
    <row r="72" spans="1:48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22"/>
      <c r="AM72" s="5"/>
      <c r="AN72" s="5"/>
      <c r="AO72" s="150"/>
      <c r="AP72" s="150"/>
      <c r="AQ72" s="150"/>
      <c r="AR72" s="150"/>
      <c r="AS72" s="150"/>
      <c r="AT72" s="150"/>
      <c r="AU72" s="151"/>
      <c r="AV72" s="152"/>
    </row>
    <row r="73" spans="1:48" ht="15.75" customHeight="1">
      <c r="A73" s="4"/>
      <c r="B73" s="4"/>
      <c r="C73" s="4"/>
      <c r="D73" s="4"/>
      <c r="E73" s="4"/>
      <c r="F73" s="4"/>
      <c r="G73" s="4"/>
      <c r="H73" s="5"/>
      <c r="I73" s="48" t="s">
        <v>112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46"/>
      <c r="AC73" s="46"/>
      <c r="AD73" s="71" t="s">
        <v>69</v>
      </c>
      <c r="AE73" s="5"/>
      <c r="AF73" s="5"/>
      <c r="AG73" s="5"/>
      <c r="AH73" s="46"/>
      <c r="AI73" s="46"/>
      <c r="AJ73" s="4"/>
      <c r="AK73" s="4"/>
      <c r="AL73" s="22"/>
      <c r="AM73" s="5"/>
      <c r="AN73" s="5"/>
      <c r="AO73" s="147"/>
      <c r="AP73" s="147"/>
      <c r="AQ73" s="147"/>
      <c r="AR73" s="147"/>
      <c r="AS73" s="147"/>
      <c r="AT73" s="147"/>
      <c r="AU73" s="5"/>
      <c r="AV73" s="5"/>
    </row>
    <row r="74" spans="1:48" ht="15.75" customHeight="1">
      <c r="A74" s="4"/>
      <c r="B74" s="4"/>
      <c r="C74" s="4"/>
      <c r="D74" s="4"/>
      <c r="E74" s="4"/>
      <c r="F74" s="4"/>
      <c r="G74" s="4"/>
      <c r="H74" s="5"/>
      <c r="I74" s="46"/>
      <c r="J74" s="73" t="s">
        <v>71</v>
      </c>
      <c r="K74" s="46"/>
      <c r="L74" s="46"/>
      <c r="M74" s="46"/>
      <c r="N74" s="74" t="s">
        <v>72</v>
      </c>
      <c r="O74" s="46"/>
      <c r="P74" s="46"/>
      <c r="Q74" s="75"/>
      <c r="R74" s="76" t="s">
        <v>73</v>
      </c>
      <c r="S74" s="78"/>
      <c r="T74" s="46"/>
      <c r="U74" s="78"/>
      <c r="V74" s="77" t="s">
        <v>74</v>
      </c>
      <c r="W74" s="78"/>
      <c r="X74" s="46"/>
      <c r="Y74" s="78"/>
      <c r="Z74" s="77" t="s">
        <v>75</v>
      </c>
      <c r="AA74" s="78"/>
      <c r="AB74" s="18"/>
      <c r="AC74" s="78"/>
      <c r="AD74" s="77" t="s">
        <v>76</v>
      </c>
      <c r="AE74" s="78"/>
      <c r="AF74" s="5"/>
      <c r="AG74" s="46"/>
      <c r="AH74" s="73" t="s">
        <v>77</v>
      </c>
      <c r="AI74" s="46"/>
      <c r="AJ74" s="4"/>
      <c r="AK74" s="4"/>
      <c r="AL74" s="5"/>
      <c r="AM74" s="5"/>
      <c r="AN74" s="5"/>
      <c r="AO74" s="150"/>
      <c r="AP74" s="150"/>
      <c r="AQ74" s="150"/>
      <c r="AR74" s="150"/>
      <c r="AS74" s="150"/>
      <c r="AT74" s="150"/>
      <c r="AU74" s="151"/>
      <c r="AV74" s="152"/>
    </row>
    <row r="75" spans="1:48" ht="15.75" customHeight="1">
      <c r="A75" s="4"/>
      <c r="B75" s="4"/>
      <c r="C75" s="147"/>
      <c r="D75" s="4"/>
      <c r="E75" s="4"/>
      <c r="F75" s="4"/>
      <c r="G75" s="4"/>
      <c r="H75" s="5"/>
      <c r="I75" s="176"/>
      <c r="J75" s="134">
        <f>IF(D51&gt;0.5,1.1249303 - 6.8253905 * D51 + 16.6332529 * D51 ^ 2 - 18.9245369 * D51 ^ 3+ 8.7424728 *D51 ^ 4 + 0.3171068 *D51 ^ 5 - 1.0428365 * D51 ^ 6,IF(D51&lt;=0.5,0.045))</f>
        <v>3.295486906599146E-2</v>
      </c>
      <c r="K75" s="135"/>
      <c r="L75" s="82"/>
      <c r="M75" s="176"/>
      <c r="N75" s="136">
        <f t="shared" ref="N75:N76" si="47">J75*$N$40</f>
        <v>272.89927073547528</v>
      </c>
      <c r="O75" s="135"/>
      <c r="P75" s="82"/>
      <c r="Q75" s="177"/>
      <c r="R75" s="136">
        <f t="shared" ref="R75:R76" si="48">N75/$B$29/$D$50^2</f>
        <v>5.3906028787254376</v>
      </c>
      <c r="S75" s="138"/>
      <c r="T75" s="158"/>
      <c r="U75" s="177"/>
      <c r="V75" s="139">
        <f t="shared" ref="V75:V76" si="49">($B$17/$D$39)*(1-SQRT(1-2*R75/$B$17))</f>
        <v>2.2765714599327445E-3</v>
      </c>
      <c r="W75" s="138"/>
      <c r="X75" s="158"/>
      <c r="Y75" s="177"/>
      <c r="Z75" s="134">
        <f t="shared" ref="Z75:Z76" si="50">V75*100*$D$50</f>
        <v>1.7074285949495582</v>
      </c>
      <c r="AA75" s="138"/>
      <c r="AB75" s="159"/>
      <c r="AC75" s="177"/>
      <c r="AD75" s="134">
        <f t="shared" ref="AD75:AD76" si="51">IF(Z75&lt;=$D$59,$D$59,Z75)</f>
        <v>2.5</v>
      </c>
      <c r="AE75" s="138"/>
      <c r="AF75" s="94"/>
      <c r="AG75" s="176"/>
      <c r="AH75" s="134">
        <f t="shared" ref="AH75:AH76" si="52">$D$37/AD75</f>
        <v>0.25446900494077329</v>
      </c>
      <c r="AI75" s="135"/>
      <c r="AJ75" s="4"/>
      <c r="AK75" s="4"/>
      <c r="AL75" s="148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ht="15.75" customHeight="1">
      <c r="A76" s="4"/>
      <c r="B76" s="4"/>
      <c r="C76" s="4"/>
      <c r="D76" s="4"/>
      <c r="E76" s="4"/>
      <c r="G76" s="55" t="s">
        <v>78</v>
      </c>
      <c r="H76" s="94">
        <f>D43</f>
        <v>3.5</v>
      </c>
      <c r="I76" s="60"/>
      <c r="J76" s="96">
        <f>IF(D51&gt;0.5,1.9677603 - 12.3608981 * D51 + 31.1229464 * D51 ^ 2 - 36.7063071 *D51 ^ 3+ 17.678214 * D51 ^ 4 + 0.5993751 *D51 ^ 5 - 2.2640927 *D51 ^ 6,IF(D51&lt;=0.5,0.068))</f>
        <v>4.9323466994267928E-2</v>
      </c>
      <c r="K76" s="97"/>
      <c r="L76" s="98"/>
      <c r="M76" s="60"/>
      <c r="N76" s="99">
        <f t="shared" si="47"/>
        <v>408.44763017953272</v>
      </c>
      <c r="O76" s="97"/>
      <c r="P76" s="98"/>
      <c r="Q76" s="60"/>
      <c r="R76" s="99">
        <f t="shared" si="48"/>
        <v>8.0681013368796588</v>
      </c>
      <c r="S76" s="97"/>
      <c r="T76" s="98"/>
      <c r="U76" s="60"/>
      <c r="V76" s="100">
        <f t="shared" si="49"/>
        <v>3.4309526312971432E-3</v>
      </c>
      <c r="W76" s="97"/>
      <c r="X76" s="98"/>
      <c r="Y76" s="60"/>
      <c r="Z76" s="101">
        <f t="shared" si="50"/>
        <v>2.5732144734728575</v>
      </c>
      <c r="AA76" s="97"/>
      <c r="AB76" s="98"/>
      <c r="AC76" s="60"/>
      <c r="AD76" s="101">
        <f t="shared" si="51"/>
        <v>2.5732144734728575</v>
      </c>
      <c r="AE76" s="97"/>
      <c r="AF76" s="94"/>
      <c r="AG76" s="60"/>
      <c r="AH76" s="101">
        <f t="shared" si="52"/>
        <v>0.24722871680934666</v>
      </c>
      <c r="AI76" s="97"/>
      <c r="AJ76" s="4"/>
      <c r="AK76" s="4"/>
      <c r="AL76" s="22"/>
      <c r="AM76" s="5"/>
      <c r="AN76" s="5"/>
      <c r="AO76" s="149"/>
      <c r="AP76" s="149"/>
      <c r="AQ76" s="149"/>
      <c r="AR76" s="149"/>
      <c r="AS76" s="149"/>
      <c r="AT76" s="149"/>
      <c r="AU76" s="5"/>
      <c r="AV76" s="5"/>
    </row>
    <row r="77" spans="1:48" ht="15.75" customHeight="1">
      <c r="A77" s="4"/>
      <c r="B77" s="4"/>
      <c r="C77" s="4"/>
      <c r="D77" s="4"/>
      <c r="E77" s="4"/>
      <c r="G77" s="4"/>
      <c r="H77" s="4"/>
      <c r="I77" s="160">
        <v>2.5000000000000001E-2</v>
      </c>
      <c r="J77" s="142">
        <v>3.6999999999999998E-2</v>
      </c>
      <c r="K77" s="107">
        <v>4.9000000000000002E-2</v>
      </c>
      <c r="L77" s="108"/>
      <c r="M77" s="161">
        <f t="shared" ref="M77:O77" si="53">I77*$N$40</f>
        <v>207.02500000000001</v>
      </c>
      <c r="N77" s="99">
        <f t="shared" si="53"/>
        <v>306.39699999999999</v>
      </c>
      <c r="O77" s="113">
        <f t="shared" si="53"/>
        <v>405.76900000000001</v>
      </c>
      <c r="P77" s="108"/>
      <c r="Q77" s="161">
        <f t="shared" ref="Q77:S77" si="54">M77/$B$29/$D$50^2</f>
        <v>4.089382716049383</v>
      </c>
      <c r="R77" s="99">
        <f t="shared" si="54"/>
        <v>6.0522864197530861</v>
      </c>
      <c r="S77" s="113">
        <f t="shared" si="54"/>
        <v>8.0151901234567902</v>
      </c>
      <c r="T77" s="162"/>
      <c r="U77" s="163">
        <f t="shared" ref="U77:W77" si="55">($B$17/$D$39)*(1-SQRT(1-2*Q77/$B$17))</f>
        <v>1.7213389219873343E-3</v>
      </c>
      <c r="V77" s="100">
        <f t="shared" si="55"/>
        <v>2.5603470494882335E-3</v>
      </c>
      <c r="W77" s="116">
        <f t="shared" si="55"/>
        <v>3.4079822148321685E-3</v>
      </c>
      <c r="X77" s="162"/>
      <c r="Y77" s="164">
        <f t="shared" ref="Y77:AA77" si="56">U77*100*$D$50</f>
        <v>1.2910041914905008</v>
      </c>
      <c r="Z77" s="101">
        <f t="shared" si="56"/>
        <v>1.9202602871161751</v>
      </c>
      <c r="AA77" s="118">
        <f t="shared" si="56"/>
        <v>2.5559866611241264</v>
      </c>
      <c r="AB77" s="165"/>
      <c r="AC77" s="164">
        <f t="shared" ref="AC77:AE77" si="57">IF(Y77&lt;=$D$59,$D$59,Y77)</f>
        <v>2.5</v>
      </c>
      <c r="AD77" s="101">
        <f t="shared" si="57"/>
        <v>2.5</v>
      </c>
      <c r="AE77" s="118">
        <f t="shared" si="57"/>
        <v>2.5559866611241264</v>
      </c>
      <c r="AF77" s="94"/>
      <c r="AG77" s="164">
        <f t="shared" ref="AG77:AI77" si="58">$D$37/AC77</f>
        <v>0.25446900494077329</v>
      </c>
      <c r="AH77" s="101">
        <f t="shared" si="58"/>
        <v>0.25446900494077329</v>
      </c>
      <c r="AI77" s="118">
        <f t="shared" si="58"/>
        <v>0.24889508307220337</v>
      </c>
      <c r="AJ77" s="4"/>
      <c r="AK77" s="4"/>
      <c r="AL77" s="22"/>
      <c r="AM77" s="5"/>
      <c r="AN77" s="5"/>
      <c r="AO77" s="150"/>
      <c r="AP77" s="150"/>
      <c r="AQ77" s="150"/>
      <c r="AR77" s="150"/>
      <c r="AS77" s="150"/>
      <c r="AT77" s="150"/>
      <c r="AU77" s="151"/>
      <c r="AV77" s="152"/>
    </row>
    <row r="78" spans="1:48" ht="15.75" customHeight="1">
      <c r="A78" s="4"/>
      <c r="B78" s="4"/>
      <c r="C78" s="4"/>
      <c r="D78" s="4"/>
      <c r="E78" s="4"/>
      <c r="G78" s="4"/>
      <c r="H78" s="4"/>
      <c r="I78" s="166"/>
      <c r="J78" s="146">
        <f>IF(D51&gt;0.5,1.3654114 - 7.8903312 * D51 + 19.0024102 *D51 ^ 2 - 21.6132496 * D51 ^ 3+ 10.0580798 * D51 ^ 4 + 0.3727742 *D51 ^ 5 - 1.2460959 *D51 ^ 6,IF(D51&lt;=0.5,0.09))</f>
        <v>6.5577336979456446E-2</v>
      </c>
      <c r="K78" s="123"/>
      <c r="L78" s="108"/>
      <c r="M78" s="166"/>
      <c r="N78" s="124">
        <f>J78*$N$40</f>
        <v>543.04592752687881</v>
      </c>
      <c r="O78" s="123"/>
      <c r="P78" s="108"/>
      <c r="Q78" s="167"/>
      <c r="R78" s="124">
        <f>N78/$B$29/$D$50^2</f>
        <v>10.72683313633341</v>
      </c>
      <c r="S78" s="126"/>
      <c r="T78" s="162"/>
      <c r="U78" s="167"/>
      <c r="V78" s="127">
        <f>($B$17/$D$39)*(1-SQRT(1-2*R78/$B$17))</f>
        <v>4.5936404701528016E-3</v>
      </c>
      <c r="W78" s="126"/>
      <c r="X78" s="162"/>
      <c r="Y78" s="167"/>
      <c r="Z78" s="128">
        <f>V78*100*$D$50</f>
        <v>3.4452303526146011</v>
      </c>
      <c r="AA78" s="126"/>
      <c r="AB78" s="165"/>
      <c r="AC78" s="167"/>
      <c r="AD78" s="128">
        <f>IF(Z78&lt;=$D$59,$D$59,Z78)</f>
        <v>3.4452303526146011</v>
      </c>
      <c r="AE78" s="126"/>
      <c r="AF78" s="94"/>
      <c r="AG78" s="166"/>
      <c r="AH78" s="128">
        <f>$D$37/AD78</f>
        <v>0.18465311379517452</v>
      </c>
      <c r="AI78" s="123"/>
      <c r="AJ78" s="4"/>
      <c r="AK78" s="4"/>
      <c r="AL78" s="22"/>
      <c r="AM78" s="5"/>
      <c r="AN78" s="5"/>
      <c r="AO78" s="150"/>
      <c r="AP78" s="150"/>
      <c r="AQ78" s="150"/>
      <c r="AR78" s="150"/>
      <c r="AS78" s="150"/>
      <c r="AT78" s="150"/>
      <c r="AU78" s="151"/>
      <c r="AV78" s="152"/>
    </row>
    <row r="79" spans="1:48" ht="15.75" customHeight="1">
      <c r="A79" s="4"/>
      <c r="B79" s="4"/>
      <c r="C79" s="4"/>
      <c r="D79" s="4"/>
      <c r="E79" s="4"/>
      <c r="G79" s="4"/>
      <c r="H79" s="5"/>
      <c r="I79" s="55" t="s">
        <v>80</v>
      </c>
      <c r="J79" s="94">
        <f>D44</f>
        <v>4.5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132"/>
      <c r="AF79" s="18"/>
      <c r="AG79" s="18"/>
      <c r="AH79" s="18"/>
      <c r="AI79" s="18"/>
      <c r="AJ79" s="4"/>
      <c r="AK79" s="4"/>
      <c r="AL79" s="22"/>
      <c r="AM79" s="5"/>
      <c r="AN79" s="5"/>
      <c r="AO79" s="149"/>
      <c r="AP79" s="149"/>
      <c r="AQ79" s="149"/>
      <c r="AR79" s="149"/>
      <c r="AS79" s="149"/>
      <c r="AT79" s="149"/>
      <c r="AU79" s="5"/>
      <c r="AV79" s="5"/>
    </row>
    <row r="80" spans="1:48" ht="15.75" customHeight="1">
      <c r="A80" s="4"/>
      <c r="B80" s="4"/>
      <c r="C80" s="4"/>
      <c r="D80" s="4"/>
      <c r="E80" s="4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4"/>
      <c r="AK80" s="4"/>
      <c r="AL80" s="22"/>
      <c r="AM80" s="5"/>
      <c r="AN80" s="5"/>
      <c r="AO80" s="149"/>
      <c r="AP80" s="149"/>
      <c r="AQ80" s="149"/>
      <c r="AR80" s="149"/>
      <c r="AS80" s="149"/>
      <c r="AT80" s="149"/>
      <c r="AU80" s="5"/>
      <c r="AV80" s="5"/>
    </row>
    <row r="81" spans="1:48" ht="15.75" customHeight="1">
      <c r="A81" s="4"/>
      <c r="B81" s="4"/>
      <c r="C81" s="4"/>
      <c r="D81" s="4"/>
      <c r="E81" s="4"/>
      <c r="G81" s="4"/>
      <c r="H81" s="5"/>
      <c r="I81" s="48" t="s">
        <v>113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46"/>
      <c r="AC81" s="46"/>
      <c r="AD81" s="71" t="s">
        <v>69</v>
      </c>
      <c r="AE81" s="5"/>
      <c r="AF81" s="5"/>
      <c r="AG81" s="5"/>
      <c r="AH81" s="46"/>
      <c r="AI81" s="46"/>
      <c r="AJ81" s="4"/>
      <c r="AK81" s="4"/>
      <c r="AL81" s="5"/>
      <c r="AM81" s="5"/>
      <c r="AN81" s="5"/>
      <c r="AO81" s="150"/>
      <c r="AP81" s="150"/>
      <c r="AQ81" s="150"/>
      <c r="AR81" s="150"/>
      <c r="AS81" s="150"/>
      <c r="AT81" s="150"/>
      <c r="AU81" s="151"/>
      <c r="AV81" s="152"/>
    </row>
    <row r="82" spans="1:48" ht="15.75" customHeight="1">
      <c r="A82" s="4"/>
      <c r="B82" s="4"/>
      <c r="C82" s="4"/>
      <c r="D82" s="4"/>
      <c r="E82" s="4"/>
      <c r="G82" s="4"/>
      <c r="H82" s="5"/>
      <c r="I82" s="46"/>
      <c r="J82" s="73" t="s">
        <v>71</v>
      </c>
      <c r="K82" s="46"/>
      <c r="L82" s="46"/>
      <c r="M82" s="46"/>
      <c r="N82" s="74" t="s">
        <v>72</v>
      </c>
      <c r="O82" s="46"/>
      <c r="P82" s="46"/>
      <c r="Q82" s="75"/>
      <c r="R82" s="76" t="s">
        <v>73</v>
      </c>
      <c r="S82" s="46"/>
      <c r="T82" s="46"/>
      <c r="U82" s="46"/>
      <c r="V82" s="74" t="s">
        <v>74</v>
      </c>
      <c r="W82" s="46"/>
      <c r="X82" s="46"/>
      <c r="Y82" s="46"/>
      <c r="Z82" s="74" t="s">
        <v>75</v>
      </c>
      <c r="AA82" s="46"/>
      <c r="AB82" s="18"/>
      <c r="AC82" s="46"/>
      <c r="AD82" s="74" t="s">
        <v>76</v>
      </c>
      <c r="AE82" s="46"/>
      <c r="AF82" s="5"/>
      <c r="AG82" s="46"/>
      <c r="AH82" s="73" t="s">
        <v>77</v>
      </c>
      <c r="AI82" s="46"/>
      <c r="AJ82" s="4"/>
      <c r="AK82" s="4"/>
      <c r="AL82" s="148"/>
      <c r="AM82" s="5"/>
      <c r="AN82" s="5"/>
      <c r="AO82" s="58"/>
      <c r="AP82" s="58"/>
      <c r="AQ82" s="58"/>
      <c r="AR82" s="58"/>
      <c r="AS82" s="58"/>
      <c r="AT82" s="58"/>
      <c r="AU82" s="5"/>
      <c r="AV82" s="5"/>
    </row>
    <row r="83" spans="1:48" ht="15.75" customHeight="1">
      <c r="A83" s="4"/>
      <c r="B83" s="4"/>
      <c r="C83" s="4"/>
      <c r="D83" s="4"/>
      <c r="E83" s="4"/>
      <c r="G83" s="4"/>
      <c r="H83" s="5"/>
      <c r="I83" s="156"/>
      <c r="J83" s="89">
        <f>IF(D51&gt;0.5,1.3654114 - 7.8903312 * D51 + 19.0024102 *D51 ^ 2 - 21.6132496 * D51 ^ 3+ 10.0580798 * D51 ^ 4 + 0.3727742 *D51 ^ 5 - 1.2460959 *D51 ^ 6,IF(D51&lt;=0.5,0.09))</f>
        <v>6.5577336979456446E-2</v>
      </c>
      <c r="K83" s="178"/>
      <c r="L83" s="82"/>
      <c r="M83" s="156"/>
      <c r="N83" s="83">
        <f t="shared" ref="N83:N84" si="59">J83*$N$40</f>
        <v>543.04592752687881</v>
      </c>
      <c r="O83" s="178"/>
      <c r="P83" s="82"/>
      <c r="Q83" s="157"/>
      <c r="R83" s="83">
        <f t="shared" ref="R83:R84" si="60">N83/$B$29/$D$50^2</f>
        <v>10.72683313633341</v>
      </c>
      <c r="S83" s="179"/>
      <c r="T83" s="158"/>
      <c r="U83" s="157"/>
      <c r="V83" s="88">
        <f t="shared" ref="V83:V84" si="61">($B$17/$D$39)*(1-SQRT(1-2*R83/$B$17))</f>
        <v>4.5936404701528016E-3</v>
      </c>
      <c r="W83" s="179"/>
      <c r="X83" s="158"/>
      <c r="Y83" s="157"/>
      <c r="Z83" s="89">
        <f t="shared" ref="Z83:Z84" si="62">V83*100*$D$50</f>
        <v>3.4452303526146011</v>
      </c>
      <c r="AA83" s="179"/>
      <c r="AB83" s="180"/>
      <c r="AC83" s="157"/>
      <c r="AD83" s="89">
        <f t="shared" ref="AD83:AD84" si="63">IF(Z83&lt;=$D$59,$D$59,Z83)</f>
        <v>3.4452303526146011</v>
      </c>
      <c r="AE83" s="179"/>
      <c r="AF83" s="94"/>
      <c r="AG83" s="156"/>
      <c r="AH83" s="89">
        <f t="shared" ref="AH83:AH84" si="64">$D$37/AD83</f>
        <v>0.18465311379517452</v>
      </c>
      <c r="AI83" s="178"/>
      <c r="AJ83" s="4"/>
      <c r="AK83" s="4"/>
      <c r="AL83" s="22"/>
      <c r="AM83" s="5"/>
      <c r="AN83" s="5"/>
      <c r="AO83" s="149"/>
      <c r="AP83" s="149"/>
      <c r="AQ83" s="149"/>
      <c r="AR83" s="149"/>
      <c r="AS83" s="149"/>
      <c r="AT83" s="149"/>
      <c r="AU83" s="5"/>
      <c r="AV83" s="5"/>
    </row>
    <row r="84" spans="1:48" ht="15.75" customHeight="1">
      <c r="A84" s="4"/>
      <c r="B84" s="4"/>
      <c r="C84" s="4"/>
      <c r="D84" s="4"/>
      <c r="E84" s="4"/>
      <c r="G84" s="55" t="s">
        <v>78</v>
      </c>
      <c r="H84" s="94">
        <f>D43</f>
        <v>3.5</v>
      </c>
      <c r="I84" s="60"/>
      <c r="J84" s="96">
        <f>IF(D51&gt;0.5,1.9677603 - 12.3608981 * D51 + 31.1229464 * D51 ^ 2 - 36.7063071 *D51 ^ 3+ 17.678214 * D51 ^ 4 + 0.5993751 *D51 ^ 5 - 2.2640927 *D51 ^ 6,IF(D51&lt;=0.5,0.068))</f>
        <v>4.9323466994267928E-2</v>
      </c>
      <c r="K84" s="62"/>
      <c r="L84" s="98"/>
      <c r="M84" s="60"/>
      <c r="N84" s="99">
        <f t="shared" si="59"/>
        <v>408.44763017953272</v>
      </c>
      <c r="O84" s="62"/>
      <c r="P84" s="98"/>
      <c r="Q84" s="60"/>
      <c r="R84" s="99">
        <f t="shared" si="60"/>
        <v>8.0681013368796588</v>
      </c>
      <c r="S84" s="62"/>
      <c r="T84" s="98"/>
      <c r="U84" s="60"/>
      <c r="V84" s="100">
        <f t="shared" si="61"/>
        <v>3.4309526312971432E-3</v>
      </c>
      <c r="W84" s="62"/>
      <c r="X84" s="98"/>
      <c r="Y84" s="60"/>
      <c r="Z84" s="101">
        <f t="shared" si="62"/>
        <v>2.5732144734728575</v>
      </c>
      <c r="AA84" s="62"/>
      <c r="AB84" s="98"/>
      <c r="AC84" s="60"/>
      <c r="AD84" s="101">
        <f t="shared" si="63"/>
        <v>2.5732144734728575</v>
      </c>
      <c r="AE84" s="62"/>
      <c r="AF84" s="94"/>
      <c r="AG84" s="60"/>
      <c r="AH84" s="101">
        <f t="shared" si="64"/>
        <v>0.24722871680934666</v>
      </c>
      <c r="AI84" s="62"/>
      <c r="AJ84" s="4"/>
      <c r="AK84" s="4"/>
      <c r="AL84" s="22"/>
      <c r="AM84" s="5"/>
      <c r="AN84" s="5"/>
      <c r="AO84" s="150"/>
      <c r="AP84" s="150"/>
      <c r="AQ84" s="150"/>
      <c r="AR84" s="150"/>
      <c r="AS84" s="150"/>
      <c r="AT84" s="150"/>
      <c r="AU84" s="151"/>
      <c r="AV84" s="152"/>
    </row>
    <row r="85" spans="1:48" ht="15.75" customHeight="1">
      <c r="A85" s="4"/>
      <c r="B85" s="4"/>
      <c r="C85" s="4"/>
      <c r="D85" s="4"/>
      <c r="E85" s="4"/>
      <c r="G85" s="4"/>
      <c r="H85" s="4"/>
      <c r="I85" s="160">
        <v>2.5000000000000001E-2</v>
      </c>
      <c r="J85" s="142">
        <v>3.6999999999999998E-2</v>
      </c>
      <c r="K85" s="181">
        <v>2.5000000000000001E-2</v>
      </c>
      <c r="L85" s="108"/>
      <c r="M85" s="161">
        <f t="shared" ref="M85:O85" si="65">I85*$N$40</f>
        <v>207.02500000000001</v>
      </c>
      <c r="N85" s="99">
        <f t="shared" si="65"/>
        <v>306.39699999999999</v>
      </c>
      <c r="O85" s="182">
        <f t="shared" si="65"/>
        <v>207.02500000000001</v>
      </c>
      <c r="P85" s="108"/>
      <c r="Q85" s="161">
        <f t="shared" ref="Q85:S85" si="66">M85/$B$29/$D$50^2</f>
        <v>4.089382716049383</v>
      </c>
      <c r="R85" s="99">
        <f t="shared" si="66"/>
        <v>6.0522864197530861</v>
      </c>
      <c r="S85" s="182">
        <f t="shared" si="66"/>
        <v>4.089382716049383</v>
      </c>
      <c r="T85" s="162"/>
      <c r="U85" s="163">
        <f t="shared" ref="U85:W85" si="67">($B$17/$D$39)*(1-SQRT(1-2*Q85/$B$17))</f>
        <v>1.7213389219873343E-3</v>
      </c>
      <c r="V85" s="100">
        <f t="shared" si="67"/>
        <v>2.5603470494882335E-3</v>
      </c>
      <c r="W85" s="183">
        <f t="shared" si="67"/>
        <v>1.7213389219873343E-3</v>
      </c>
      <c r="X85" s="162"/>
      <c r="Y85" s="164">
        <f t="shared" ref="Y85:AA85" si="68">U85*100*$D$50</f>
        <v>1.2910041914905008</v>
      </c>
      <c r="Z85" s="101">
        <f t="shared" si="68"/>
        <v>1.9202602871161751</v>
      </c>
      <c r="AA85" s="184">
        <f t="shared" si="68"/>
        <v>1.2910041914905008</v>
      </c>
      <c r="AB85" s="108"/>
      <c r="AC85" s="164">
        <f t="shared" ref="AC85:AE85" si="69">IF(Y85&lt;=$D$59,$D$59,Y85)</f>
        <v>2.5</v>
      </c>
      <c r="AD85" s="101">
        <f t="shared" si="69"/>
        <v>2.5</v>
      </c>
      <c r="AE85" s="184">
        <f t="shared" si="69"/>
        <v>2.5</v>
      </c>
      <c r="AF85" s="94"/>
      <c r="AG85" s="164">
        <f t="shared" ref="AG85:AI85" si="70">$D$37/AC85</f>
        <v>0.25446900494077329</v>
      </c>
      <c r="AH85" s="101">
        <f t="shared" si="70"/>
        <v>0.25446900494077329</v>
      </c>
      <c r="AI85" s="184">
        <f t="shared" si="70"/>
        <v>0.25446900494077329</v>
      </c>
      <c r="AJ85" s="4"/>
      <c r="AK85" s="4"/>
      <c r="AL85" s="22"/>
      <c r="AM85" s="5"/>
      <c r="AN85" s="5"/>
      <c r="AO85" s="149"/>
      <c r="AP85" s="149"/>
      <c r="AQ85" s="149"/>
      <c r="AR85" s="149"/>
      <c r="AS85" s="149"/>
      <c r="AT85" s="149"/>
      <c r="AU85" s="5"/>
      <c r="AV85" s="5"/>
    </row>
    <row r="86" spans="1:48" ht="15.75" customHeight="1">
      <c r="A86" s="4"/>
      <c r="B86" s="4"/>
      <c r="C86" s="4"/>
      <c r="D86" s="4"/>
      <c r="E86" s="4"/>
      <c r="G86" s="4"/>
      <c r="H86" s="4"/>
      <c r="I86" s="166"/>
      <c r="J86" s="146">
        <f>IF(D51&gt;0.5,1.3654114 - 7.8903312 * D51 + 19.0024102 *D51 ^ 2 - 21.6132496 * D51 ^ 3+ 10.0580798 * D51 ^ 4 + 0.3727742 *D51 ^ 5 - 1.2460959 *D51 ^ 6,IF(D51&lt;=0.5,0.09))</f>
        <v>6.5577336979456446E-2</v>
      </c>
      <c r="K86" s="185"/>
      <c r="L86" s="108"/>
      <c r="M86" s="166"/>
      <c r="N86" s="124">
        <f>J86*$N$40</f>
        <v>543.04592752687881</v>
      </c>
      <c r="O86" s="185"/>
      <c r="P86" s="108"/>
      <c r="Q86" s="167"/>
      <c r="R86" s="124">
        <f>N86/$B$29/$D$50^2</f>
        <v>10.72683313633341</v>
      </c>
      <c r="S86" s="186"/>
      <c r="T86" s="162"/>
      <c r="U86" s="167"/>
      <c r="V86" s="127">
        <f>($B$17/$D$39)*(1-SQRT(1-2*R86/$B$17))</f>
        <v>4.5936404701528016E-3</v>
      </c>
      <c r="W86" s="186"/>
      <c r="X86" s="162"/>
      <c r="Y86" s="167"/>
      <c r="Z86" s="128">
        <f>V86*100*$D$50</f>
        <v>3.4452303526146011</v>
      </c>
      <c r="AA86" s="186"/>
      <c r="AB86" s="108"/>
      <c r="AC86" s="167"/>
      <c r="AD86" s="128">
        <f>IF(Z86&lt;=$D$59,$D$59,Z86)</f>
        <v>3.4452303526146011</v>
      </c>
      <c r="AE86" s="186"/>
      <c r="AF86" s="94"/>
      <c r="AG86" s="166"/>
      <c r="AH86" s="128">
        <f>$D$37/AD86</f>
        <v>0.18465311379517452</v>
      </c>
      <c r="AI86" s="185"/>
      <c r="AJ86" s="4"/>
      <c r="AK86" s="4"/>
      <c r="AL86" s="22"/>
      <c r="AM86" s="5"/>
      <c r="AN86" s="5"/>
      <c r="AO86" s="149"/>
      <c r="AP86" s="149"/>
      <c r="AQ86" s="149"/>
      <c r="AR86" s="149"/>
      <c r="AS86" s="149"/>
      <c r="AT86" s="149"/>
      <c r="AU86" s="5"/>
      <c r="AV86" s="5"/>
    </row>
    <row r="87" spans="1:48" ht="15.75" customHeight="1">
      <c r="A87" s="4"/>
      <c r="B87" s="4"/>
      <c r="C87" s="4"/>
      <c r="D87" s="4"/>
      <c r="E87" s="4"/>
      <c r="G87" s="4"/>
      <c r="H87" s="5"/>
      <c r="I87" s="55" t="s">
        <v>80</v>
      </c>
      <c r="J87" s="94">
        <f>D44</f>
        <v>4.5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132"/>
      <c r="AF87" s="18"/>
      <c r="AG87" s="18"/>
      <c r="AH87" s="18"/>
      <c r="AI87" s="18"/>
      <c r="AJ87" s="4"/>
      <c r="AK87" s="4"/>
      <c r="AL87" s="5"/>
      <c r="AM87" s="5"/>
      <c r="AN87" s="5"/>
      <c r="AO87" s="150"/>
      <c r="AP87" s="150"/>
      <c r="AQ87" s="150"/>
      <c r="AR87" s="150"/>
      <c r="AS87" s="150"/>
      <c r="AT87" s="150"/>
      <c r="AU87" s="151"/>
      <c r="AV87" s="152"/>
    </row>
    <row r="88" spans="1:48" ht="15.75" customHeight="1">
      <c r="A88" s="4"/>
      <c r="B88" s="4"/>
      <c r="C88" s="4"/>
      <c r="D88" s="4"/>
      <c r="E88" s="4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4"/>
      <c r="AU88" s="4"/>
      <c r="AV88" s="4"/>
    </row>
    <row r="89" spans="1:48" ht="15.75" customHeight="1">
      <c r="A89" s="4"/>
      <c r="B89" s="4"/>
      <c r="C89" s="4"/>
      <c r="D89" s="4"/>
      <c r="E89" s="4"/>
      <c r="G89" s="4"/>
      <c r="H89" s="5"/>
      <c r="I89" s="48" t="s">
        <v>114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46"/>
      <c r="AC89" s="46"/>
      <c r="AD89" s="71" t="s">
        <v>69</v>
      </c>
      <c r="AE89" s="5"/>
      <c r="AF89" s="5"/>
      <c r="AG89" s="5"/>
      <c r="AH89" s="46"/>
      <c r="AI89" s="46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ht="15.75" customHeight="1">
      <c r="A90" s="4"/>
      <c r="B90" s="4"/>
      <c r="C90" s="4"/>
      <c r="D90" s="4"/>
      <c r="E90" s="4"/>
      <c r="G90" s="4"/>
      <c r="H90" s="5"/>
      <c r="I90" s="46"/>
      <c r="J90" s="73" t="s">
        <v>71</v>
      </c>
      <c r="K90" s="46"/>
      <c r="L90" s="46"/>
      <c r="M90" s="46"/>
      <c r="N90" s="74" t="s">
        <v>72</v>
      </c>
      <c r="O90" s="46"/>
      <c r="P90" s="46"/>
      <c r="Q90" s="75"/>
      <c r="R90" s="76" t="s">
        <v>73</v>
      </c>
      <c r="S90" s="46"/>
      <c r="T90" s="46"/>
      <c r="U90" s="46"/>
      <c r="V90" s="74" t="s">
        <v>74</v>
      </c>
      <c r="W90" s="46"/>
      <c r="X90" s="46"/>
      <c r="Y90" s="46"/>
      <c r="Z90" s="74" t="s">
        <v>75</v>
      </c>
      <c r="AA90" s="46"/>
      <c r="AB90" s="18"/>
      <c r="AC90" s="46"/>
      <c r="AD90" s="74" t="s">
        <v>76</v>
      </c>
      <c r="AE90" s="46"/>
      <c r="AF90" s="5"/>
      <c r="AG90" s="46"/>
      <c r="AH90" s="73" t="s">
        <v>77</v>
      </c>
      <c r="AI90" s="46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ht="15.75" customHeight="1">
      <c r="A91" s="4"/>
      <c r="B91" s="4"/>
      <c r="C91" s="4"/>
      <c r="D91" s="4"/>
      <c r="E91" s="4"/>
      <c r="G91" s="4"/>
      <c r="H91" s="5"/>
      <c r="I91" s="156"/>
      <c r="J91" s="89">
        <f>IF(D51&gt;0.5,0.1325529 - 0.0393518 *D51 - 0.1221849 * D51 ^ 2 + 0.1883512 * D51 ^ 3- 0.1556538 * D51 ^ 4 + 0.0643443 * D51 ^ 5 - 0.0100579 * D51 ^ 6,IF(D51&lt;=0.5,0.098))</f>
        <v>7.5778325623728687E-2</v>
      </c>
      <c r="K91" s="178"/>
      <c r="L91" s="82"/>
      <c r="M91" s="156"/>
      <c r="N91" s="83">
        <f t="shared" ref="N91:N92" si="71">J91*$N$40</f>
        <v>627.52031449009723</v>
      </c>
      <c r="O91" s="178"/>
      <c r="P91" s="82"/>
      <c r="Q91" s="157"/>
      <c r="R91" s="83">
        <f t="shared" ref="R91:R92" si="72">N91/$B$29/$D$50^2</f>
        <v>12.395463002273527</v>
      </c>
      <c r="S91" s="179"/>
      <c r="T91" s="158"/>
      <c r="U91" s="157"/>
      <c r="V91" s="88">
        <f t="shared" ref="V91:V92" si="73">($B$17/$D$39)*(1-SQRT(1-2*R91/$B$17))</f>
        <v>5.3320137235855639E-3</v>
      </c>
      <c r="W91" s="179"/>
      <c r="X91" s="158"/>
      <c r="Y91" s="157"/>
      <c r="Z91" s="89">
        <f t="shared" ref="Z91:Z92" si="74">V91*100*$D$50</f>
        <v>3.9990102926891726</v>
      </c>
      <c r="AA91" s="179"/>
      <c r="AB91" s="180"/>
      <c r="AC91" s="157"/>
      <c r="AD91" s="89">
        <f t="shared" ref="AD91:AD92" si="75">IF(Z91&lt;=$D$59,$D$59,Z91)</f>
        <v>3.9990102926891726</v>
      </c>
      <c r="AE91" s="179"/>
      <c r="AF91" s="94"/>
      <c r="AG91" s="156"/>
      <c r="AH91" s="89">
        <f t="shared" ref="AH91:AH92" si="76">$D$37/AD91</f>
        <v>0.15908248936367025</v>
      </c>
      <c r="AI91" s="178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ht="15.75" customHeight="1">
      <c r="A92" s="4"/>
      <c r="B92" s="4"/>
      <c r="C92" s="4"/>
      <c r="D92" s="4"/>
      <c r="E92" s="4"/>
      <c r="G92" s="55" t="s">
        <v>78</v>
      </c>
      <c r="H92" s="94">
        <f>D43</f>
        <v>3.5</v>
      </c>
      <c r="I92" s="60"/>
      <c r="J92" s="96">
        <f>IF(D51&gt;0.5,0.1008733 - 0.036673 * D51 - 0.0700962 * D51 ^ 2 + 0.1080064 * D51 ^ 3- 0.0891976 * D51 ^ 4 + 0.0368338 * D51 ^ 5 - 0.0057466 * D51 ^ 6,IF(D51&lt;=0.5,0.074))</f>
        <v>5.733368247030244E-2</v>
      </c>
      <c r="K92" s="62"/>
      <c r="L92" s="98"/>
      <c r="M92" s="60"/>
      <c r="N92" s="99">
        <f t="shared" si="71"/>
        <v>474.78022453657451</v>
      </c>
      <c r="O92" s="62"/>
      <c r="P92" s="98"/>
      <c r="Q92" s="60"/>
      <c r="R92" s="99">
        <f t="shared" si="72"/>
        <v>9.3783748056607301</v>
      </c>
      <c r="S92" s="62"/>
      <c r="T92" s="98"/>
      <c r="U92" s="60"/>
      <c r="V92" s="100">
        <f t="shared" si="73"/>
        <v>4.0018614333286219E-3</v>
      </c>
      <c r="W92" s="62"/>
      <c r="X92" s="98"/>
      <c r="Y92" s="60"/>
      <c r="Z92" s="101">
        <f t="shared" si="74"/>
        <v>3.0013960749964665</v>
      </c>
      <c r="AA92" s="62"/>
      <c r="AB92" s="98"/>
      <c r="AC92" s="60"/>
      <c r="AD92" s="101">
        <f t="shared" si="75"/>
        <v>3.0013960749964665</v>
      </c>
      <c r="AE92" s="62"/>
      <c r="AF92" s="94"/>
      <c r="AG92" s="60"/>
      <c r="AH92" s="101">
        <f t="shared" si="76"/>
        <v>0.21195886729234231</v>
      </c>
      <c r="AI92" s="62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ht="15.75" customHeight="1">
      <c r="A93" s="4"/>
      <c r="B93" s="4"/>
      <c r="C93" s="4"/>
      <c r="D93" s="4"/>
      <c r="E93" s="4"/>
      <c r="G93" s="4"/>
      <c r="H93" s="4"/>
      <c r="I93" s="160">
        <v>2.9000000000000001E-2</v>
      </c>
      <c r="J93" s="142">
        <v>4.3999999999999997E-2</v>
      </c>
      <c r="K93" s="181">
        <v>2.9000000000000001E-2</v>
      </c>
      <c r="L93" s="108"/>
      <c r="M93" s="161">
        <f t="shared" ref="M93:O93" si="77">I93*$N$40</f>
        <v>240.149</v>
      </c>
      <c r="N93" s="99">
        <f t="shared" si="77"/>
        <v>364.36399999999998</v>
      </c>
      <c r="O93" s="182">
        <f t="shared" si="77"/>
        <v>240.149</v>
      </c>
      <c r="P93" s="108"/>
      <c r="Q93" s="161">
        <f t="shared" ref="Q93:S93" si="78">M93/$B$29/$D$50^2</f>
        <v>4.7436839506172843</v>
      </c>
      <c r="R93" s="99">
        <f t="shared" si="78"/>
        <v>7.197313580246913</v>
      </c>
      <c r="S93" s="182">
        <f t="shared" si="78"/>
        <v>4.7436839506172843</v>
      </c>
      <c r="T93" s="162"/>
      <c r="U93" s="163">
        <f t="shared" ref="U93:W93" si="79">($B$17/$D$39)*(1-SQRT(1-2*Q93/$B$17))</f>
        <v>2.0000659428096711E-3</v>
      </c>
      <c r="V93" s="100">
        <f t="shared" si="79"/>
        <v>3.0537353623373278E-3</v>
      </c>
      <c r="W93" s="183">
        <f t="shared" si="79"/>
        <v>2.0000659428096711E-3</v>
      </c>
      <c r="X93" s="162"/>
      <c r="Y93" s="164">
        <f t="shared" ref="Y93:AA93" si="80">U93*100*$D$50</f>
        <v>1.5000494571072533</v>
      </c>
      <c r="Z93" s="101">
        <f t="shared" si="80"/>
        <v>2.2903015217529958</v>
      </c>
      <c r="AA93" s="184">
        <f t="shared" si="80"/>
        <v>1.5000494571072533</v>
      </c>
      <c r="AB93" s="108"/>
      <c r="AC93" s="164">
        <f t="shared" ref="AC93:AE93" si="81">IF(Y93&lt;=$D$59,$D$59,Y93)</f>
        <v>2.5</v>
      </c>
      <c r="AD93" s="101">
        <f t="shared" si="81"/>
        <v>2.5</v>
      </c>
      <c r="AE93" s="184">
        <f t="shared" si="81"/>
        <v>2.5</v>
      </c>
      <c r="AF93" s="94"/>
      <c r="AG93" s="164">
        <f t="shared" ref="AG93:AI93" si="82">$D$37/AC93</f>
        <v>0.25446900494077329</v>
      </c>
      <c r="AH93" s="101">
        <f t="shared" si="82"/>
        <v>0.25446900494077329</v>
      </c>
      <c r="AI93" s="184">
        <f t="shared" si="82"/>
        <v>0.25446900494077329</v>
      </c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ht="15.75" customHeight="1">
      <c r="A94" s="4"/>
      <c r="B94" s="4"/>
      <c r="C94" s="4"/>
      <c r="D94" s="4"/>
      <c r="E94" s="4"/>
      <c r="G94" s="4"/>
      <c r="H94" s="4"/>
      <c r="I94" s="187"/>
      <c r="J94" s="169">
        <f>IF(D51&gt;0.5,0.0662835 - 0.0197277 * D51 - 0.0609405 * D51 ^ 2 + 0.0939494 * D51 ^ 3- 0.0776498 * D51 ^ 4 + 0.0321054 * D51 ^ 5 - 0.0050203 * D51 ^ 6,IF(D51&lt;=0.5,0.049))</f>
        <v>3.7889141280781871E-2</v>
      </c>
      <c r="K94" s="188"/>
      <c r="L94" s="108"/>
      <c r="M94" s="187"/>
      <c r="N94" s="171">
        <f>J94*$N$40</f>
        <v>313.75997894615466</v>
      </c>
      <c r="O94" s="188"/>
      <c r="P94" s="108"/>
      <c r="Q94" s="189"/>
      <c r="R94" s="171">
        <f>N94/$B$29/$D$50^2</f>
        <v>6.197727979183302</v>
      </c>
      <c r="S94" s="190"/>
      <c r="T94" s="162"/>
      <c r="U94" s="189"/>
      <c r="V94" s="174">
        <f>($B$17/$D$39)*(1-SQRT(1-2*R94/$B$17))</f>
        <v>2.6228534838625096E-3</v>
      </c>
      <c r="W94" s="190"/>
      <c r="X94" s="162"/>
      <c r="Y94" s="189"/>
      <c r="Z94" s="175">
        <f>V94*100*$D$50</f>
        <v>1.9671401128968822</v>
      </c>
      <c r="AA94" s="190"/>
      <c r="AB94" s="108"/>
      <c r="AC94" s="189"/>
      <c r="AD94" s="175">
        <f>IF(Z94&lt;=$D$59,$D$59,Z94)</f>
        <v>2.5</v>
      </c>
      <c r="AE94" s="190"/>
      <c r="AF94" s="94"/>
      <c r="AG94" s="187"/>
      <c r="AH94" s="175">
        <f>$D$37/AD94</f>
        <v>0.25446900494077329</v>
      </c>
      <c r="AI94" s="188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ht="15.75" customHeight="1">
      <c r="A95" s="4"/>
      <c r="B95" s="4"/>
      <c r="C95" s="4"/>
      <c r="D95" s="4"/>
      <c r="E95" s="4"/>
      <c r="G95" s="4"/>
      <c r="H95" s="5"/>
      <c r="I95" s="55" t="s">
        <v>80</v>
      </c>
      <c r="J95" s="94">
        <f>D44</f>
        <v>4.5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18"/>
      <c r="AF95" s="18"/>
      <c r="AG95" s="18"/>
      <c r="AH95" s="18"/>
      <c r="AI95" s="18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ht="15.75" customHeight="1">
      <c r="A96" s="4"/>
      <c r="B96" s="4"/>
      <c r="C96" s="4"/>
      <c r="D96" s="4"/>
      <c r="E96" s="4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ht="15.75" customHeight="1">
      <c r="A97" s="4"/>
      <c r="B97" s="4"/>
      <c r="C97" s="4"/>
      <c r="D97" s="4"/>
      <c r="E97" s="4"/>
      <c r="G97" s="4"/>
      <c r="H97" s="5"/>
      <c r="I97" s="48" t="s">
        <v>115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46"/>
      <c r="AC97" s="46"/>
      <c r="AD97" s="71" t="s">
        <v>69</v>
      </c>
      <c r="AE97" s="5"/>
      <c r="AF97" s="5"/>
      <c r="AG97" s="5"/>
      <c r="AH97" s="46"/>
      <c r="AI97" s="4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ht="15.75" customHeight="1">
      <c r="A98" s="4"/>
      <c r="B98" s="4"/>
      <c r="C98" s="4"/>
      <c r="D98" s="4"/>
      <c r="E98" s="4"/>
      <c r="G98" s="4"/>
      <c r="H98" s="5"/>
      <c r="I98" s="46"/>
      <c r="J98" s="73" t="s">
        <v>71</v>
      </c>
      <c r="K98" s="46"/>
      <c r="L98" s="46"/>
      <c r="M98" s="46"/>
      <c r="N98" s="74" t="s">
        <v>72</v>
      </c>
      <c r="O98" s="46"/>
      <c r="P98" s="46"/>
      <c r="Q98" s="75"/>
      <c r="R98" s="76" t="s">
        <v>73</v>
      </c>
      <c r="S98" s="78"/>
      <c r="T98" s="46"/>
      <c r="U98" s="78"/>
      <c r="V98" s="77" t="s">
        <v>74</v>
      </c>
      <c r="W98" s="78"/>
      <c r="X98" s="46"/>
      <c r="Y98" s="78"/>
      <c r="Z98" s="77" t="s">
        <v>75</v>
      </c>
      <c r="AA98" s="78"/>
      <c r="AB98" s="18"/>
      <c r="AC98" s="78"/>
      <c r="AD98" s="77" t="s">
        <v>76</v>
      </c>
      <c r="AE98" s="78"/>
      <c r="AF98" s="5"/>
      <c r="AG98" s="46"/>
      <c r="AH98" s="73" t="s">
        <v>77</v>
      </c>
      <c r="AI98" s="4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ht="15.75" customHeight="1">
      <c r="A99" s="4"/>
      <c r="B99" s="4"/>
      <c r="C99" s="4"/>
      <c r="D99" s="4"/>
      <c r="E99" s="4"/>
      <c r="G99" s="4"/>
      <c r="H99" s="5"/>
      <c r="I99" s="133"/>
      <c r="J99" s="134">
        <f>IF(D51&gt;0.5,0.0662835 - 0.0197277 * D51 - 0.0609405 * D51 ^ 2 + 0.0939494 * D51 ^ 3- 0.0776498 * D51 ^ 4 + 0.0321054 * D51 ^ 5 - 0.0050203 * D51 ^ 6,IF(D51&lt;=0.5,0.049))</f>
        <v>3.7889141280781871E-2</v>
      </c>
      <c r="K99" s="191"/>
      <c r="L99" s="82"/>
      <c r="M99" s="133"/>
      <c r="N99" s="136">
        <f t="shared" ref="N99:N100" si="83">J99*$N$40</f>
        <v>313.75997894615466</v>
      </c>
      <c r="O99" s="191"/>
      <c r="P99" s="84"/>
      <c r="Q99" s="137"/>
      <c r="R99" s="136">
        <f t="shared" ref="R99:R100" si="84">N99/$B$29/$D$50^2</f>
        <v>6.197727979183302</v>
      </c>
      <c r="S99" s="192"/>
      <c r="T99" s="87"/>
      <c r="U99" s="137"/>
      <c r="V99" s="139">
        <f t="shared" ref="V99:V100" si="85">($B$17/$D$39)*(1-SQRT(1-2*R99/$B$17))</f>
        <v>2.6228534838625096E-3</v>
      </c>
      <c r="W99" s="192"/>
      <c r="X99" s="87"/>
      <c r="Y99" s="137"/>
      <c r="Z99" s="134">
        <f t="shared" ref="Z99:Z100" si="86">V99*100*$D$50</f>
        <v>1.9671401128968822</v>
      </c>
      <c r="AA99" s="192"/>
      <c r="AB99" s="193"/>
      <c r="AC99" s="137"/>
      <c r="AD99" s="134">
        <f t="shared" ref="AD99:AD100" si="87">IF(Z99&lt;=$D$59,$D$59,Z99)</f>
        <v>2.5</v>
      </c>
      <c r="AE99" s="192"/>
      <c r="AF99" s="94"/>
      <c r="AG99" s="133"/>
      <c r="AH99" s="134">
        <f t="shared" ref="AH99:AH100" si="88">$D$37/AD99</f>
        <v>0.25446900494077329</v>
      </c>
      <c r="AI99" s="191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ht="15.75" customHeight="1">
      <c r="A100" s="4"/>
      <c r="B100" s="4"/>
      <c r="C100" s="4"/>
      <c r="D100" s="4"/>
      <c r="E100" s="4"/>
      <c r="G100" s="55" t="s">
        <v>78</v>
      </c>
      <c r="H100" s="94">
        <f>D43</f>
        <v>3.5</v>
      </c>
      <c r="I100" s="95"/>
      <c r="J100" s="96">
        <f>IF(D51&gt;0.5,0.1008733 - 0.036673 * D51 - 0.0700962 * D51 ^ 2 + 0.1080064 * D51 ^ 3- 0.0891976 * D51 ^ 4 + 0.0368338 * D51 ^ 5 - 0.0057466 * D51 ^ 6,IF(D51&lt;=0.5,0.074))</f>
        <v>5.733368247030244E-2</v>
      </c>
      <c r="K100" s="62"/>
      <c r="L100" s="98"/>
      <c r="M100" s="95"/>
      <c r="N100" s="99">
        <f t="shared" si="83"/>
        <v>474.78022453657451</v>
      </c>
      <c r="O100" s="62"/>
      <c r="P100" s="98"/>
      <c r="Q100" s="95"/>
      <c r="R100" s="99">
        <f t="shared" si="84"/>
        <v>9.3783748056607301</v>
      </c>
      <c r="S100" s="62"/>
      <c r="T100" s="98"/>
      <c r="U100" s="95"/>
      <c r="V100" s="100">
        <f t="shared" si="85"/>
        <v>4.0018614333286219E-3</v>
      </c>
      <c r="W100" s="62"/>
      <c r="X100" s="98"/>
      <c r="Y100" s="95"/>
      <c r="Z100" s="101">
        <f t="shared" si="86"/>
        <v>3.0013960749964665</v>
      </c>
      <c r="AA100" s="62"/>
      <c r="AB100" s="98"/>
      <c r="AC100" s="95"/>
      <c r="AD100" s="101">
        <f t="shared" si="87"/>
        <v>3.0013960749964665</v>
      </c>
      <c r="AE100" s="62"/>
      <c r="AF100" s="94"/>
      <c r="AG100" s="95"/>
      <c r="AH100" s="101">
        <f t="shared" si="88"/>
        <v>0.21195886729234231</v>
      </c>
      <c r="AI100" s="62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ht="15.75" customHeight="1">
      <c r="A101" s="4"/>
      <c r="B101" s="4"/>
      <c r="C101" s="4"/>
      <c r="D101" s="4"/>
      <c r="E101" s="4"/>
      <c r="G101" s="4"/>
      <c r="H101" s="4"/>
      <c r="I101" s="105">
        <v>5.8000000000000003E-2</v>
      </c>
      <c r="J101" s="142">
        <v>4.3999999999999997E-2</v>
      </c>
      <c r="K101" s="181">
        <v>2.9000000000000001E-2</v>
      </c>
      <c r="L101" s="108"/>
      <c r="M101" s="112">
        <f t="shared" ref="M101:O101" si="89">I101*$N$40</f>
        <v>480.298</v>
      </c>
      <c r="N101" s="99">
        <f t="shared" si="89"/>
        <v>364.36399999999998</v>
      </c>
      <c r="O101" s="182">
        <f t="shared" si="89"/>
        <v>240.149</v>
      </c>
      <c r="P101" s="111"/>
      <c r="Q101" s="112">
        <f t="shared" ref="Q101:S101" si="90">M101/$B$29/$D$50^2</f>
        <v>9.4873679012345686</v>
      </c>
      <c r="R101" s="99">
        <f t="shared" si="90"/>
        <v>7.197313580246913</v>
      </c>
      <c r="S101" s="182">
        <f t="shared" si="90"/>
        <v>4.7436839506172843</v>
      </c>
      <c r="T101" s="114"/>
      <c r="U101" s="115">
        <f t="shared" ref="U101:W101" si="91">($B$17/$D$39)*(1-SQRT(1-2*Q101/$B$17))</f>
        <v>4.049533003225453E-3</v>
      </c>
      <c r="V101" s="100">
        <f t="shared" si="91"/>
        <v>3.0537353623373278E-3</v>
      </c>
      <c r="W101" s="183">
        <f t="shared" si="91"/>
        <v>2.0000659428096711E-3</v>
      </c>
      <c r="X101" s="114"/>
      <c r="Y101" s="117">
        <f t="shared" ref="Y101:AA101" si="92">U101*100*$D$50</f>
        <v>3.0371497524190896</v>
      </c>
      <c r="Z101" s="101">
        <f t="shared" si="92"/>
        <v>2.2903015217529958</v>
      </c>
      <c r="AA101" s="184">
        <f t="shared" si="92"/>
        <v>1.5000494571072533</v>
      </c>
      <c r="AB101" s="111"/>
      <c r="AC101" s="117">
        <f t="shared" ref="AC101:AE101" si="93">IF(Y101&lt;=$D$59,$D$59,Y101)</f>
        <v>3.0371497524190896</v>
      </c>
      <c r="AD101" s="101">
        <f t="shared" si="93"/>
        <v>2.5</v>
      </c>
      <c r="AE101" s="184">
        <f t="shared" si="93"/>
        <v>2.5</v>
      </c>
      <c r="AF101" s="94"/>
      <c r="AG101" s="117">
        <f t="shared" ref="AG101:AI101" si="94">$D$37/AC101</f>
        <v>0.20946366304302969</v>
      </c>
      <c r="AH101" s="101">
        <f t="shared" si="94"/>
        <v>0.25446900494077329</v>
      </c>
      <c r="AI101" s="184">
        <f t="shared" si="94"/>
        <v>0.25446900494077329</v>
      </c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ht="15.75" customHeight="1">
      <c r="A102" s="4"/>
      <c r="B102" s="4"/>
      <c r="C102" s="4"/>
      <c r="D102" s="4"/>
      <c r="E102" s="4"/>
      <c r="G102" s="4"/>
      <c r="H102" s="4"/>
      <c r="I102" s="168"/>
      <c r="J102" s="169">
        <f>IF(D51&gt;0.5,0.0662835 - 0.0197277 * D51 - 0.0609405 * D51 ^ 2 + 0.0939494 * D51 ^ 3- 0.0776498 * D51 ^ 4 + 0.0321054 * D51 ^ 5 - 0.0050203 * D51 ^ 6,IF(D51&lt;=0.5,0.049))</f>
        <v>3.7889141280781871E-2</v>
      </c>
      <c r="K102" s="188"/>
      <c r="L102" s="108"/>
      <c r="M102" s="168"/>
      <c r="N102" s="171">
        <f>J102*$N$40</f>
        <v>313.75997894615466</v>
      </c>
      <c r="O102" s="188"/>
      <c r="P102" s="111"/>
      <c r="Q102" s="172"/>
      <c r="R102" s="171">
        <f>N102/$B$29/$D$50^2</f>
        <v>6.197727979183302</v>
      </c>
      <c r="S102" s="190"/>
      <c r="T102" s="114"/>
      <c r="U102" s="172"/>
      <c r="V102" s="174">
        <f>($B$17/$D$39)*(1-SQRT(1-2*R102/$B$17))</f>
        <v>2.6228534838625096E-3</v>
      </c>
      <c r="W102" s="190"/>
      <c r="X102" s="114"/>
      <c r="Y102" s="172"/>
      <c r="Z102" s="175">
        <f>V102*100*$D$50</f>
        <v>1.9671401128968822</v>
      </c>
      <c r="AA102" s="190"/>
      <c r="AB102" s="111"/>
      <c r="AC102" s="172"/>
      <c r="AD102" s="175">
        <f>IF(Z102&lt;=$D$59,$D$59,Z102)</f>
        <v>2.5</v>
      </c>
      <c r="AE102" s="190"/>
      <c r="AF102" s="94"/>
      <c r="AG102" s="168"/>
      <c r="AH102" s="175">
        <f>$D$37/AD102</f>
        <v>0.25446900494077329</v>
      </c>
      <c r="AI102" s="188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ht="15.75" customHeight="1">
      <c r="A103" s="4"/>
      <c r="B103" s="4"/>
      <c r="C103" s="4"/>
      <c r="D103" s="4"/>
      <c r="E103" s="4"/>
      <c r="G103" s="4"/>
      <c r="H103" s="5"/>
      <c r="I103" s="55" t="s">
        <v>80</v>
      </c>
      <c r="J103" s="94">
        <f>D44</f>
        <v>4.5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18"/>
      <c r="AF103" s="18"/>
      <c r="AG103" s="18"/>
      <c r="AH103" s="18"/>
      <c r="AI103" s="18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ht="15.75" customHeight="1">
      <c r="A104" s="4"/>
      <c r="B104" s="4"/>
      <c r="C104" s="4"/>
      <c r="D104" s="4"/>
      <c r="E104" s="4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ht="15.75" customHeight="1">
      <c r="A105" s="4"/>
      <c r="B105" s="4"/>
      <c r="C105" s="4"/>
      <c r="D105" s="4"/>
      <c r="E105" s="4"/>
      <c r="G105" s="4"/>
      <c r="H105" s="5"/>
      <c r="I105" s="48" t="s">
        <v>116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46"/>
      <c r="AC105" s="46"/>
      <c r="AD105" s="71" t="s">
        <v>69</v>
      </c>
      <c r="AE105" s="5"/>
      <c r="AF105" s="5"/>
      <c r="AG105" s="5"/>
      <c r="AH105" s="46"/>
      <c r="AI105" s="4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ht="15.75" customHeight="1">
      <c r="A106" s="4"/>
      <c r="B106" s="4"/>
      <c r="C106" s="4"/>
      <c r="D106" s="4"/>
      <c r="E106" s="4"/>
      <c r="G106" s="4"/>
      <c r="H106" s="5"/>
      <c r="I106" s="46"/>
      <c r="J106" s="73" t="s">
        <v>71</v>
      </c>
      <c r="K106" s="46"/>
      <c r="L106" s="46"/>
      <c r="M106" s="46"/>
      <c r="N106" s="74" t="s">
        <v>72</v>
      </c>
      <c r="O106" s="46"/>
      <c r="P106" s="46"/>
      <c r="Q106" s="75"/>
      <c r="R106" s="76" t="s">
        <v>73</v>
      </c>
      <c r="S106" s="78"/>
      <c r="T106" s="46"/>
      <c r="U106" s="78"/>
      <c r="V106" s="77" t="s">
        <v>74</v>
      </c>
      <c r="W106" s="78"/>
      <c r="X106" s="46"/>
      <c r="Y106" s="78"/>
      <c r="Z106" s="77" t="s">
        <v>75</v>
      </c>
      <c r="AA106" s="78"/>
      <c r="AB106" s="18"/>
      <c r="AC106" s="78"/>
      <c r="AD106" s="77" t="s">
        <v>76</v>
      </c>
      <c r="AE106" s="78"/>
      <c r="AF106" s="5"/>
      <c r="AG106" s="46"/>
      <c r="AH106" s="73" t="s">
        <v>77</v>
      </c>
      <c r="AI106" s="46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ht="15.75" customHeight="1">
      <c r="A107" s="4"/>
      <c r="B107" s="4"/>
      <c r="C107" s="4"/>
      <c r="D107" s="4"/>
      <c r="E107" s="4"/>
      <c r="G107" s="4"/>
      <c r="H107" s="5"/>
      <c r="I107" s="176"/>
      <c r="J107" s="134">
        <f>IF(D51&lt;=0.5,0.055,IF(D51&gt;0.8,0.0082752 + 0.2011583 * D51 - 0.2802179 * D51 ^ 2 + 0.1037844 * D51 ^ 3,IF(D51&lt;=0.8,0.0110789 - 0.1010717 * D51 + 1.2283207 * D51 ^ 2 - 2.344077 * D51 ^ 3+ 1.2861834 * D51 ^ 4)))</f>
        <v>4.3299082533150457E-2</v>
      </c>
      <c r="K107" s="191"/>
      <c r="L107" s="82"/>
      <c r="M107" s="176"/>
      <c r="N107" s="136">
        <f t="shared" ref="N107:N108" si="95">J107*$N$40</f>
        <v>358.55970245701894</v>
      </c>
      <c r="O107" s="191"/>
      <c r="P107" s="82"/>
      <c r="Q107" s="177"/>
      <c r="R107" s="136">
        <f t="shared" ref="R107:R108" si="96">N107/$B$29/$D$50^2</f>
        <v>7.0826607892744482</v>
      </c>
      <c r="S107" s="192"/>
      <c r="T107" s="158"/>
      <c r="U107" s="177"/>
      <c r="V107" s="139">
        <f t="shared" ref="V107:V108" si="97">($B$17/$D$39)*(1-SQRT(1-2*R107/$B$17))</f>
        <v>3.0041981109618482E-3</v>
      </c>
      <c r="W107" s="192"/>
      <c r="X107" s="158"/>
      <c r="Y107" s="177"/>
      <c r="Z107" s="134">
        <f t="shared" ref="Z107:Z108" si="98">V107*100*$D$50</f>
        <v>2.2531485832213862</v>
      </c>
      <c r="AA107" s="192"/>
      <c r="AB107" s="180"/>
      <c r="AC107" s="177"/>
      <c r="AD107" s="134">
        <f t="shared" ref="AD107:AD108" si="99">IF(Z107&lt;=$D$59,$D$59,Z107)</f>
        <v>2.5</v>
      </c>
      <c r="AE107" s="192"/>
      <c r="AF107" s="94"/>
      <c r="AG107" s="176"/>
      <c r="AH107" s="134">
        <f t="shared" ref="AH107:AH108" si="100">$D$37/AD107</f>
        <v>0.25446900494077329</v>
      </c>
      <c r="AI107" s="191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ht="15.75" customHeight="1">
      <c r="A108" s="4"/>
      <c r="B108" s="4"/>
      <c r="C108" s="4"/>
      <c r="D108" s="4"/>
      <c r="E108" s="4"/>
      <c r="G108" s="55" t="s">
        <v>78</v>
      </c>
      <c r="H108" s="94">
        <f>D43</f>
        <v>3.5</v>
      </c>
      <c r="I108" s="60"/>
      <c r="J108" s="96">
        <f>IF(D51&lt;=0.5,0.083,IF(D51&gt;0.8,0.020688 + 0.2637986 * D51 - 0.3724199 * D51 ^ 2 + 0.1379333 * D51 ^ 3,IF(D51&lt;=0.8,0.0415277 - 0.0913129 * D51 + 1.1413963 * D51 ^ 2 - 2.1617383 * D51 ^ 3+ 1.1519506 * D51 ^ 4)))</f>
        <v>6.5423362932479578E-2</v>
      </c>
      <c r="K108" s="62"/>
      <c r="L108" s="98"/>
      <c r="M108" s="60"/>
      <c r="N108" s="99">
        <f t="shared" si="95"/>
        <v>541.77086844386338</v>
      </c>
      <c r="O108" s="62"/>
      <c r="P108" s="98"/>
      <c r="Q108" s="60"/>
      <c r="R108" s="99">
        <f t="shared" si="96"/>
        <v>10.701646784076313</v>
      </c>
      <c r="S108" s="62"/>
      <c r="T108" s="98"/>
      <c r="U108" s="60"/>
      <c r="V108" s="100">
        <f t="shared" si="97"/>
        <v>4.5825473785203246E-3</v>
      </c>
      <c r="W108" s="62"/>
      <c r="X108" s="98"/>
      <c r="Y108" s="60"/>
      <c r="Z108" s="101">
        <f t="shared" si="98"/>
        <v>3.4369105338902437</v>
      </c>
      <c r="AA108" s="62"/>
      <c r="AB108" s="98"/>
      <c r="AC108" s="60"/>
      <c r="AD108" s="101">
        <f t="shared" si="99"/>
        <v>3.4369105338902437</v>
      </c>
      <c r="AE108" s="62"/>
      <c r="AF108" s="94"/>
      <c r="AG108" s="60"/>
      <c r="AH108" s="101">
        <f t="shared" si="100"/>
        <v>0.18510010839061575</v>
      </c>
      <c r="AI108" s="62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15.75" customHeight="1">
      <c r="A109" s="4"/>
      <c r="B109" s="4"/>
      <c r="C109" s="4"/>
      <c r="D109" s="4"/>
      <c r="E109" s="4"/>
      <c r="F109" s="4"/>
      <c r="G109" s="4"/>
      <c r="H109" s="4"/>
      <c r="I109" s="160">
        <v>3.3000000000000002E-2</v>
      </c>
      <c r="J109" s="142">
        <v>0.05</v>
      </c>
      <c r="K109" s="181">
        <v>3.3000000000000002E-2</v>
      </c>
      <c r="L109" s="108"/>
      <c r="M109" s="161">
        <f t="shared" ref="M109:O109" si="101">I109*$N$40</f>
        <v>273.27300000000002</v>
      </c>
      <c r="N109" s="99">
        <f t="shared" si="101"/>
        <v>414.05</v>
      </c>
      <c r="O109" s="182">
        <f t="shared" si="101"/>
        <v>273.27300000000002</v>
      </c>
      <c r="P109" s="108"/>
      <c r="Q109" s="161">
        <f t="shared" ref="Q109:S109" si="102">M109/$B$29/$D$50^2</f>
        <v>5.3979851851851857</v>
      </c>
      <c r="R109" s="99">
        <f t="shared" si="102"/>
        <v>8.1787654320987659</v>
      </c>
      <c r="S109" s="182">
        <f t="shared" si="102"/>
        <v>5.3979851851851857</v>
      </c>
      <c r="T109" s="162"/>
      <c r="U109" s="163">
        <f t="shared" ref="U109:W109" si="103">($B$17/$D$39)*(1-SQRT(1-2*Q109/$B$17))</f>
        <v>2.2797321326303772E-3</v>
      </c>
      <c r="V109" s="100">
        <f t="shared" si="103"/>
        <v>3.479016309339074E-3</v>
      </c>
      <c r="W109" s="183">
        <f t="shared" si="103"/>
        <v>2.2797321326303772E-3</v>
      </c>
      <c r="X109" s="162"/>
      <c r="Y109" s="164">
        <f t="shared" ref="Y109:AA109" si="104">U109*100*$D$50</f>
        <v>1.7097990994727827</v>
      </c>
      <c r="Z109" s="101">
        <f t="shared" si="104"/>
        <v>2.6092622320043057</v>
      </c>
      <c r="AA109" s="184">
        <f t="shared" si="104"/>
        <v>1.7097990994727827</v>
      </c>
      <c r="AB109" s="108"/>
      <c r="AC109" s="164">
        <f t="shared" ref="AC109:AE109" si="105">IF(Y109&lt;=$D$59,$D$59,Y109)</f>
        <v>2.5</v>
      </c>
      <c r="AD109" s="101">
        <f t="shared" si="105"/>
        <v>2.6092622320043057</v>
      </c>
      <c r="AE109" s="184">
        <f t="shared" si="105"/>
        <v>2.5</v>
      </c>
      <c r="AF109" s="94"/>
      <c r="AG109" s="164">
        <f t="shared" ref="AG109:AI109" si="106">$D$37/AC109</f>
        <v>0.25446900494077329</v>
      </c>
      <c r="AH109" s="101">
        <f t="shared" si="106"/>
        <v>0.24381317621083146</v>
      </c>
      <c r="AI109" s="184">
        <f t="shared" si="106"/>
        <v>0.25446900494077329</v>
      </c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ht="15.75" customHeight="1">
      <c r="A110" s="4"/>
      <c r="B110" s="4"/>
      <c r="C110" s="4"/>
      <c r="D110" s="4"/>
      <c r="E110" s="4"/>
      <c r="F110" s="4"/>
      <c r="G110" s="4"/>
      <c r="H110" s="4"/>
      <c r="I110" s="187"/>
      <c r="J110" s="169">
        <f>IF(D51&lt;=0.5,0.055,IF(D51&gt;0.8,0.0082752 + 0.2011583 * D51 - 0.2802179 * D51 ^ 2 + 0.1037844 * D51 ^ 3,IF(D51&lt;=0.8,0.0110789 - 0.1010717 * D51 + 1.2283207 * D51 ^ 2 - 2.344077 * D51 ^ 3+ 1.2861834 * D51 ^ 4)))</f>
        <v>4.3299082533150457E-2</v>
      </c>
      <c r="K110" s="188"/>
      <c r="L110" s="108"/>
      <c r="M110" s="187"/>
      <c r="N110" s="171">
        <f>J110*$N$40</f>
        <v>358.55970245701894</v>
      </c>
      <c r="O110" s="188"/>
      <c r="P110" s="108"/>
      <c r="Q110" s="189"/>
      <c r="R110" s="171">
        <f>N110/$B$29/$D$50^2</f>
        <v>7.0826607892744482</v>
      </c>
      <c r="S110" s="190"/>
      <c r="T110" s="162"/>
      <c r="U110" s="189"/>
      <c r="V110" s="174">
        <f>($B$17/$D$39)*(1-SQRT(1-2*R110/$B$17))</f>
        <v>3.0041981109618482E-3</v>
      </c>
      <c r="W110" s="190"/>
      <c r="X110" s="162"/>
      <c r="Y110" s="189"/>
      <c r="Z110" s="175">
        <f>V110*100*$D$50</f>
        <v>2.2531485832213862</v>
      </c>
      <c r="AA110" s="190"/>
      <c r="AB110" s="108"/>
      <c r="AC110" s="189"/>
      <c r="AD110" s="175">
        <f>IF(Z110&lt;=$D$59,$D$59,Z110)</f>
        <v>2.5</v>
      </c>
      <c r="AE110" s="190"/>
      <c r="AF110" s="94"/>
      <c r="AG110" s="187"/>
      <c r="AH110" s="175">
        <f>$D$37/AD110</f>
        <v>0.25446900494077329</v>
      </c>
      <c r="AI110" s="188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ht="15.75" customHeight="1">
      <c r="A111" s="4"/>
      <c r="B111" s="4"/>
      <c r="C111" s="4"/>
      <c r="D111" s="4"/>
      <c r="E111" s="4"/>
      <c r="F111" s="4"/>
      <c r="G111" s="5"/>
      <c r="H111" s="5"/>
      <c r="I111" s="55" t="s">
        <v>80</v>
      </c>
      <c r="J111" s="94">
        <f>D44</f>
        <v>4.5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18"/>
      <c r="AF111" s="18"/>
      <c r="AG111" s="18"/>
      <c r="AH111" s="18"/>
      <c r="AI111" s="18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ht="15.75" customHeight="1">
      <c r="A112" s="4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ht="15.75" customHeight="1">
      <c r="A113" s="17" t="s">
        <v>117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ht="15.75" customHeight="1">
      <c r="A114" s="23" t="s">
        <v>118</v>
      </c>
      <c r="B114" s="4"/>
      <c r="C114" s="3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ht="15.75" customHeight="1">
      <c r="A115" s="23" t="s">
        <v>60</v>
      </c>
      <c r="B115" s="4"/>
      <c r="C115" s="194">
        <f>F14</f>
        <v>3000</v>
      </c>
      <c r="D115" s="23" t="s">
        <v>13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ht="15.75" customHeight="1">
      <c r="A116" s="5" t="s">
        <v>119</v>
      </c>
      <c r="B116" s="4"/>
      <c r="C116" s="195">
        <v>0.25</v>
      </c>
      <c r="D116" s="5" t="s">
        <v>79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ht="15.75" customHeight="1">
      <c r="A117" s="5" t="s">
        <v>120</v>
      </c>
      <c r="B117" s="4"/>
      <c r="C117" s="195">
        <v>0.6</v>
      </c>
      <c r="D117" s="5" t="s">
        <v>79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ht="15.75" customHeight="1">
      <c r="A118" s="23" t="s">
        <v>121</v>
      </c>
      <c r="B118" s="4"/>
      <c r="C118" s="196">
        <v>0.05</v>
      </c>
      <c r="D118" s="5" t="s">
        <v>79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ht="15.75" customHeight="1">
      <c r="A119" s="23" t="s">
        <v>122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ht="15.75" customHeight="1">
      <c r="A120" s="31" t="s">
        <v>101</v>
      </c>
      <c r="B120" s="4"/>
      <c r="C120" s="197">
        <v>5.3280000000000003</v>
      </c>
      <c r="D120" s="23" t="s">
        <v>123</v>
      </c>
      <c r="E120" s="198" t="str">
        <f>IF(C120&lt;=G120,"&lt;","&gt;")</f>
        <v>&lt;</v>
      </c>
      <c r="F120" s="31" t="s">
        <v>124</v>
      </c>
      <c r="G120" s="199">
        <f>B29*B127</f>
        <v>37.204079150390605</v>
      </c>
      <c r="H120" s="23" t="s">
        <v>123</v>
      </c>
      <c r="I120" s="4" t="str">
        <f>IF(C120&lt;=G120,"Singly RC","Doubly RC")</f>
        <v>Singly RC</v>
      </c>
      <c r="J120" s="4"/>
      <c r="K120" s="4"/>
      <c r="L120" s="23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ht="15.75" customHeight="1">
      <c r="A121" s="31" t="s">
        <v>125</v>
      </c>
      <c r="B121" s="4"/>
      <c r="C121" s="200">
        <v>4</v>
      </c>
      <c r="D121" s="23" t="s">
        <v>126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ht="15.75" customHeight="1">
      <c r="A122" s="31"/>
      <c r="B122" s="23"/>
      <c r="C122" s="2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ht="15.75" customHeight="1">
      <c r="A123" s="31" t="s">
        <v>127</v>
      </c>
      <c r="B123" s="23">
        <f>(h-C118)*100</f>
        <v>54.999999999999993</v>
      </c>
      <c r="C123" s="23" t="s">
        <v>63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ht="15.75" customHeight="1">
      <c r="A124" s="31" t="s">
        <v>128</v>
      </c>
      <c r="B124" s="4">
        <f>C118*100</f>
        <v>5</v>
      </c>
      <c r="C124" s="23" t="s">
        <v>63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ht="15.75" customHeight="1">
      <c r="A125" s="31" t="s">
        <v>129</v>
      </c>
      <c r="B125" s="4">
        <f>B123-B124</f>
        <v>49.999999999999993</v>
      </c>
      <c r="C125" s="23" t="s">
        <v>63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ht="15.75" customHeight="1">
      <c r="A126" s="31"/>
      <c r="B126" s="201"/>
      <c r="C126" s="23"/>
      <c r="D126" s="4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ht="15.75" customHeight="1">
      <c r="A127" s="31" t="s">
        <v>130</v>
      </c>
      <c r="B127" s="201">
        <f>Rnt*C116*B123^2/1000</f>
        <v>41.337865722656225</v>
      </c>
      <c r="C127" s="23" t="s">
        <v>123</v>
      </c>
      <c r="D127" s="202" t="s">
        <v>131</v>
      </c>
      <c r="E127" s="6"/>
      <c r="F127" s="4"/>
      <c r="G127" s="34" t="s">
        <v>24</v>
      </c>
      <c r="H127" s="58">
        <f>F22*C116*B123*C115*(B123-(N127/2))/1000</f>
        <v>41.337865722656232</v>
      </c>
      <c r="I127" s="23" t="s">
        <v>123</v>
      </c>
      <c r="J127" s="6" t="s">
        <v>132</v>
      </c>
      <c r="K127" s="4"/>
      <c r="L127" s="4"/>
      <c r="M127" s="23"/>
      <c r="N127" s="4">
        <f>F22*B123*C115/B17</f>
        <v>17.531249999999996</v>
      </c>
      <c r="O127" s="23" t="s">
        <v>63</v>
      </c>
      <c r="Q127" s="31"/>
      <c r="R127" s="58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ht="15.75" customHeight="1">
      <c r="A128" s="31" t="s">
        <v>133</v>
      </c>
      <c r="B128" s="203">
        <f>C120/pM</f>
        <v>5.92</v>
      </c>
      <c r="C128" s="23" t="s">
        <v>123</v>
      </c>
      <c r="D128" s="7"/>
      <c r="E128" s="4"/>
      <c r="F128" s="4"/>
      <c r="G128" s="2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ht="15.75" customHeight="1">
      <c r="A129" s="31" t="s">
        <v>134</v>
      </c>
      <c r="B129" s="204" t="str">
        <f>IF(B128&lt;=B127,"-",B128-B127)</f>
        <v>-</v>
      </c>
      <c r="C129" s="23" t="s">
        <v>123</v>
      </c>
      <c r="D129" s="6" t="s">
        <v>135</v>
      </c>
      <c r="E129" s="4"/>
      <c r="F129" s="4"/>
      <c r="G129" s="34" t="s">
        <v>136</v>
      </c>
      <c r="H129" s="203" t="str">
        <f>IF(B128&lt;=B127,"-",(C120-G120)/B29)</f>
        <v>-</v>
      </c>
      <c r="I129" s="23" t="s">
        <v>123</v>
      </c>
      <c r="J129" s="6" t="s">
        <v>137</v>
      </c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ht="15.75" customHeight="1">
      <c r="A130" s="31" t="s">
        <v>102</v>
      </c>
      <c r="B130" s="205">
        <f>IF(B128&lt;=B127,B128*1000/b/B123^2,"-")</f>
        <v>7.8280991735537215</v>
      </c>
      <c r="C130" s="23" t="s">
        <v>13</v>
      </c>
      <c r="D130" s="6" t="s">
        <v>138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ht="15.75" customHeight="1">
      <c r="A131" s="31" t="s">
        <v>104</v>
      </c>
      <c r="B131" s="206">
        <f>IF(B128&lt;=B127,(B17/C115)*(1-SQRT(1-(2*B130/B17))),"-")</f>
        <v>2.6614495814385433E-3</v>
      </c>
      <c r="C131" s="4"/>
      <c r="D131" s="6" t="s">
        <v>139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ht="15.75" customHeight="1">
      <c r="A132" s="31" t="s">
        <v>140</v>
      </c>
      <c r="B132" s="206">
        <f>IF(B131&gt;F23,B131,F23)</f>
        <v>4.6666666666666671E-3</v>
      </c>
      <c r="C132" s="59"/>
      <c r="D132" s="6" t="s">
        <v>141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ht="15.75" customHeight="1">
      <c r="A133" s="31" t="s">
        <v>142</v>
      </c>
      <c r="B133" s="203" t="str">
        <f>IF(B128&lt;=B127,"-",F22*C116*100*B123)</f>
        <v>-</v>
      </c>
      <c r="C133" s="59" t="s">
        <v>53</v>
      </c>
      <c r="D133" s="6" t="s">
        <v>143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ht="15.75" customHeight="1">
      <c r="A134" s="31" t="s">
        <v>144</v>
      </c>
      <c r="B134" s="203" t="str">
        <f>IF(B128&lt;=B127,"-",B129*1000*100/C115/B125)</f>
        <v>-</v>
      </c>
      <c r="C134" s="59" t="s">
        <v>53</v>
      </c>
      <c r="D134" s="6" t="s">
        <v>145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ht="15.75" customHeight="1">
      <c r="A135" s="31" t="s">
        <v>146</v>
      </c>
      <c r="B135" s="207" t="str">
        <f>IF(B128&lt;=B127,"-", 6000*(1-(C118*100/0.375/B123)))</f>
        <v>-</v>
      </c>
      <c r="C135" s="23" t="s">
        <v>13</v>
      </c>
      <c r="D135" s="6" t="s">
        <v>147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ht="15.75" customHeight="1">
      <c r="A136" s="31" t="s">
        <v>148</v>
      </c>
      <c r="B136" s="204" t="str">
        <f>IF(B128&lt;=B127,"-",IF(B135&lt;C115,B135,C115))</f>
        <v>-</v>
      </c>
      <c r="C136" s="23" t="s">
        <v>13</v>
      </c>
      <c r="D136" s="6" t="s">
        <v>149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ht="15.75" customHeight="1">
      <c r="A137" s="31" t="s">
        <v>150</v>
      </c>
      <c r="B137" s="208">
        <f>IF(B128&lt;=B127,B132*b*100*B123,B133+B134)</f>
        <v>6.416666666666667</v>
      </c>
      <c r="C137" s="59" t="s">
        <v>53</v>
      </c>
      <c r="D137" s="23" t="s">
        <v>151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ht="15.75" customHeight="1">
      <c r="A138" s="31" t="s">
        <v>152</v>
      </c>
      <c r="B138" s="208" t="str">
        <f>IF(B128&lt;=B127,"-",B134*C115/B136)</f>
        <v>-</v>
      </c>
      <c r="C138" s="59" t="s">
        <v>53</v>
      </c>
      <c r="D138" s="6" t="s">
        <v>153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ht="15.75" customHeight="1">
      <c r="A139" s="5"/>
      <c r="B139" s="209"/>
      <c r="C139" s="210"/>
      <c r="D139" s="211"/>
      <c r="E139" s="21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ht="15.75" customHeight="1">
      <c r="A140" s="23" t="s">
        <v>154</v>
      </c>
      <c r="B140" s="4"/>
      <c r="C140" s="4"/>
      <c r="D140" s="4"/>
      <c r="E140" s="212">
        <v>6</v>
      </c>
      <c r="F140" s="5" t="s">
        <v>48</v>
      </c>
      <c r="G140" s="94"/>
      <c r="H140" s="213">
        <v>1</v>
      </c>
      <c r="I140" s="5" t="s">
        <v>155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ht="15.75" customHeight="1">
      <c r="A141" s="5" t="s">
        <v>156</v>
      </c>
      <c r="B141" s="4"/>
      <c r="C141" s="4"/>
      <c r="D141" s="4"/>
      <c r="E141" s="58">
        <f>2*PI()*(E140/10)^2/4</f>
        <v>0.56548667764616278</v>
      </c>
      <c r="F141" s="210" t="s">
        <v>53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ht="15.75" customHeight="1">
      <c r="A142" s="214" t="s">
        <v>157</v>
      </c>
      <c r="B142" s="58">
        <f>E141*H140</f>
        <v>0.56548667764616278</v>
      </c>
      <c r="C142" s="210" t="s">
        <v>53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ht="15.75" customHeight="1">
      <c r="A143" s="23" t="s">
        <v>158</v>
      </c>
      <c r="B143" s="215">
        <f>B14</f>
        <v>2400</v>
      </c>
      <c r="C143" s="23" t="s">
        <v>13</v>
      </c>
      <c r="D143" s="6"/>
      <c r="E143" s="6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ht="15.75" customHeight="1">
      <c r="A144" s="23" t="s">
        <v>159</v>
      </c>
      <c r="B144" s="58">
        <f>0.53*SQRT(fcu)*b*100*B123/1000</f>
        <v>11.289746454194619</v>
      </c>
      <c r="C144" s="23" t="s">
        <v>126</v>
      </c>
      <c r="D144" s="6" t="s">
        <v>160</v>
      </c>
      <c r="E144" s="6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ht="15.75" customHeight="1">
      <c r="A145" s="23" t="s">
        <v>161</v>
      </c>
      <c r="B145" s="203">
        <f>C121/pV</f>
        <v>4.7058823529411766</v>
      </c>
      <c r="C145" s="23" t="s">
        <v>126</v>
      </c>
      <c r="D145" s="4"/>
      <c r="E145" s="6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ht="15.75" customHeight="1">
      <c r="A146" s="23" t="s">
        <v>162</v>
      </c>
      <c r="B146" s="203">
        <f>IF(B145&lt;=B144,0,B145-B144)</f>
        <v>0</v>
      </c>
      <c r="C146" s="23" t="s">
        <v>126</v>
      </c>
      <c r="D146" s="23" t="s">
        <v>163</v>
      </c>
      <c r="E146" s="6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ht="18.75">
      <c r="A147" s="23" t="s">
        <v>164</v>
      </c>
      <c r="B147" s="203" t="str">
        <f>IF(B146=0,"-",1.1*SQRT(fcu)*b*100*B123/1000)</f>
        <v>-</v>
      </c>
      <c r="C147" s="23" t="s">
        <v>126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ht="18.75">
      <c r="A148" s="23" t="s">
        <v>165</v>
      </c>
      <c r="B148" s="201" t="str">
        <f>IF(B146=0,"-", 2.2*SQRT(fcu)*b*100*B123/1000)</f>
        <v>-</v>
      </c>
      <c r="C148" s="23" t="s">
        <v>126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ht="15.75" customHeight="1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ht="15.75" customHeight="1">
      <c r="A150" s="5" t="s">
        <v>166</v>
      </c>
      <c r="B150" s="4"/>
      <c r="C150" s="4"/>
      <c r="D150" s="216" t="s">
        <v>167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ht="18.75">
      <c r="A151" s="23" t="s">
        <v>168</v>
      </c>
      <c r="B151" s="217">
        <f>B142*B143/3.5/b/100/100</f>
        <v>0.15510491729723322</v>
      </c>
      <c r="C151" s="23" t="s">
        <v>79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ht="15.75" customHeight="1">
      <c r="A152" s="23" t="s">
        <v>169</v>
      </c>
      <c r="B152" s="218" t="str">
        <f>IF(B146&gt;0,B142*B143*B123/B146/1000/100,"-")</f>
        <v>-</v>
      </c>
      <c r="C152" s="5" t="s">
        <v>79</v>
      </c>
      <c r="D152" s="4"/>
      <c r="E152" s="6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ht="15.75" customHeight="1">
      <c r="A153" s="4" t="str">
        <f>IF(B146&lt;B147,"d/2","d/4")</f>
        <v>d/2</v>
      </c>
      <c r="B153" s="218">
        <f>IF(B146&lt;B147,B123/200,B123/400)</f>
        <v>0.27499999999999997</v>
      </c>
      <c r="C153" s="5" t="s">
        <v>79</v>
      </c>
      <c r="D153" s="6" t="s">
        <v>170</v>
      </c>
      <c r="E153" s="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ht="15.75" customHeight="1">
      <c r="A154" s="23" t="s">
        <v>171</v>
      </c>
      <c r="B154" s="219">
        <f>IF(B146&lt;B147,0.6,0.3)</f>
        <v>0.6</v>
      </c>
      <c r="C154" s="5" t="s">
        <v>79</v>
      </c>
      <c r="D154" s="45" t="s">
        <v>172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ht="15.75" customHeight="1">
      <c r="A155" s="1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ht="15.75" customHeight="1">
      <c r="A156" s="1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ht="15.75" customHeight="1">
      <c r="A157" s="1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ht="15.75" customHeight="1">
      <c r="A158" s="19" t="s">
        <v>173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ht="15.75" customHeight="1">
      <c r="A159" s="23" t="s">
        <v>174</v>
      </c>
      <c r="B159" s="4"/>
      <c r="C159" s="4"/>
      <c r="D159" s="32">
        <f>B17</f>
        <v>204</v>
      </c>
      <c r="E159" s="5" t="s">
        <v>13</v>
      </c>
      <c r="F159" s="4"/>
      <c r="G159" s="4"/>
      <c r="H159" s="4"/>
      <c r="I159" s="19" t="s">
        <v>175</v>
      </c>
      <c r="J159" s="220" t="s">
        <v>176</v>
      </c>
      <c r="K159" s="19" t="s">
        <v>177</v>
      </c>
      <c r="L159" s="19" t="s">
        <v>178</v>
      </c>
      <c r="M159" s="220" t="s">
        <v>179</v>
      </c>
      <c r="N159" s="220" t="s">
        <v>107</v>
      </c>
      <c r="O159" s="220" t="s">
        <v>180</v>
      </c>
      <c r="P159" s="17"/>
      <c r="Q159" s="19" t="s">
        <v>181</v>
      </c>
      <c r="R159" s="4"/>
      <c r="S159" s="4"/>
      <c r="T159" s="4"/>
      <c r="U159" s="4"/>
      <c r="V159" s="4"/>
      <c r="W159" s="4"/>
      <c r="X159" s="4"/>
      <c r="Y159" s="4"/>
      <c r="Z159" s="4"/>
      <c r="AA159" s="321"/>
      <c r="AB159" s="315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ht="15.75" customHeight="1">
      <c r="A160" s="23" t="s">
        <v>16</v>
      </c>
      <c r="B160" s="4"/>
      <c r="C160" s="4"/>
      <c r="D160" s="222">
        <f>F14</f>
        <v>3000</v>
      </c>
      <c r="E160" s="23" t="s">
        <v>13</v>
      </c>
      <c r="F160" s="4"/>
      <c r="G160" s="4"/>
      <c r="H160" s="4"/>
      <c r="J160" s="94">
        <v>12</v>
      </c>
      <c r="K160" s="223">
        <f t="shared" ref="K160:K163" si="107">PI()*(J160/10)^2/4</f>
        <v>1.1309733552923256</v>
      </c>
      <c r="L160" s="224">
        <f t="shared" ref="L160:L163" si="108">INT($D$169/K160)+1</f>
        <v>6</v>
      </c>
      <c r="M160" s="225">
        <v>6</v>
      </c>
      <c r="N160" s="223">
        <f t="shared" ref="N160:N163" si="109">M160*K160</f>
        <v>6.7858401317539538</v>
      </c>
      <c r="O160" s="226">
        <f t="shared" ref="O160:O163" si="110">N160/$D$166</f>
        <v>1.0857344210806327E-2</v>
      </c>
      <c r="P160" s="58"/>
      <c r="Q160" s="58">
        <f t="shared" ref="Q160:Q163" si="111">$D$165*0.8*($D$159*($D$166-N160)+$D$160*N160)/1000</f>
        <v>82.024997044695056</v>
      </c>
      <c r="W160" s="17"/>
      <c r="X160" s="17"/>
      <c r="Y160" s="17"/>
      <c r="Z160" s="17"/>
      <c r="AA160" s="221"/>
      <c r="AB160" s="221"/>
      <c r="AC160" s="221"/>
      <c r="AD160" s="221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ht="15.75" customHeight="1">
      <c r="A161" s="5" t="s">
        <v>182</v>
      </c>
      <c r="B161" s="4"/>
      <c r="C161" s="4"/>
      <c r="D161" s="196">
        <v>0.25</v>
      </c>
      <c r="E161" s="5" t="s">
        <v>79</v>
      </c>
      <c r="F161" s="4"/>
      <c r="G161" s="4"/>
      <c r="H161" s="4"/>
      <c r="J161" s="94">
        <v>16</v>
      </c>
      <c r="K161" s="223">
        <f t="shared" si="107"/>
        <v>2.0106192982974678</v>
      </c>
      <c r="L161" s="224">
        <f t="shared" si="108"/>
        <v>4</v>
      </c>
      <c r="M161" s="225">
        <v>4</v>
      </c>
      <c r="N161" s="223">
        <f t="shared" si="109"/>
        <v>8.0424771931898711</v>
      </c>
      <c r="O161" s="226">
        <f t="shared" si="110"/>
        <v>1.2867963509103793E-2</v>
      </c>
      <c r="P161" s="58"/>
      <c r="Q161" s="58">
        <f t="shared" si="111"/>
        <v>83.992589090008963</v>
      </c>
      <c r="W161" s="58"/>
      <c r="X161" s="58"/>
      <c r="Y161" s="5"/>
      <c r="Z161" s="4"/>
      <c r="AA161" s="227"/>
      <c r="AB161" s="228"/>
      <c r="AC161" s="223"/>
      <c r="AD161" s="35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ht="15.75" customHeight="1">
      <c r="A162" s="5" t="s">
        <v>183</v>
      </c>
      <c r="B162" s="4"/>
      <c r="C162" s="4"/>
      <c r="D162" s="196">
        <v>0.25</v>
      </c>
      <c r="E162" s="5" t="s">
        <v>79</v>
      </c>
      <c r="F162" s="4"/>
      <c r="G162" s="4"/>
      <c r="H162" s="4"/>
      <c r="J162" s="94">
        <v>20</v>
      </c>
      <c r="K162" s="223">
        <f t="shared" si="107"/>
        <v>3.1415926535897931</v>
      </c>
      <c r="L162" s="224">
        <f t="shared" si="108"/>
        <v>2</v>
      </c>
      <c r="M162" s="225">
        <v>4</v>
      </c>
      <c r="N162" s="223">
        <f t="shared" si="109"/>
        <v>12.566370614359172</v>
      </c>
      <c r="O162" s="226">
        <f t="shared" si="110"/>
        <v>2.0106192982974676E-2</v>
      </c>
      <c r="P162" s="58"/>
      <c r="Q162" s="58">
        <f t="shared" si="111"/>
        <v>91.07592045313902</v>
      </c>
      <c r="W162" s="58"/>
      <c r="X162" s="58"/>
      <c r="Y162" s="5"/>
      <c r="Z162" s="4"/>
      <c r="AA162" s="227"/>
      <c r="AB162" s="228"/>
      <c r="AC162" s="223"/>
      <c r="AD162" s="35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ht="15.75" customHeight="1">
      <c r="A163" s="23" t="s">
        <v>184</v>
      </c>
      <c r="B163" s="4"/>
      <c r="C163" s="4"/>
      <c r="D163" s="229">
        <v>46.625</v>
      </c>
      <c r="E163" s="5" t="s">
        <v>126</v>
      </c>
      <c r="F163" s="4"/>
      <c r="G163" s="4"/>
      <c r="H163" s="4"/>
      <c r="J163" s="94">
        <v>25</v>
      </c>
      <c r="K163" s="223">
        <f t="shared" si="107"/>
        <v>4.908738521234052</v>
      </c>
      <c r="L163" s="224">
        <f t="shared" si="108"/>
        <v>2</v>
      </c>
      <c r="M163" s="225">
        <v>4</v>
      </c>
      <c r="N163" s="223">
        <f t="shared" si="109"/>
        <v>19.634954084936208</v>
      </c>
      <c r="O163" s="226">
        <f t="shared" si="110"/>
        <v>3.1415926535897934E-2</v>
      </c>
      <c r="P163" s="58"/>
      <c r="Q163" s="58">
        <f t="shared" si="111"/>
        <v>102.1436257080297</v>
      </c>
      <c r="W163" s="58"/>
      <c r="X163" s="58"/>
      <c r="Y163" s="5"/>
      <c r="Z163" s="4"/>
      <c r="AA163" s="227"/>
      <c r="AB163" s="228"/>
      <c r="AC163" s="223"/>
      <c r="AD163" s="35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ht="15.75" customHeight="1">
      <c r="A164" s="5"/>
      <c r="B164" s="4"/>
      <c r="C164" s="4"/>
      <c r="D164" s="230"/>
      <c r="E164" s="5"/>
      <c r="F164" s="4"/>
      <c r="G164" s="4"/>
      <c r="H164" s="4"/>
      <c r="I164" s="4"/>
      <c r="J164" s="4"/>
      <c r="K164" s="4"/>
      <c r="L164" s="4"/>
      <c r="M164" s="4"/>
      <c r="W164" s="58"/>
      <c r="X164" s="58"/>
      <c r="Y164" s="5"/>
      <c r="Z164" s="4"/>
      <c r="AA164" s="227"/>
      <c r="AB164" s="228"/>
      <c r="AC164" s="223"/>
      <c r="AD164" s="35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ht="15.75" customHeight="1">
      <c r="A165" s="23" t="s">
        <v>39</v>
      </c>
      <c r="B165" s="4"/>
      <c r="C165" s="4"/>
      <c r="D165" s="33">
        <f>B31</f>
        <v>0.7</v>
      </c>
      <c r="F165" s="4"/>
      <c r="G165" s="4"/>
      <c r="H165" s="4"/>
      <c r="I165" s="19" t="s">
        <v>185</v>
      </c>
      <c r="J165" s="220" t="s">
        <v>186</v>
      </c>
      <c r="K165" s="220" t="s">
        <v>187</v>
      </c>
      <c r="L165" s="221" t="s">
        <v>188</v>
      </c>
      <c r="M165" s="220" t="s">
        <v>189</v>
      </c>
      <c r="N165" s="221" t="s">
        <v>190</v>
      </c>
      <c r="O165" s="220" t="s">
        <v>191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ht="15.75" customHeight="1">
      <c r="A166" s="23" t="s">
        <v>192</v>
      </c>
      <c r="B166" s="4"/>
      <c r="C166" s="4"/>
      <c r="D166" s="4">
        <f>D161*D162*10000</f>
        <v>625</v>
      </c>
      <c r="E166" s="59" t="s">
        <v>53</v>
      </c>
      <c r="F166" s="4"/>
      <c r="G166" s="4"/>
      <c r="H166" s="4"/>
      <c r="J166" s="94">
        <v>6</v>
      </c>
      <c r="K166" s="94">
        <f t="shared" ref="K166:K169" si="112">J160</f>
        <v>12</v>
      </c>
      <c r="L166" s="223">
        <f t="shared" ref="L166:L169" si="113">16*K166/10/100</f>
        <v>0.192</v>
      </c>
      <c r="M166" s="94">
        <f t="shared" ref="M166:M169" si="114">48*J166/1000</f>
        <v>0.28799999999999998</v>
      </c>
      <c r="N166" s="223">
        <f t="shared" ref="N166:N169" si="115">$D$161</f>
        <v>0.25</v>
      </c>
      <c r="O166" s="231">
        <f t="shared" ref="O166:O169" si="116">MIN(L166:N166)</f>
        <v>0.192</v>
      </c>
      <c r="P166" s="4"/>
      <c r="R166" s="4"/>
      <c r="S166" s="4"/>
      <c r="T166" s="4"/>
      <c r="U166" s="4"/>
      <c r="V166" s="4"/>
      <c r="W166" s="4"/>
      <c r="X166" s="4"/>
      <c r="Y166" s="4"/>
      <c r="Z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ht="15.75" customHeight="1">
      <c r="A167" s="5" t="s">
        <v>193</v>
      </c>
      <c r="B167" s="4"/>
      <c r="C167" s="4"/>
      <c r="D167" s="58">
        <f>0.01*D166</f>
        <v>6.25</v>
      </c>
      <c r="E167" s="210" t="s">
        <v>53</v>
      </c>
      <c r="F167" s="4"/>
      <c r="G167" s="4"/>
      <c r="H167" s="4"/>
      <c r="J167" s="94">
        <v>9</v>
      </c>
      <c r="K167" s="94">
        <f t="shared" si="112"/>
        <v>16</v>
      </c>
      <c r="L167" s="223">
        <f t="shared" si="113"/>
        <v>0.25600000000000001</v>
      </c>
      <c r="M167" s="94">
        <f t="shared" si="114"/>
        <v>0.432</v>
      </c>
      <c r="N167" s="223">
        <f t="shared" si="115"/>
        <v>0.25</v>
      </c>
      <c r="O167" s="231">
        <f t="shared" si="116"/>
        <v>0.25</v>
      </c>
      <c r="P167" s="4"/>
      <c r="R167" s="4"/>
      <c r="S167" s="4"/>
      <c r="T167" s="4"/>
      <c r="U167" s="4"/>
      <c r="V167" s="4"/>
      <c r="W167" s="4"/>
      <c r="X167" s="4"/>
      <c r="Y167" s="4"/>
      <c r="Z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ht="15.75" customHeight="1">
      <c r="A168" s="5" t="s">
        <v>194</v>
      </c>
      <c r="B168" s="4"/>
      <c r="C168" s="4"/>
      <c r="D168" s="58">
        <f>((D163*1000/D165/0.8)-D159*D166)/(D160-D159)</f>
        <v>-15.822986920089926</v>
      </c>
      <c r="E168" s="210" t="s">
        <v>53</v>
      </c>
      <c r="F168" s="6" t="s">
        <v>195</v>
      </c>
      <c r="G168" s="4"/>
      <c r="H168" s="4"/>
      <c r="J168" s="34">
        <v>9</v>
      </c>
      <c r="K168" s="94">
        <f t="shared" si="112"/>
        <v>20</v>
      </c>
      <c r="L168" s="223">
        <f t="shared" si="113"/>
        <v>0.32</v>
      </c>
      <c r="M168" s="94">
        <f t="shared" si="114"/>
        <v>0.432</v>
      </c>
      <c r="N168" s="223">
        <f t="shared" si="115"/>
        <v>0.25</v>
      </c>
      <c r="O168" s="231">
        <f t="shared" si="116"/>
        <v>0.25</v>
      </c>
      <c r="P168" s="4"/>
      <c r="R168" s="4"/>
      <c r="S168" s="4"/>
      <c r="T168" s="4"/>
      <c r="U168" s="4"/>
      <c r="V168" s="4"/>
      <c r="W168" s="4"/>
      <c r="X168" s="4"/>
      <c r="Y168" s="4"/>
      <c r="Z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ht="15.75" customHeight="1">
      <c r="A169" s="5" t="s">
        <v>196</v>
      </c>
      <c r="B169" s="4"/>
      <c r="C169" s="4"/>
      <c r="D169" s="199">
        <f>IF(D168&gt;D167,D168,IF(D168&lt;=D167,D167))</f>
        <v>6.25</v>
      </c>
      <c r="E169" s="210" t="s">
        <v>53</v>
      </c>
      <c r="F169" s="4"/>
      <c r="G169" s="4"/>
      <c r="H169" s="4"/>
      <c r="J169" s="34">
        <v>10</v>
      </c>
      <c r="K169" s="94">
        <f t="shared" si="112"/>
        <v>25</v>
      </c>
      <c r="L169" s="223">
        <f t="shared" si="113"/>
        <v>0.4</v>
      </c>
      <c r="M169" s="223">
        <f t="shared" si="114"/>
        <v>0.48</v>
      </c>
      <c r="N169" s="223">
        <f t="shared" si="115"/>
        <v>0.25</v>
      </c>
      <c r="O169" s="231">
        <f t="shared" si="116"/>
        <v>0.25</v>
      </c>
      <c r="P169" s="4"/>
      <c r="R169" s="4"/>
      <c r="S169" s="4"/>
      <c r="T169" s="4"/>
      <c r="U169" s="4"/>
      <c r="V169" s="4"/>
      <c r="W169" s="4"/>
      <c r="X169" s="4"/>
      <c r="Y169" s="4"/>
      <c r="Z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ht="15.75" customHeight="1">
      <c r="A170" s="5"/>
      <c r="B170" s="4"/>
      <c r="C170" s="4"/>
      <c r="D170" s="215"/>
      <c r="E170" s="5"/>
      <c r="F170" s="4"/>
      <c r="G170" s="4"/>
      <c r="H170" s="4"/>
      <c r="J170" s="4"/>
      <c r="P170" s="4"/>
      <c r="R170" s="4"/>
      <c r="S170" s="4"/>
      <c r="T170" s="4"/>
      <c r="U170" s="4"/>
      <c r="V170" s="4"/>
      <c r="W170" s="4"/>
      <c r="X170" s="4"/>
      <c r="Y170" s="4"/>
      <c r="Z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ht="15.75" customHeight="1">
      <c r="P171" s="4"/>
      <c r="R171" s="4"/>
      <c r="S171" s="4"/>
      <c r="T171" s="4"/>
      <c r="U171" s="4"/>
      <c r="V171" s="4"/>
      <c r="W171" s="4"/>
      <c r="X171" s="4"/>
      <c r="Y171" s="4"/>
      <c r="Z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ht="15.75" customHeight="1">
      <c r="A172" s="17" t="s">
        <v>197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ht="15.75" customHeight="1">
      <c r="A173" s="5" t="s">
        <v>12</v>
      </c>
      <c r="B173" s="4"/>
      <c r="C173" s="4"/>
      <c r="D173" s="232">
        <f>B12</f>
        <v>240</v>
      </c>
      <c r="E173" s="5" t="s">
        <v>13</v>
      </c>
      <c r="F173" s="4"/>
      <c r="G173" s="4"/>
      <c r="H173" s="4"/>
      <c r="I173" s="4"/>
      <c r="J173" s="4"/>
      <c r="K173" s="4"/>
      <c r="L173" s="4"/>
      <c r="M173" s="19" t="s">
        <v>198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ht="15.75" customHeight="1">
      <c r="A174" s="23" t="s">
        <v>199</v>
      </c>
      <c r="B174" s="4"/>
      <c r="C174" s="4"/>
      <c r="D174" s="233">
        <f>B17</f>
        <v>204</v>
      </c>
      <c r="E174" s="23" t="s">
        <v>13</v>
      </c>
      <c r="F174" s="6" t="s">
        <v>19</v>
      </c>
      <c r="G174" s="4"/>
      <c r="H174" s="4"/>
      <c r="I174" s="4"/>
      <c r="J174" s="4"/>
      <c r="K174" s="4"/>
      <c r="L174" s="4"/>
      <c r="M174" s="23" t="s">
        <v>200</v>
      </c>
      <c r="N174" s="4"/>
      <c r="O174" s="58">
        <f>2.4*D199^2*D222</f>
        <v>0.53999999999999992</v>
      </c>
      <c r="P174" s="5" t="s">
        <v>126</v>
      </c>
      <c r="Q174" s="64" t="s">
        <v>201</v>
      </c>
      <c r="R174" s="4"/>
      <c r="S174" s="4"/>
      <c r="T174" s="4"/>
      <c r="U174" s="4"/>
      <c r="V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ht="15.75" customHeight="1">
      <c r="A175" s="23" t="s">
        <v>16</v>
      </c>
      <c r="B175" s="4"/>
      <c r="C175" s="4"/>
      <c r="D175" s="234">
        <f>F14</f>
        <v>3000</v>
      </c>
      <c r="E175" s="23" t="s">
        <v>13</v>
      </c>
      <c r="F175" s="4"/>
      <c r="G175" s="4"/>
      <c r="H175" s="4"/>
      <c r="I175" s="4"/>
      <c r="J175" s="4"/>
      <c r="K175" s="4"/>
      <c r="L175" s="4"/>
      <c r="M175" s="23" t="s">
        <v>202</v>
      </c>
      <c r="N175" s="4"/>
      <c r="O175" s="199">
        <f>D188+O174</f>
        <v>6.7949999999999999</v>
      </c>
      <c r="P175" s="5" t="s">
        <v>126</v>
      </c>
      <c r="Q175" s="6" t="s">
        <v>203</v>
      </c>
      <c r="R175" s="4"/>
      <c r="S175" s="4"/>
      <c r="T175" s="4"/>
      <c r="U175" s="4"/>
      <c r="V175" s="4"/>
      <c r="X175" s="4"/>
      <c r="Y175" s="4"/>
      <c r="Z175" s="4"/>
      <c r="AA175" s="4"/>
      <c r="AB175" s="4"/>
      <c r="AC175" s="4"/>
      <c r="AD175" s="4"/>
      <c r="AE175" s="23"/>
      <c r="AF175" s="23"/>
      <c r="AG175" s="23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ht="15.75" customHeight="1">
      <c r="A176" s="5"/>
      <c r="B176" s="4"/>
      <c r="C176" s="4"/>
      <c r="D176" s="141"/>
      <c r="E176" s="5"/>
      <c r="F176" s="4"/>
      <c r="G176" s="4"/>
      <c r="H176" s="4"/>
      <c r="I176" s="4"/>
      <c r="J176" s="4"/>
      <c r="K176" s="4"/>
      <c r="L176" s="4"/>
      <c r="M176" s="23" t="s">
        <v>204</v>
      </c>
      <c r="N176" s="4"/>
      <c r="O176" s="58">
        <f>B32*O174</f>
        <v>0.75599999999999989</v>
      </c>
      <c r="P176" s="23" t="s">
        <v>126</v>
      </c>
      <c r="Q176" s="23" t="s">
        <v>205</v>
      </c>
      <c r="R176" s="4"/>
      <c r="S176" s="4"/>
      <c r="T176" s="4"/>
      <c r="U176" s="4"/>
      <c r="V176" s="4"/>
      <c r="X176" s="4"/>
      <c r="Y176" s="4"/>
      <c r="Z176" s="4"/>
      <c r="AA176" s="4"/>
      <c r="AB176" s="4"/>
      <c r="AC176" s="4"/>
      <c r="AD176" s="4"/>
      <c r="AE176" s="23"/>
      <c r="AF176" s="23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ht="15.75" customHeight="1">
      <c r="A177" s="23" t="s">
        <v>28</v>
      </c>
      <c r="B177" s="4"/>
      <c r="C177" s="4"/>
      <c r="D177" s="235">
        <f>F22</f>
        <v>2.1674999999999996E-2</v>
      </c>
      <c r="E177" s="5"/>
      <c r="F177" s="4"/>
      <c r="G177" s="4"/>
      <c r="H177" s="4"/>
      <c r="I177" s="4"/>
      <c r="J177" s="4"/>
      <c r="K177" s="4"/>
      <c r="L177" s="4"/>
      <c r="M177" s="23" t="s">
        <v>206</v>
      </c>
      <c r="N177" s="4"/>
      <c r="O177" s="199">
        <f>D192+O176</f>
        <v>9.8570000000000011</v>
      </c>
      <c r="P177" s="23" t="s">
        <v>126</v>
      </c>
      <c r="Q177" s="6" t="s">
        <v>207</v>
      </c>
      <c r="R177" s="4"/>
      <c r="S177" s="4"/>
      <c r="T177" s="4"/>
      <c r="U177" s="4"/>
      <c r="V177" s="4"/>
      <c r="X177" s="4"/>
      <c r="Y177" s="4"/>
      <c r="Z177" s="4"/>
      <c r="AA177" s="4"/>
      <c r="AB177" s="4"/>
      <c r="AC177" s="4"/>
      <c r="AD177" s="4"/>
      <c r="AE177" s="23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ht="15.75" customHeight="1">
      <c r="A178" s="23" t="s">
        <v>32</v>
      </c>
      <c r="B178" s="4"/>
      <c r="C178" s="4"/>
      <c r="D178" s="235">
        <f>F24</f>
        <v>2E-3</v>
      </c>
      <c r="E178" s="5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ht="15.75" customHeight="1">
      <c r="A179" s="23" t="s">
        <v>22</v>
      </c>
      <c r="B179" s="4"/>
      <c r="C179" s="4"/>
      <c r="D179" s="236">
        <f>B19</f>
        <v>54.66164062499999</v>
      </c>
      <c r="E179" s="5" t="s">
        <v>13</v>
      </c>
      <c r="F179" s="4"/>
      <c r="G179" s="4"/>
      <c r="H179" s="4"/>
      <c r="I179" s="4"/>
      <c r="J179" s="4"/>
      <c r="K179" s="4"/>
      <c r="L179" s="4"/>
      <c r="M179" s="19" t="s">
        <v>208</v>
      </c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ht="15.75" customHeight="1">
      <c r="A180" s="23" t="s">
        <v>35</v>
      </c>
      <c r="B180" s="4"/>
      <c r="C180" s="4"/>
      <c r="D180" s="237">
        <f t="shared" ref="D180:D181" si="117">B29</f>
        <v>0.9</v>
      </c>
      <c r="E180" s="5"/>
      <c r="F180" s="238"/>
      <c r="G180" s="4"/>
      <c r="H180" s="4"/>
      <c r="I180" s="4"/>
      <c r="J180" s="4"/>
      <c r="K180" s="4"/>
      <c r="L180" s="4"/>
      <c r="M180" s="23" t="s">
        <v>209</v>
      </c>
      <c r="N180" s="4"/>
      <c r="O180" s="199">
        <f>O175/D199^2</f>
        <v>6.7949999999999999</v>
      </c>
      <c r="P180" s="23" t="s">
        <v>210</v>
      </c>
      <c r="Q180" s="6" t="s">
        <v>211</v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ht="15.75" customHeight="1">
      <c r="A181" s="23" t="s">
        <v>37</v>
      </c>
      <c r="B181" s="4"/>
      <c r="C181" s="4"/>
      <c r="D181" s="236">
        <f t="shared" si="117"/>
        <v>0.85</v>
      </c>
      <c r="E181" s="5"/>
      <c r="F181" s="239"/>
      <c r="G181" s="4"/>
      <c r="H181" s="4"/>
      <c r="I181" s="4"/>
      <c r="J181" s="4"/>
      <c r="K181" s="4"/>
      <c r="L181" s="4"/>
      <c r="M181" s="31" t="s">
        <v>212</v>
      </c>
      <c r="N181" s="240" t="str">
        <f>IF(O180&lt;=D197,"&lt;","&gt;")</f>
        <v>&lt;</v>
      </c>
      <c r="O181" s="23" t="s">
        <v>213</v>
      </c>
      <c r="P181" s="241" t="str">
        <f>IF(O180&lt;=D197,"ผ่าน","ไม่ผ่าน")</f>
        <v>ผ่าน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ht="15.75" customHeight="1">
      <c r="A182" s="5" t="s">
        <v>214</v>
      </c>
      <c r="B182" s="4"/>
      <c r="C182" s="4"/>
      <c r="D182" s="242">
        <f>0.53*SQRT(D173)</f>
        <v>8.2107246939597243</v>
      </c>
      <c r="E182" s="5" t="s">
        <v>13</v>
      </c>
      <c r="F182" s="239" t="s">
        <v>215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ht="15.75" customHeight="1">
      <c r="A183" s="5"/>
      <c r="B183" s="4"/>
      <c r="C183" s="4"/>
      <c r="D183" s="243">
        <f>D182*10000</f>
        <v>82107.246939597244</v>
      </c>
      <c r="E183" s="5" t="s">
        <v>216</v>
      </c>
      <c r="F183" s="5"/>
      <c r="G183" s="4"/>
      <c r="H183" s="4"/>
      <c r="I183" s="4"/>
      <c r="J183" s="4"/>
      <c r="K183" s="4"/>
      <c r="L183" s="4"/>
      <c r="M183" s="19" t="s">
        <v>217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ht="15.75" customHeight="1">
      <c r="A184" s="23" t="s">
        <v>218</v>
      </c>
      <c r="B184" s="4"/>
      <c r="C184" s="4"/>
      <c r="D184" s="242">
        <f>SQRT(D173)</f>
        <v>15.491933384829668</v>
      </c>
      <c r="E184" s="5" t="s">
        <v>13</v>
      </c>
      <c r="F184" s="6" t="s">
        <v>219</v>
      </c>
      <c r="G184" s="4"/>
      <c r="H184" s="4"/>
      <c r="I184" s="4"/>
      <c r="J184" s="4"/>
      <c r="K184" s="4"/>
      <c r="L184" s="4"/>
      <c r="M184" s="23" t="s">
        <v>220</v>
      </c>
      <c r="O184" s="199">
        <f>O177*1000/D199^2/1000</f>
        <v>9.8570000000000011</v>
      </c>
      <c r="P184" s="23" t="s">
        <v>210</v>
      </c>
      <c r="Q184" s="23" t="s">
        <v>221</v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ht="15.75" customHeight="1">
      <c r="A185" s="5"/>
      <c r="B185" s="4"/>
      <c r="C185" s="4"/>
      <c r="D185" s="243">
        <f>D184*10000</f>
        <v>154919.33384829669</v>
      </c>
      <c r="E185" s="5" t="s">
        <v>216</v>
      </c>
      <c r="F185" s="4"/>
      <c r="G185" s="4"/>
      <c r="H185" s="4"/>
      <c r="I185" s="4"/>
      <c r="J185" s="4"/>
      <c r="K185" s="4"/>
      <c r="L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ht="15.75" customHeight="1">
      <c r="A186" s="5"/>
      <c r="B186" s="4"/>
      <c r="C186" s="4"/>
      <c r="D186" s="236"/>
      <c r="E186" s="5"/>
      <c r="F186" s="4"/>
      <c r="G186" s="4"/>
      <c r="H186" s="4"/>
      <c r="I186" s="4"/>
      <c r="J186" s="4"/>
      <c r="K186" s="4"/>
      <c r="L186" s="4"/>
      <c r="M186" s="19" t="s">
        <v>222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ht="15.75" customHeight="1">
      <c r="A187" s="23" t="s">
        <v>223</v>
      </c>
      <c r="B187" s="4"/>
      <c r="C187" s="4"/>
      <c r="D187" s="244">
        <v>0.25</v>
      </c>
      <c r="E187" s="5" t="s">
        <v>79</v>
      </c>
      <c r="F187" s="6" t="s">
        <v>224</v>
      </c>
      <c r="G187" s="4"/>
      <c r="H187" s="4"/>
      <c r="I187" s="4"/>
      <c r="J187" s="4"/>
      <c r="K187" s="4"/>
      <c r="L187" s="4"/>
      <c r="M187" s="31" t="s">
        <v>225</v>
      </c>
      <c r="O187" s="245">
        <f>D181*D183*D199*D221/1000</f>
        <v>10.468673984798649</v>
      </c>
      <c r="P187" s="246" t="s">
        <v>126</v>
      </c>
      <c r="Q187" s="247" t="s">
        <v>226</v>
      </c>
      <c r="R187" s="7"/>
      <c r="U187" s="19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ht="15.75" customHeight="1">
      <c r="A188" s="23" t="s">
        <v>227</v>
      </c>
      <c r="B188" s="4"/>
      <c r="C188" s="4"/>
      <c r="D188" s="21">
        <v>6.2549999999999999</v>
      </c>
      <c r="E188" s="5" t="s">
        <v>126</v>
      </c>
      <c r="F188" s="4"/>
      <c r="G188" s="4"/>
      <c r="H188" s="4"/>
      <c r="I188" s="4"/>
      <c r="J188" s="4"/>
      <c r="K188" s="4"/>
      <c r="L188" s="4"/>
      <c r="M188" s="248" t="s">
        <v>228</v>
      </c>
      <c r="O188" s="245">
        <f>O184*(0.5*D199*(D199-D187-2*D221))</f>
        <v>2.2178250000000004</v>
      </c>
      <c r="P188" s="23" t="s">
        <v>126</v>
      </c>
      <c r="Q188" s="249" t="s">
        <v>229</v>
      </c>
      <c r="R188" s="250"/>
      <c r="U188" s="31"/>
      <c r="W188" s="215"/>
      <c r="X188" s="23"/>
      <c r="Y188" s="249"/>
      <c r="Z188" s="58"/>
      <c r="AA188" s="58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ht="15.75" customHeight="1">
      <c r="A189" s="5" t="s">
        <v>230</v>
      </c>
      <c r="B189" s="4"/>
      <c r="C189" s="4"/>
      <c r="D189" s="21">
        <v>20</v>
      </c>
      <c r="E189" s="5" t="s">
        <v>231</v>
      </c>
      <c r="F189" s="4"/>
      <c r="G189" s="4"/>
      <c r="H189" s="4"/>
      <c r="I189" s="4"/>
      <c r="J189" s="4"/>
      <c r="K189" s="4"/>
      <c r="L189" s="4"/>
      <c r="M189" s="31" t="s">
        <v>228</v>
      </c>
      <c r="N189" s="240" t="str">
        <f>IF(O188&lt;=O187,"&lt;","&gt;")</f>
        <v>&lt;</v>
      </c>
      <c r="O189" s="246" t="s">
        <v>225</v>
      </c>
      <c r="P189" s="241" t="str">
        <f>IF(O188&lt;=O187,"ผ่าน","ไม่ผ่าน")</f>
        <v>ผ่าน</v>
      </c>
      <c r="Q189" s="215"/>
      <c r="R189" s="215"/>
      <c r="U189" s="31"/>
      <c r="W189" s="215"/>
      <c r="X189" s="23"/>
      <c r="Y189" s="249"/>
      <c r="Z189" s="58"/>
      <c r="AA189" s="58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ht="15.75" customHeight="1">
      <c r="A190" s="5" t="s">
        <v>232</v>
      </c>
      <c r="B190" s="4"/>
      <c r="C190" s="4"/>
      <c r="D190" s="242">
        <f>D188*D189/100</f>
        <v>1.2509999999999999</v>
      </c>
      <c r="E190" s="5" t="s">
        <v>126</v>
      </c>
      <c r="F190" s="4"/>
      <c r="G190" s="4"/>
      <c r="H190" s="4"/>
      <c r="I190" s="4"/>
      <c r="J190" s="4"/>
      <c r="K190" s="4"/>
      <c r="L190" s="4"/>
      <c r="M190" s="31"/>
      <c r="O190" s="224"/>
      <c r="P190" s="246"/>
      <c r="Q190" s="247"/>
      <c r="R190" s="7"/>
      <c r="U190" s="31"/>
      <c r="V190" s="240"/>
      <c r="W190" s="23"/>
      <c r="X190" s="241"/>
      <c r="Y190" s="4"/>
      <c r="Z190" s="4"/>
      <c r="AA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ht="15.75" customHeight="1">
      <c r="A191" s="23" t="s">
        <v>233</v>
      </c>
      <c r="B191" s="4"/>
      <c r="C191" s="4"/>
      <c r="D191" s="251">
        <f>D188+D190</f>
        <v>7.5060000000000002</v>
      </c>
      <c r="E191" s="5" t="s">
        <v>126</v>
      </c>
      <c r="F191" s="6" t="s">
        <v>234</v>
      </c>
      <c r="G191" s="4"/>
      <c r="H191" s="4"/>
      <c r="I191" s="4"/>
      <c r="J191" s="252"/>
      <c r="K191" s="4"/>
      <c r="L191" s="4"/>
      <c r="M191" s="19" t="s">
        <v>235</v>
      </c>
      <c r="Q191" s="4"/>
      <c r="R191" s="4"/>
      <c r="S191" s="4"/>
      <c r="W191" s="58"/>
      <c r="X191" s="58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 ht="15.75" customHeight="1">
      <c r="A192" s="23" t="s">
        <v>236</v>
      </c>
      <c r="B192" s="4"/>
      <c r="C192" s="4"/>
      <c r="D192" s="21">
        <v>9.1010000000000009</v>
      </c>
      <c r="E192" s="23" t="s">
        <v>126</v>
      </c>
      <c r="F192" s="4"/>
      <c r="G192" s="4"/>
      <c r="H192" s="4"/>
      <c r="I192" s="4"/>
      <c r="J192" s="4"/>
      <c r="K192" s="4"/>
      <c r="L192" s="4"/>
      <c r="M192" s="31" t="s">
        <v>237</v>
      </c>
      <c r="O192" s="199">
        <f>D181*D185*(4*D221^2+4*D187*D221)/1000</f>
        <v>31.603544105052524</v>
      </c>
      <c r="P192" s="23" t="s">
        <v>126</v>
      </c>
      <c r="Q192" s="249" t="s">
        <v>238</v>
      </c>
      <c r="R192" s="58"/>
      <c r="S192" s="58"/>
      <c r="W192" s="58"/>
      <c r="X192" s="58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 ht="15.75" customHeight="1">
      <c r="A193" s="23" t="s">
        <v>239</v>
      </c>
      <c r="B193" s="4"/>
      <c r="C193" s="4"/>
      <c r="D193" s="242">
        <f>B32*D190</f>
        <v>1.7513999999999996</v>
      </c>
      <c r="E193" s="23" t="s">
        <v>126</v>
      </c>
      <c r="F193" s="23" t="s">
        <v>240</v>
      </c>
      <c r="G193" s="4"/>
      <c r="H193" s="4"/>
      <c r="I193" s="4"/>
      <c r="J193" s="4"/>
      <c r="K193" s="4"/>
      <c r="L193" s="4"/>
      <c r="M193" s="31" t="s">
        <v>241</v>
      </c>
      <c r="O193" s="199">
        <f>O184*(D199^2-(D221+D187)^2)</f>
        <v>8.2798800000000004</v>
      </c>
      <c r="P193" s="23" t="s">
        <v>126</v>
      </c>
      <c r="Q193" s="249" t="s">
        <v>242</v>
      </c>
      <c r="R193" s="58"/>
      <c r="S193" s="58"/>
      <c r="W193" s="58"/>
      <c r="X193" s="58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ht="15.75" customHeight="1">
      <c r="A194" s="23" t="s">
        <v>243</v>
      </c>
      <c r="B194" s="4"/>
      <c r="C194" s="4"/>
      <c r="D194" s="251">
        <f>D192+D193</f>
        <v>10.852400000000001</v>
      </c>
      <c r="E194" s="23" t="s">
        <v>126</v>
      </c>
      <c r="F194" s="6" t="s">
        <v>244</v>
      </c>
      <c r="G194" s="4"/>
      <c r="H194" s="4"/>
      <c r="I194" s="4"/>
      <c r="J194" s="4"/>
      <c r="K194" s="4"/>
      <c r="L194" s="4"/>
      <c r="M194" s="31" t="s">
        <v>241</v>
      </c>
      <c r="N194" s="240" t="str">
        <f>IF(O193&lt;=O192,"&lt;","&gt;")</f>
        <v>&lt;</v>
      </c>
      <c r="O194" s="23" t="s">
        <v>237</v>
      </c>
      <c r="P194" s="241" t="str">
        <f>IF(O193&lt;=O192,"ผ่าน","ไม่ผ่าน")</f>
        <v>ผ่าน</v>
      </c>
      <c r="Q194" s="4"/>
      <c r="R194" s="4"/>
      <c r="S194" s="4"/>
      <c r="W194" s="58"/>
      <c r="X194" s="58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 ht="15.75" customHeight="1">
      <c r="A195" s="5"/>
      <c r="B195" s="4"/>
      <c r="C195" s="4"/>
      <c r="D195" s="141"/>
      <c r="E195" s="5"/>
      <c r="F195" s="4"/>
      <c r="G195" s="4"/>
      <c r="H195" s="4"/>
      <c r="I195" s="4"/>
      <c r="J195" s="4"/>
      <c r="K195" s="4"/>
      <c r="L195" s="4"/>
      <c r="Q195" s="215"/>
      <c r="R195" s="215"/>
      <c r="S195" s="215"/>
      <c r="W195" s="58"/>
      <c r="X195" s="58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 ht="15.75" customHeight="1">
      <c r="A196" s="19" t="s">
        <v>245</v>
      </c>
      <c r="B196" s="4"/>
      <c r="C196" s="4"/>
      <c r="D196" s="141"/>
      <c r="E196" s="5"/>
      <c r="F196" s="4"/>
      <c r="G196" s="4"/>
      <c r="H196" s="4"/>
      <c r="I196" s="4"/>
      <c r="J196" s="4"/>
      <c r="K196" s="4"/>
      <c r="L196" s="4"/>
      <c r="M196" s="253" t="s">
        <v>246</v>
      </c>
      <c r="Q196" s="58"/>
      <c r="R196" s="58"/>
      <c r="W196" s="58"/>
      <c r="X196" s="58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 ht="15.75" customHeight="1">
      <c r="A197" s="23" t="s">
        <v>247</v>
      </c>
      <c r="B197" s="4"/>
      <c r="C197" s="4"/>
      <c r="D197" s="195">
        <v>10</v>
      </c>
      <c r="E197" s="5" t="s">
        <v>210</v>
      </c>
      <c r="F197" s="64"/>
      <c r="G197" s="4"/>
      <c r="J197" s="4"/>
      <c r="K197" s="4"/>
      <c r="L197" s="4"/>
      <c r="M197" s="31" t="s">
        <v>124</v>
      </c>
      <c r="O197" s="199">
        <f>D180*D179*D199*(D221*100)^2/1000</f>
        <v>11.068982226562497</v>
      </c>
      <c r="P197" s="23" t="s">
        <v>123</v>
      </c>
      <c r="Q197" s="249" t="s">
        <v>248</v>
      </c>
      <c r="R197" s="58"/>
      <c r="T197" s="221"/>
      <c r="U197" s="4"/>
      <c r="W197" s="58"/>
      <c r="X197" s="58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ht="15.75" customHeight="1">
      <c r="A198" s="5" t="s">
        <v>249</v>
      </c>
      <c r="B198" s="4"/>
      <c r="C198" s="4"/>
      <c r="D198" s="254">
        <f>SQRT(D191/D197)</f>
        <v>0.86637174469161915</v>
      </c>
      <c r="E198" s="5" t="s">
        <v>79</v>
      </c>
      <c r="F198" s="6" t="s">
        <v>250</v>
      </c>
      <c r="G198" s="4"/>
      <c r="J198" s="4"/>
      <c r="K198" s="4"/>
      <c r="L198" s="4"/>
      <c r="M198" s="31" t="s">
        <v>101</v>
      </c>
      <c r="O198" s="199">
        <f>O184*D199*(D199-D187)^2/8</f>
        <v>0.69307031250000006</v>
      </c>
      <c r="P198" s="23" t="s">
        <v>123</v>
      </c>
      <c r="Q198" s="23" t="s">
        <v>251</v>
      </c>
      <c r="R198" s="58"/>
      <c r="T198" s="4"/>
      <c r="U198" s="4"/>
      <c r="V198" s="4"/>
      <c r="W198" s="4"/>
      <c r="X198" s="4"/>
      <c r="Y198" s="4"/>
      <c r="Z198" s="4"/>
      <c r="AA198" s="4"/>
      <c r="AB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 ht="15.75" customHeight="1">
      <c r="A199" s="5" t="s">
        <v>252</v>
      </c>
      <c r="B199" s="4"/>
      <c r="C199" s="4"/>
      <c r="D199" s="195">
        <v>1</v>
      </c>
      <c r="E199" s="5" t="s">
        <v>79</v>
      </c>
      <c r="F199" s="5" t="s">
        <v>253</v>
      </c>
      <c r="G199" s="4"/>
      <c r="J199" s="4"/>
      <c r="K199" s="4"/>
      <c r="L199" s="4"/>
      <c r="M199" s="31" t="s">
        <v>101</v>
      </c>
      <c r="N199" s="240" t="str">
        <f>IF(O198&lt;=O197,"&lt;","&gt;")</f>
        <v>&lt;</v>
      </c>
      <c r="O199" s="246" t="s">
        <v>124</v>
      </c>
      <c r="P199" s="241" t="str">
        <f>IF(O198&lt;=O197,"ผ่าน","ไม่ผ่าน")</f>
        <v>ผ่าน</v>
      </c>
      <c r="Q199" s="58"/>
      <c r="R199" s="58"/>
      <c r="T199" s="4"/>
      <c r="U199" s="4"/>
      <c r="V199" s="4"/>
      <c r="W199" s="4"/>
      <c r="X199" s="4"/>
      <c r="Y199" s="4"/>
      <c r="Z199" s="4"/>
      <c r="AA199" s="4"/>
      <c r="AB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 ht="15.75" customHeight="1">
      <c r="A200" s="23" t="s">
        <v>254</v>
      </c>
      <c r="B200" s="4"/>
      <c r="D200" s="229">
        <v>7.4999999999999997E-2</v>
      </c>
      <c r="E200" s="5" t="s">
        <v>79</v>
      </c>
      <c r="F200" s="6" t="s">
        <v>255</v>
      </c>
      <c r="G200" s="4"/>
      <c r="H200" s="4"/>
      <c r="J200" s="4"/>
      <c r="K200" s="4"/>
      <c r="L200" s="4"/>
      <c r="Q200" s="94"/>
      <c r="R200" s="94"/>
      <c r="S200" s="94"/>
      <c r="T200" s="4"/>
      <c r="U200" s="4"/>
      <c r="V200" s="4"/>
      <c r="W200" s="4"/>
      <c r="X200" s="4"/>
      <c r="Y200" s="4"/>
      <c r="Z200" s="4"/>
      <c r="AA200" s="4"/>
      <c r="AB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 ht="15.75" customHeight="1">
      <c r="M201" s="17" t="s">
        <v>256</v>
      </c>
      <c r="N201" s="4"/>
      <c r="O201" s="4"/>
      <c r="P201" s="4"/>
      <c r="Q201" s="58"/>
      <c r="R201" s="58"/>
      <c r="T201" s="215"/>
      <c r="U201" s="215"/>
      <c r="V201" s="215"/>
      <c r="W201" s="215"/>
      <c r="X201" s="215"/>
      <c r="Y201" s="5"/>
      <c r="Z201" s="64"/>
      <c r="AA201" s="64"/>
      <c r="AB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 ht="15.75" customHeight="1">
      <c r="A202" s="19" t="s">
        <v>257</v>
      </c>
      <c r="I202" s="4"/>
      <c r="J202" s="64"/>
      <c r="M202" s="31" t="s">
        <v>102</v>
      </c>
      <c r="N202" s="4"/>
      <c r="O202" s="32">
        <f>O198*1000/D180/D199/(D221*100)^2</f>
        <v>3.422569444444445</v>
      </c>
      <c r="P202" s="194" t="s">
        <v>13</v>
      </c>
      <c r="Q202" s="23" t="s">
        <v>258</v>
      </c>
      <c r="R202" s="4"/>
      <c r="T202" s="215"/>
      <c r="U202" s="33"/>
      <c r="V202" s="215"/>
      <c r="W202" s="215"/>
      <c r="X202" s="215"/>
      <c r="Y202" s="5"/>
      <c r="Z202" s="64"/>
      <c r="AA202" s="6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 ht="15.75" customHeight="1">
      <c r="A203" s="23" t="s">
        <v>259</v>
      </c>
      <c r="B203" s="4"/>
      <c r="D203" s="23">
        <v>30</v>
      </c>
      <c r="E203" s="23" t="s">
        <v>63</v>
      </c>
      <c r="F203" s="6" t="s">
        <v>260</v>
      </c>
      <c r="M203" s="31" t="s">
        <v>104</v>
      </c>
      <c r="N203" s="4"/>
      <c r="O203" s="36">
        <f>(D174/D175)*(1-SQRT(1-(2*O202/D174)))</f>
        <v>1.150590739195622E-3</v>
      </c>
      <c r="P203" s="215"/>
      <c r="Q203" s="23" t="s">
        <v>261</v>
      </c>
      <c r="R203" s="4"/>
      <c r="T203" s="215"/>
      <c r="U203" s="215"/>
      <c r="V203" s="215"/>
      <c r="W203" s="215"/>
      <c r="X203" s="215"/>
      <c r="Y203" s="5"/>
      <c r="Z203" s="6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ht="15.75" customHeight="1">
      <c r="A204" s="23" t="s">
        <v>262</v>
      </c>
      <c r="D204" s="30">
        <v>12</v>
      </c>
      <c r="E204" s="23" t="s">
        <v>48</v>
      </c>
      <c r="H204" s="4"/>
      <c r="M204" s="31" t="s">
        <v>263</v>
      </c>
      <c r="N204" s="4"/>
      <c r="O204" s="58">
        <f>O203*D199*D221*10000</f>
        <v>1.7258861087934327</v>
      </c>
      <c r="P204" s="194" t="s">
        <v>264</v>
      </c>
      <c r="Q204" s="23" t="s">
        <v>265</v>
      </c>
      <c r="R204" s="4"/>
      <c r="T204" s="215"/>
      <c r="U204" s="215"/>
      <c r="V204" s="215"/>
      <c r="W204" s="215"/>
      <c r="X204" s="215"/>
      <c r="Y204" s="5"/>
      <c r="Z204" s="64"/>
      <c r="AA204" s="94"/>
      <c r="AB204" s="5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 ht="15.75" customHeight="1">
      <c r="B205" s="31" t="s">
        <v>266</v>
      </c>
      <c r="D205" s="58">
        <f>PI()*(D204/10)^2/4</f>
        <v>1.1309733552923256</v>
      </c>
      <c r="E205" s="23" t="s">
        <v>264</v>
      </c>
      <c r="H205" s="4"/>
      <c r="M205" s="31" t="s">
        <v>267</v>
      </c>
      <c r="N205" s="4"/>
      <c r="O205" s="58">
        <f>F24*D199*D222*10000</f>
        <v>4.5</v>
      </c>
      <c r="P205" s="255" t="s">
        <v>264</v>
      </c>
      <c r="Q205" s="23" t="s">
        <v>268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 ht="15.75" customHeight="1">
      <c r="A206" s="23" t="s">
        <v>269</v>
      </c>
      <c r="B206" s="4"/>
      <c r="D206" s="256">
        <f>IF(D175*(D204/10)/13.3/SQRT(D173)&gt;30,D175*(D204/10)/13.3/SQRT(D173),30)</f>
        <v>30</v>
      </c>
      <c r="E206" s="23" t="s">
        <v>63</v>
      </c>
      <c r="F206" s="23" t="s">
        <v>270</v>
      </c>
      <c r="G206" s="4"/>
      <c r="H206" s="4"/>
      <c r="M206" s="31" t="s">
        <v>271</v>
      </c>
      <c r="O206" s="58">
        <f>IF(O204&gt;=O205,O204,O205)</f>
        <v>4.5</v>
      </c>
      <c r="P206" s="23" t="s">
        <v>264</v>
      </c>
      <c r="Q206" s="23" t="s">
        <v>272</v>
      </c>
      <c r="R206" s="4"/>
      <c r="S206" s="4"/>
      <c r="T206" s="58"/>
      <c r="U206" s="58"/>
      <c r="V206" s="58"/>
      <c r="W206" s="58"/>
      <c r="X206" s="58"/>
      <c r="Y206" s="5"/>
      <c r="Z206" s="6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ht="15.75" customHeight="1">
      <c r="A207" s="23" t="s">
        <v>273</v>
      </c>
      <c r="B207" s="4"/>
      <c r="D207" s="256">
        <f>((D199-D187)/2 - D200)*100</f>
        <v>30</v>
      </c>
      <c r="E207" s="23" t="s">
        <v>63</v>
      </c>
      <c r="F207" s="23" t="s">
        <v>274</v>
      </c>
      <c r="G207" s="4"/>
      <c r="H207" s="4"/>
      <c r="T207" s="58"/>
      <c r="U207" s="58"/>
      <c r="V207" s="58"/>
      <c r="W207" s="58"/>
      <c r="X207" s="58"/>
      <c r="Y207" s="5"/>
      <c r="Z207" s="6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ht="15.75" customHeight="1">
      <c r="B208" s="31" t="s">
        <v>275</v>
      </c>
      <c r="C208" s="240" t="str">
        <f>IF(D207&gt;=D206,"&gt;=","&lt;")</f>
        <v>&gt;=</v>
      </c>
      <c r="D208" s="23" t="s">
        <v>276</v>
      </c>
      <c r="E208" s="241" t="str">
        <f>IF(D206&lt;=D207,"ผ่าน","ไม่ผ่าน")</f>
        <v>ผ่าน</v>
      </c>
      <c r="F208" s="23" t="s">
        <v>277</v>
      </c>
      <c r="M208" s="221" t="s">
        <v>278</v>
      </c>
      <c r="N208" s="220" t="s">
        <v>279</v>
      </c>
      <c r="O208" s="221" t="s">
        <v>280</v>
      </c>
      <c r="P208" s="221" t="s">
        <v>179</v>
      </c>
      <c r="Q208" s="221" t="s">
        <v>281</v>
      </c>
      <c r="R208" s="257" t="s">
        <v>104</v>
      </c>
      <c r="S208" s="258" t="s">
        <v>282</v>
      </c>
      <c r="T208" s="6" t="s">
        <v>283</v>
      </c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215"/>
      <c r="AF208" s="5"/>
      <c r="AG208" s="64"/>
      <c r="AH208" s="221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ht="15.75" customHeight="1">
      <c r="M209" s="94">
        <v>12</v>
      </c>
      <c r="N209" s="259">
        <f t="shared" ref="N209:N212" si="118">PI()*(M209/10)^2/4</f>
        <v>1.1309733552923256</v>
      </c>
      <c r="O209" s="260">
        <f t="shared" ref="O209:O212" si="119">$O$206/N209</f>
        <v>3.9788735772973833</v>
      </c>
      <c r="P209" s="212">
        <v>14</v>
      </c>
      <c r="Q209" s="223">
        <f t="shared" ref="Q209:Q212" si="120">N209*P209</f>
        <v>15.833626974092558</v>
      </c>
      <c r="R209" s="261">
        <f t="shared" ref="R209:R212" si="121">Q209/$D$199/$D$221/10000</f>
        <v>1.0555751316061707E-2</v>
      </c>
      <c r="S209" s="223">
        <f t="shared" ref="S209:S212" si="122">($D$199-2*$D$200)/(P209-1)</f>
        <v>6.5384615384615388E-2</v>
      </c>
      <c r="T209" s="94"/>
      <c r="U209" s="94"/>
      <c r="V209" s="94"/>
      <c r="W209" s="94"/>
      <c r="X209" s="9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ht="15.75" customHeight="1">
      <c r="A210" s="19" t="s">
        <v>284</v>
      </c>
      <c r="H210" s="4"/>
      <c r="I210" s="4"/>
      <c r="J210" s="4"/>
      <c r="K210" s="4"/>
      <c r="L210" s="4"/>
      <c r="M210" s="94">
        <v>16</v>
      </c>
      <c r="N210" s="259">
        <f t="shared" si="118"/>
        <v>2.0106192982974678</v>
      </c>
      <c r="O210" s="260">
        <f t="shared" si="119"/>
        <v>2.2381163872297782</v>
      </c>
      <c r="P210" s="212">
        <v>8</v>
      </c>
      <c r="Q210" s="223">
        <f t="shared" si="120"/>
        <v>16.084954386379742</v>
      </c>
      <c r="R210" s="261">
        <f t="shared" si="121"/>
        <v>1.0723302924253161E-2</v>
      </c>
      <c r="S210" s="223">
        <f t="shared" si="122"/>
        <v>0.12142857142857143</v>
      </c>
      <c r="T210" s="58"/>
      <c r="U210" s="58"/>
      <c r="V210" s="58"/>
      <c r="W210" s="58"/>
      <c r="X210" s="58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 ht="15.75" customHeight="1">
      <c r="A211" s="23" t="s">
        <v>285</v>
      </c>
      <c r="B211" s="4"/>
      <c r="C211" s="4"/>
      <c r="D211" s="215">
        <f>(D194/D199^2)*1000</f>
        <v>10852.400000000001</v>
      </c>
      <c r="E211" s="5" t="s">
        <v>216</v>
      </c>
      <c r="F211" s="6" t="s">
        <v>286</v>
      </c>
      <c r="H211" s="4"/>
      <c r="I211" s="4"/>
      <c r="J211" s="4"/>
      <c r="K211" s="4"/>
      <c r="L211" s="4"/>
      <c r="M211" s="94">
        <v>20</v>
      </c>
      <c r="N211" s="259">
        <f t="shared" si="118"/>
        <v>3.1415926535897931</v>
      </c>
      <c r="O211" s="260">
        <f t="shared" si="119"/>
        <v>1.432394487827058</v>
      </c>
      <c r="P211" s="212">
        <v>6</v>
      </c>
      <c r="Q211" s="223">
        <f t="shared" si="120"/>
        <v>18.849555921538759</v>
      </c>
      <c r="R211" s="261">
        <f t="shared" si="121"/>
        <v>1.2566370614359173E-2</v>
      </c>
      <c r="S211" s="223">
        <f t="shared" si="122"/>
        <v>0.16999999999999998</v>
      </c>
      <c r="T211" s="58"/>
      <c r="U211" s="58"/>
      <c r="V211" s="58"/>
      <c r="W211" s="58"/>
      <c r="X211" s="58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 ht="15.75" customHeight="1">
      <c r="A212" s="23" t="s">
        <v>287</v>
      </c>
      <c r="B212" s="4"/>
      <c r="C212" s="4"/>
      <c r="D212" s="262">
        <f>D211*D199*(D199-D187)^2/8</f>
        <v>763.05937500000005</v>
      </c>
      <c r="E212" s="5" t="s">
        <v>95</v>
      </c>
      <c r="F212" s="6" t="s">
        <v>288</v>
      </c>
      <c r="G212" s="4"/>
      <c r="H212" s="4"/>
      <c r="I212" s="64"/>
      <c r="J212" s="4"/>
      <c r="K212" s="4"/>
      <c r="L212" s="4"/>
      <c r="M212" s="94">
        <v>25</v>
      </c>
      <c r="N212" s="259">
        <f t="shared" si="118"/>
        <v>4.908738521234052</v>
      </c>
      <c r="O212" s="260">
        <f t="shared" si="119"/>
        <v>0.91673247220931708</v>
      </c>
      <c r="P212" s="212">
        <v>6</v>
      </c>
      <c r="Q212" s="223">
        <f t="shared" si="120"/>
        <v>29.45243112740431</v>
      </c>
      <c r="R212" s="261">
        <f t="shared" si="121"/>
        <v>1.9634954084936207E-2</v>
      </c>
      <c r="S212" s="223">
        <f t="shared" si="122"/>
        <v>0.16999999999999998</v>
      </c>
      <c r="T212" s="58"/>
      <c r="U212" s="5"/>
      <c r="V212" s="108"/>
      <c r="W212" s="94"/>
      <c r="X212" s="5"/>
      <c r="Y212" s="94"/>
      <c r="Z212" s="4"/>
      <c r="AA212" s="94"/>
      <c r="AB212" s="9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 ht="15.75" customHeight="1">
      <c r="A213" s="23" t="s">
        <v>289</v>
      </c>
      <c r="B213" s="4"/>
      <c r="C213" s="4"/>
      <c r="D213" s="254">
        <f>SQRT(D212/D180/D179/D199)/100</f>
        <v>3.9383705953704988E-2</v>
      </c>
      <c r="E213" s="5" t="s">
        <v>79</v>
      </c>
      <c r="F213" s="6" t="s">
        <v>290</v>
      </c>
      <c r="G213" s="4"/>
      <c r="H213" s="31" t="s">
        <v>124</v>
      </c>
      <c r="I213" s="224">
        <f>D180*D179*D199*(D213*100)^2</f>
        <v>763.0593749999997</v>
      </c>
      <c r="J213" s="23" t="s">
        <v>95</v>
      </c>
      <c r="K213" s="249" t="s">
        <v>248</v>
      </c>
      <c r="L213" s="4"/>
      <c r="U213" s="58"/>
      <c r="V213" s="180"/>
      <c r="W213" s="221"/>
      <c r="X213" s="263"/>
      <c r="Y213" s="221"/>
      <c r="Z213" s="4"/>
      <c r="AA213" s="94"/>
      <c r="AB213" s="223"/>
      <c r="AM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spans="1:48" ht="15.75" customHeight="1">
      <c r="A214" s="5" t="s">
        <v>291</v>
      </c>
      <c r="B214" s="4"/>
      <c r="C214" s="4"/>
      <c r="D214" s="254">
        <f>D211*(D199-D187)/(2*(D181*D183+D211))</f>
        <v>5.046466208974662E-2</v>
      </c>
      <c r="E214" s="5" t="s">
        <v>79</v>
      </c>
      <c r="F214" s="6" t="s">
        <v>292</v>
      </c>
      <c r="G214" s="4"/>
      <c r="H214" s="31" t="s">
        <v>293</v>
      </c>
      <c r="I214" s="224">
        <f>D211*(0.5*D199*(D199-D187-2*D214))/D181/D199/D214</f>
        <v>82107.246939597244</v>
      </c>
      <c r="J214" s="23" t="s">
        <v>216</v>
      </c>
      <c r="K214" s="264" t="s">
        <v>294</v>
      </c>
      <c r="L214" s="4"/>
      <c r="W214" s="4"/>
      <c r="X214" s="263"/>
      <c r="Y214" s="221"/>
      <c r="Z214" s="4"/>
      <c r="AA214" s="94"/>
      <c r="AB214" s="223"/>
      <c r="AM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 spans="1:48" ht="15.75" customHeight="1">
      <c r="A215" s="6" t="s">
        <v>295</v>
      </c>
      <c r="B215" s="4"/>
      <c r="C215" s="4"/>
      <c r="D215" s="215">
        <f>4*D181*D185+D211</f>
        <v>537578.1350842088</v>
      </c>
      <c r="E215" s="5" t="s">
        <v>216</v>
      </c>
      <c r="F215" s="4"/>
      <c r="G215" s="4"/>
      <c r="H215" s="4"/>
      <c r="I215" s="4"/>
      <c r="J215" s="4"/>
      <c r="K215" s="4"/>
      <c r="L215" s="4"/>
      <c r="X215" s="263"/>
      <c r="Y215" s="221"/>
      <c r="Z215" s="4"/>
      <c r="AA215" s="94"/>
      <c r="AB215" s="223"/>
      <c r="AM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 spans="1:48" ht="15.75" customHeight="1">
      <c r="A216" s="6" t="s">
        <v>296</v>
      </c>
      <c r="B216" s="4"/>
      <c r="C216" s="4"/>
      <c r="D216" s="194">
        <f>2*D187*(2*D181*D185+D211)</f>
        <v>137107.63377105221</v>
      </c>
      <c r="E216" s="5" t="s">
        <v>297</v>
      </c>
      <c r="F216" s="4"/>
      <c r="G216" s="4"/>
      <c r="H216" s="4"/>
      <c r="I216" s="4"/>
      <c r="J216" s="4"/>
      <c r="K216" s="4"/>
      <c r="L216" s="4"/>
      <c r="X216" s="263"/>
      <c r="Y216" s="221"/>
      <c r="Z216" s="4"/>
      <c r="AA216" s="94"/>
      <c r="AB216" s="223"/>
      <c r="AC216" s="94"/>
      <c r="AD216" s="214"/>
      <c r="AE216" s="4"/>
      <c r="AF216" s="4"/>
      <c r="AG216" s="4"/>
      <c r="AH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 spans="1:48" ht="15.75" customHeight="1">
      <c r="A217" s="23" t="s">
        <v>298</v>
      </c>
      <c r="B217" s="4"/>
      <c r="C217" s="4"/>
      <c r="D217" s="262">
        <f>D211*(D187^2-D199^2)</f>
        <v>-10174.125000000002</v>
      </c>
      <c r="E217" s="5" t="s">
        <v>299</v>
      </c>
      <c r="F217" s="64"/>
      <c r="G217" s="4"/>
      <c r="H217" s="4"/>
      <c r="I217" s="4"/>
      <c r="J217" s="4"/>
      <c r="K217" s="4"/>
      <c r="L217" s="4"/>
      <c r="X217" s="64"/>
      <c r="Y217" s="64"/>
      <c r="Z217" s="4"/>
      <c r="AA217" s="4"/>
      <c r="AB217" s="4"/>
      <c r="AC217" s="223"/>
      <c r="AD217" s="223"/>
      <c r="AE217" s="4"/>
      <c r="AF217" s="4"/>
      <c r="AG217" s="4"/>
      <c r="AH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 spans="1:48" ht="15.75" customHeight="1">
      <c r="A218" s="5" t="s">
        <v>300</v>
      </c>
      <c r="B218" s="4"/>
      <c r="C218" s="4"/>
      <c r="D218" s="254">
        <f>(-D216+SQRT(D216^2-4*D215*D217))/2/D215</f>
        <v>6.006142169926082E-2</v>
      </c>
      <c r="E218" s="5" t="s">
        <v>79</v>
      </c>
      <c r="F218" s="64" t="s">
        <v>301</v>
      </c>
      <c r="G218" s="4"/>
      <c r="H218" s="31" t="s">
        <v>302</v>
      </c>
      <c r="I218" s="215">
        <f>D211*(D199^2-(D218+D187)^2)/D181/(4*D218^2+4*D187*D218)</f>
        <v>154919.33384829675</v>
      </c>
      <c r="J218" s="23" t="s">
        <v>216</v>
      </c>
      <c r="K218" s="6" t="s">
        <v>303</v>
      </c>
      <c r="L218" s="4"/>
      <c r="X218" s="4"/>
      <c r="Y218" s="4"/>
      <c r="Z218" s="4"/>
      <c r="AA218" s="4"/>
      <c r="AB218" s="4"/>
      <c r="AC218" s="223"/>
      <c r="AD218" s="223"/>
      <c r="AE218" s="4"/>
      <c r="AF218" s="4"/>
      <c r="AG218" s="4"/>
      <c r="AH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spans="1:48" ht="15.75" customHeight="1">
      <c r="A219" s="5" t="s">
        <v>304</v>
      </c>
      <c r="B219" s="4"/>
      <c r="C219" s="4"/>
      <c r="D219" s="254">
        <v>0.15</v>
      </c>
      <c r="E219" s="5" t="s">
        <v>79</v>
      </c>
      <c r="F219" s="6" t="s">
        <v>305</v>
      </c>
      <c r="G219" s="4"/>
      <c r="H219" s="4"/>
      <c r="I219" s="4"/>
      <c r="J219" s="4"/>
      <c r="K219" s="4"/>
      <c r="L219" s="4"/>
      <c r="Y219" s="5"/>
      <c r="Z219" s="5"/>
      <c r="AA219" s="4"/>
      <c r="AB219" s="4"/>
      <c r="AC219" s="223"/>
      <c r="AD219" s="223"/>
      <c r="AE219" s="4"/>
      <c r="AF219" s="4"/>
      <c r="AG219" s="4"/>
      <c r="AH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spans="1:48" ht="15.75" customHeight="1">
      <c r="Y220" s="4"/>
      <c r="Z220" s="4"/>
      <c r="AA220" s="4"/>
      <c r="AB220" s="4"/>
      <c r="AC220" s="223"/>
      <c r="AD220" s="223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 spans="1:48" ht="15.75" customHeight="1">
      <c r="A221" s="5" t="s">
        <v>306</v>
      </c>
      <c r="B221" s="4"/>
      <c r="D221" s="229">
        <v>0.15</v>
      </c>
      <c r="E221" s="5" t="s">
        <v>79</v>
      </c>
      <c r="F221" s="265"/>
      <c r="G221" s="4"/>
      <c r="H221" s="4"/>
      <c r="AC221" s="4"/>
      <c r="AD221" s="266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 spans="1:48" ht="15.75" customHeight="1">
      <c r="A222" s="5" t="s">
        <v>307</v>
      </c>
      <c r="B222" s="4"/>
      <c r="D222" s="199">
        <f>D221+D200</f>
        <v>0.22499999999999998</v>
      </c>
      <c r="E222" s="5" t="s">
        <v>79</v>
      </c>
      <c r="F222" s="6" t="s">
        <v>308</v>
      </c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 spans="1:48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AC223" s="221"/>
      <c r="AD223" s="267"/>
      <c r="AE223" s="17"/>
      <c r="AF223" s="5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 spans="1:48" ht="15.75" customHeight="1">
      <c r="A224" s="1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spans="1:48" ht="15.75" customHeight="1">
      <c r="A225" s="17" t="s">
        <v>309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 spans="1:48" ht="15.75" customHeight="1">
      <c r="A226" s="5" t="s">
        <v>310</v>
      </c>
      <c r="B226" s="4"/>
      <c r="C226" s="4"/>
      <c r="D226" s="230">
        <v>0.2</v>
      </c>
      <c r="E226" s="5" t="s">
        <v>79</v>
      </c>
      <c r="F226" s="4"/>
      <c r="G226" s="4"/>
      <c r="H226" s="4"/>
      <c r="I226" s="4"/>
      <c r="J226" s="4"/>
      <c r="K226" s="4"/>
      <c r="S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 spans="1:48" ht="15.75" customHeight="1">
      <c r="A227" s="5" t="s">
        <v>311</v>
      </c>
      <c r="B227" s="4"/>
      <c r="C227" s="4"/>
      <c r="D227" s="230">
        <v>0.2</v>
      </c>
      <c r="E227" s="5" t="s">
        <v>79</v>
      </c>
      <c r="F227" s="4"/>
      <c r="G227" s="4"/>
      <c r="H227" s="4"/>
      <c r="I227" s="4"/>
      <c r="J227" s="4"/>
      <c r="K227" s="4"/>
      <c r="S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 spans="1:48" ht="15.75" customHeight="1">
      <c r="A228" s="5" t="s">
        <v>312</v>
      </c>
      <c r="B228" s="4"/>
      <c r="C228" s="4"/>
      <c r="D228" s="230">
        <v>2.6</v>
      </c>
      <c r="E228" s="5" t="s">
        <v>79</v>
      </c>
      <c r="F228" s="4"/>
      <c r="G228" s="4"/>
      <c r="H228" s="4"/>
      <c r="I228" s="4"/>
      <c r="J228" s="4"/>
      <c r="K228" s="4"/>
      <c r="S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 spans="1:48" ht="15.75" customHeight="1">
      <c r="A229" s="5" t="s">
        <v>16</v>
      </c>
      <c r="B229" s="4"/>
      <c r="C229" s="4"/>
      <c r="D229" s="268">
        <v>2400</v>
      </c>
      <c r="E229" s="5" t="s">
        <v>13</v>
      </c>
      <c r="F229" s="4"/>
      <c r="G229" s="4"/>
      <c r="H229" s="4"/>
      <c r="I229" s="4"/>
      <c r="J229" s="4"/>
      <c r="K229" s="4"/>
      <c r="S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 spans="1:48" ht="15.75" customHeight="1">
      <c r="A230" s="5" t="s">
        <v>313</v>
      </c>
      <c r="B230" s="4"/>
      <c r="C230" s="4"/>
      <c r="D230" s="269">
        <v>16</v>
      </c>
      <c r="E230" s="5" t="s">
        <v>48</v>
      </c>
      <c r="F230" s="4"/>
      <c r="G230" s="4"/>
      <c r="H230" s="4"/>
      <c r="I230" s="4"/>
      <c r="J230" s="4"/>
      <c r="K230" s="4"/>
      <c r="S230" s="4"/>
      <c r="T230" s="4"/>
      <c r="U230" s="4"/>
      <c r="V230" s="4"/>
      <c r="W230" s="4"/>
      <c r="X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spans="1:48" ht="15.75" customHeight="1">
      <c r="A231" s="5" t="s">
        <v>314</v>
      </c>
      <c r="B231" s="4"/>
      <c r="C231" s="4"/>
      <c r="D231" s="269">
        <v>6</v>
      </c>
      <c r="E231" s="5" t="s">
        <v>48</v>
      </c>
      <c r="F231" s="4"/>
      <c r="G231" s="4"/>
      <c r="H231" s="4"/>
      <c r="I231" s="4"/>
      <c r="J231" s="4"/>
      <c r="K231" s="4"/>
      <c r="S231" s="4"/>
      <c r="T231" s="4"/>
      <c r="U231" s="4"/>
      <c r="V231" s="4"/>
      <c r="W231" s="4"/>
      <c r="X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S232" s="4"/>
      <c r="T232" s="4"/>
      <c r="U232" s="4"/>
      <c r="V232" s="4"/>
      <c r="W232" s="4"/>
      <c r="X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 spans="1:48" ht="15.75" customHeight="1">
      <c r="A233" s="4"/>
      <c r="B233" s="221" t="s">
        <v>315</v>
      </c>
      <c r="C233" s="221" t="s">
        <v>316</v>
      </c>
      <c r="D233" s="221" t="s">
        <v>317</v>
      </c>
      <c r="E233" s="221" t="s">
        <v>318</v>
      </c>
      <c r="F233" s="221" t="s">
        <v>319</v>
      </c>
      <c r="G233" s="4"/>
      <c r="H233" s="4"/>
      <c r="I233" s="4"/>
      <c r="J233" s="4"/>
      <c r="K233" s="4"/>
      <c r="S233" s="4"/>
      <c r="T233" s="4"/>
      <c r="U233" s="4"/>
      <c r="V233" s="4"/>
      <c r="W233" s="4"/>
      <c r="X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ht="15.75" customHeight="1">
      <c r="A234" s="55" t="s">
        <v>320</v>
      </c>
      <c r="B234" s="223">
        <f>8*D230/1000</f>
        <v>0.128</v>
      </c>
      <c r="C234" s="223">
        <f>24*D231/1000</f>
        <v>0.14399999999999999</v>
      </c>
      <c r="D234" s="223">
        <f>D227/2</f>
        <v>0.1</v>
      </c>
      <c r="E234" s="223">
        <v>0.3</v>
      </c>
      <c r="F234" s="270">
        <f>MIN(B234:E234)</f>
        <v>0.1</v>
      </c>
      <c r="G234" s="4"/>
      <c r="H234" s="4"/>
      <c r="I234" s="4"/>
      <c r="J234" s="4"/>
      <c r="K234" s="4"/>
      <c r="S234" s="4"/>
      <c r="T234" s="4"/>
      <c r="U234" s="4"/>
      <c r="V234" s="4"/>
      <c r="W234" s="4"/>
      <c r="X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S235" s="4"/>
      <c r="T235" s="4"/>
      <c r="U235" s="4"/>
      <c r="V235" s="4"/>
      <c r="W235" s="4"/>
      <c r="X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spans="1:48" ht="15.75" customHeight="1">
      <c r="A236" s="4"/>
      <c r="B236" s="221" t="s">
        <v>321</v>
      </c>
      <c r="C236" s="221" t="s">
        <v>322</v>
      </c>
      <c r="D236" s="221" t="s">
        <v>318</v>
      </c>
      <c r="E236" s="4"/>
      <c r="F236" s="221" t="s">
        <v>323</v>
      </c>
      <c r="G236" s="4"/>
      <c r="H236" s="4"/>
      <c r="I236" s="4"/>
      <c r="J236" s="4"/>
      <c r="K236" s="4"/>
      <c r="S236" s="4"/>
      <c r="T236" s="4"/>
      <c r="U236" s="4"/>
      <c r="V236" s="4"/>
      <c r="W236" s="4"/>
      <c r="X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spans="1:48" ht="15.75" customHeight="1">
      <c r="A237" s="55" t="s">
        <v>324</v>
      </c>
      <c r="B237" s="223">
        <f>D228/6</f>
        <v>0.43333333333333335</v>
      </c>
      <c r="C237" s="223">
        <f>D226</f>
        <v>0.2</v>
      </c>
      <c r="D237" s="223">
        <v>0.5</v>
      </c>
      <c r="E237" s="223"/>
      <c r="F237" s="270">
        <f>MAX(B237:D237)</f>
        <v>0.5</v>
      </c>
      <c r="G237" s="4"/>
      <c r="H237" s="4"/>
      <c r="I237" s="4"/>
      <c r="J237" s="4"/>
      <c r="K237" s="4"/>
      <c r="S237" s="4"/>
      <c r="T237" s="4"/>
      <c r="U237" s="4"/>
      <c r="V237" s="4"/>
      <c r="W237" s="4"/>
      <c r="X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S238" s="4"/>
      <c r="T238" s="4"/>
      <c r="U238" s="4"/>
      <c r="V238" s="4"/>
      <c r="W238" s="4"/>
      <c r="X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spans="1:48" ht="15.75" customHeight="1">
      <c r="A239" s="4"/>
      <c r="B239" s="4"/>
      <c r="C239" s="4"/>
      <c r="D239" s="55" t="s">
        <v>325</v>
      </c>
      <c r="E239" s="94" t="s">
        <v>326</v>
      </c>
      <c r="F239" s="270">
        <f>2*F234</f>
        <v>0.2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S239" s="4"/>
      <c r="T239" s="4"/>
      <c r="U239" s="4"/>
      <c r="V239" s="4"/>
      <c r="W239" s="4"/>
      <c r="X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spans="1:48" ht="15.75" customHeight="1">
      <c r="A240" s="4"/>
      <c r="B240" s="4"/>
      <c r="C240" s="4"/>
      <c r="D240" s="55" t="s">
        <v>327</v>
      </c>
      <c r="E240" s="94" t="s">
        <v>326</v>
      </c>
      <c r="F240" s="270">
        <f>D228-2*F237</f>
        <v>1.6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spans="1:48" ht="15.75" customHeight="1">
      <c r="A241" s="4"/>
      <c r="B241" s="4"/>
      <c r="C241" s="4"/>
      <c r="D241" s="55" t="s">
        <v>328</v>
      </c>
      <c r="E241" s="94" t="s">
        <v>326</v>
      </c>
      <c r="F241" s="270">
        <f>0.5*F234</f>
        <v>0.05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 spans="1:48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 spans="1:48" ht="15.75" customHeight="1">
      <c r="A243" s="4"/>
      <c r="B243" s="4"/>
      <c r="C243" s="4"/>
      <c r="D243" s="5" t="s">
        <v>329</v>
      </c>
      <c r="E243" s="4"/>
      <c r="F243" s="223">
        <f>3.5*D226*F234*10000/D229</f>
        <v>0.29166666666666674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 spans="1:48" ht="15.75" customHeight="1">
      <c r="A244" s="4"/>
      <c r="B244" s="4"/>
      <c r="C244" s="4"/>
      <c r="D244" s="5" t="s">
        <v>279</v>
      </c>
      <c r="E244" s="4"/>
      <c r="F244" s="223">
        <f>PI()*(D231/10)^2/4</f>
        <v>0.28274333882308139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 spans="1:48" ht="15.75" customHeight="1">
      <c r="A245" s="4"/>
      <c r="B245" s="4"/>
      <c r="C245" s="4"/>
      <c r="D245" s="5" t="s">
        <v>280</v>
      </c>
      <c r="E245" s="4"/>
      <c r="F245" s="271">
        <f>F243/F244</f>
        <v>1.0315598163363588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 spans="1:48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spans="1:48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65" spans="1:48" ht="15.75" customHeight="1">
      <c r="A265" s="19" t="s">
        <v>330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 spans="1:48" ht="15.75" customHeight="1">
      <c r="A266" s="31" t="s">
        <v>331</v>
      </c>
      <c r="B266" s="272" t="s">
        <v>176</v>
      </c>
      <c r="D266" s="6" t="s">
        <v>332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 spans="1:48" ht="15.75" customHeight="1">
      <c r="A267" s="31" t="s">
        <v>12</v>
      </c>
      <c r="B267" s="273">
        <f>fcu</f>
        <v>240</v>
      </c>
      <c r="C267" s="23" t="s">
        <v>13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 spans="1:48" ht="15.75" customHeight="1">
      <c r="A268" s="31" t="s">
        <v>199</v>
      </c>
      <c r="B268" s="226">
        <f>B17</f>
        <v>204</v>
      </c>
      <c r="C268" s="23" t="s">
        <v>13</v>
      </c>
      <c r="D268" s="6" t="s">
        <v>19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 spans="1:48" ht="15.75" customHeight="1">
      <c r="A269" s="31" t="s">
        <v>16</v>
      </c>
      <c r="B269" s="273">
        <f>IF(B266="RB",B14,F14)</f>
        <v>3000</v>
      </c>
      <c r="C269" s="23" t="s">
        <v>13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 spans="1:48" ht="15.75" customHeight="1">
      <c r="A270" s="31" t="s">
        <v>28</v>
      </c>
      <c r="B270" s="274">
        <f t="shared" ref="B270:B271" si="123">IF($B$266="RB",B22,F22)</f>
        <v>2.1674999999999996E-2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 spans="1:48" ht="15.75" customHeight="1">
      <c r="A271" s="31" t="s">
        <v>30</v>
      </c>
      <c r="B271" s="274">
        <f t="shared" si="123"/>
        <v>4.6666666666666671E-3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 spans="1:48" ht="18.75">
      <c r="A272" s="31" t="s">
        <v>333</v>
      </c>
      <c r="B272" s="226">
        <f>B19</f>
        <v>54.66164062499999</v>
      </c>
      <c r="C272" s="23" t="s">
        <v>13</v>
      </c>
    </row>
    <row r="273" spans="1:48" ht="15.75" customHeight="1">
      <c r="A273" s="31" t="s">
        <v>334</v>
      </c>
      <c r="B273" s="272" t="s">
        <v>47</v>
      </c>
      <c r="C273" s="4"/>
      <c r="D273" s="6" t="s">
        <v>332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 spans="1:48" ht="15.75" customHeight="1">
      <c r="A274" s="31" t="s">
        <v>32</v>
      </c>
      <c r="B274" s="274">
        <f>IF(B273="RB",B24,F24)</f>
        <v>2.5000000000000001E-3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 spans="1:48" ht="15.75" customHeight="1">
      <c r="A275" s="31"/>
      <c r="B275" s="3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 spans="1:48" ht="15.75" customHeight="1">
      <c r="A276" s="31" t="s">
        <v>40</v>
      </c>
      <c r="B276" s="226">
        <f t="shared" ref="B276:B277" si="124">B32</f>
        <v>1.4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 spans="1:48" ht="15.75" customHeight="1">
      <c r="A277" s="31" t="s">
        <v>42</v>
      </c>
      <c r="B277" s="226">
        <f t="shared" si="124"/>
        <v>1.7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 spans="1:48" ht="15.75" customHeight="1">
      <c r="A278" s="27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 spans="1:48" ht="15.75" customHeight="1">
      <c r="A279" s="31" t="s">
        <v>335</v>
      </c>
      <c r="B279" s="276">
        <v>2.5</v>
      </c>
      <c r="C279" s="23" t="s">
        <v>79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 spans="1:48" ht="15.75" customHeight="1">
      <c r="A280" s="31" t="s">
        <v>336</v>
      </c>
      <c r="B280" s="276">
        <v>0.25</v>
      </c>
      <c r="C280" s="23" t="s">
        <v>79</v>
      </c>
      <c r="D280" s="2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ht="15.75" customHeight="1">
      <c r="A281" s="31" t="s">
        <v>337</v>
      </c>
      <c r="B281" s="276">
        <v>0.15</v>
      </c>
      <c r="C281" s="23" t="s">
        <v>79</v>
      </c>
      <c r="D281" s="2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 spans="1:48" ht="15.75" customHeight="1">
      <c r="A282" s="31" t="s">
        <v>338</v>
      </c>
      <c r="B282" s="276">
        <v>0.03</v>
      </c>
      <c r="C282" s="23" t="s">
        <v>79</v>
      </c>
      <c r="D282" s="2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 spans="1:48" ht="15.75" customHeight="1">
      <c r="A283" s="31" t="s">
        <v>66</v>
      </c>
      <c r="B283" s="225">
        <v>200</v>
      </c>
      <c r="C283" s="6" t="s">
        <v>339</v>
      </c>
      <c r="D283" s="23" t="s">
        <v>340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 spans="1:48" ht="15.75" customHeight="1">
      <c r="A284" s="31"/>
      <c r="B284" s="35"/>
      <c r="C284" s="23"/>
      <c r="D284" s="2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 spans="1:48" ht="15.75" customHeight="1">
      <c r="A285" s="31" t="s">
        <v>341</v>
      </c>
      <c r="B285" s="223">
        <f>(B279/20)*(0.4+(B269/7000))</f>
        <v>0.10357142857142856</v>
      </c>
      <c r="C285" s="23" t="s">
        <v>79</v>
      </c>
      <c r="D285" s="6" t="s">
        <v>342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 spans="1:48" ht="15.75" customHeight="1">
      <c r="A286" s="31" t="s">
        <v>343</v>
      </c>
      <c r="B286" s="276">
        <v>0.12</v>
      </c>
      <c r="C286" s="23" t="s">
        <v>79</v>
      </c>
      <c r="D286" s="6" t="s">
        <v>344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 spans="1:48" ht="15.75" customHeight="1">
      <c r="A287" s="31" t="s">
        <v>127</v>
      </c>
      <c r="B287" s="223">
        <f>B286-B282</f>
        <v>0.09</v>
      </c>
      <c r="C287" s="23" t="s">
        <v>79</v>
      </c>
      <c r="D287" s="6" t="s">
        <v>345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 spans="1:48" ht="15.75" customHeight="1">
      <c r="A288" s="31" t="s">
        <v>346</v>
      </c>
      <c r="B288" s="224">
        <f>2400*((B286/B280)*SQRT(B281^2+B280^2)+0.5*B281)</f>
        <v>515.86282914308924</v>
      </c>
      <c r="C288" s="23" t="s">
        <v>67</v>
      </c>
      <c r="D288" s="6" t="s">
        <v>347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 spans="1:48" ht="15.75" customHeight="1">
      <c r="A289" s="31" t="s">
        <v>348</v>
      </c>
      <c r="B289" s="224">
        <f>1.4*B288+1.7*B283</f>
        <v>1062.2079608003251</v>
      </c>
      <c r="C289" s="23" t="s">
        <v>297</v>
      </c>
      <c r="D289" s="6" t="s">
        <v>349</v>
      </c>
      <c r="E289" s="4"/>
      <c r="F289" s="6" t="s">
        <v>350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 spans="1:48" ht="15.75" customHeight="1">
      <c r="A290" s="31" t="s">
        <v>101</v>
      </c>
      <c r="B290" s="224">
        <f>B289*B279^2/8</f>
        <v>829.84996937525398</v>
      </c>
      <c r="C290" s="23" t="s">
        <v>95</v>
      </c>
      <c r="D290" s="6" t="s">
        <v>351</v>
      </c>
      <c r="E290" s="4"/>
      <c r="F290" s="6" t="s">
        <v>350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 spans="1:48" ht="15.75" customHeight="1">
      <c r="A291" s="31" t="s">
        <v>124</v>
      </c>
      <c r="B291" s="224">
        <f>B29*B272*(B287*100)^2</f>
        <v>3984.8336015624991</v>
      </c>
      <c r="C291" s="23" t="s">
        <v>95</v>
      </c>
      <c r="D291" s="6" t="s">
        <v>352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 spans="1:48" ht="15.75" customHeight="1">
      <c r="A292" s="31" t="s">
        <v>101</v>
      </c>
      <c r="B292" s="277" t="str">
        <f>IF(B290&lt;=B291,"&lt;","&gt;")</f>
        <v>&lt;</v>
      </c>
      <c r="C292" s="23" t="s">
        <v>353</v>
      </c>
      <c r="D292" s="4" t="str">
        <f>IF(B290&lt;=B291,"ความหนาใช้ได้","เปลี่ยนความหนา")</f>
        <v>ความหนาใช้ได้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 spans="1:48" ht="15.75" customHeight="1">
      <c r="A293" s="31" t="s">
        <v>102</v>
      </c>
      <c r="B293" s="35">
        <f>B290/B29/(B287*100)^2</f>
        <v>11.383401500346418</v>
      </c>
      <c r="C293" s="23" t="s">
        <v>13</v>
      </c>
      <c r="D293" s="6" t="s">
        <v>354</v>
      </c>
      <c r="E293" s="4"/>
      <c r="F293" s="6" t="s">
        <v>350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 spans="1:48" ht="15.75" customHeight="1">
      <c r="A294" s="31" t="s">
        <v>355</v>
      </c>
      <c r="B294" s="261">
        <f>(B268/B269)*(1-SQRT(1-2*B293/B268))</f>
        <v>3.9066893871316025E-3</v>
      </c>
      <c r="C294" s="4"/>
      <c r="D294" s="6" t="s">
        <v>105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 spans="1:48" ht="15.75" customHeight="1">
      <c r="A295" s="31" t="s">
        <v>104</v>
      </c>
      <c r="B295" s="261">
        <f>IF(B294&gt;B271,B294,B271)</f>
        <v>4.6666666666666671E-3</v>
      </c>
      <c r="C295" s="4"/>
      <c r="D295" s="23" t="s">
        <v>356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ht="15.75" customHeight="1">
      <c r="A296" s="23" t="s">
        <v>357</v>
      </c>
      <c r="B296" s="223"/>
      <c r="C296" s="59"/>
      <c r="D296" s="6"/>
      <c r="E296" s="4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 spans="1:48" ht="15.75" customHeight="1">
      <c r="A297" s="31" t="s">
        <v>107</v>
      </c>
      <c r="B297" s="223">
        <f>B295*100*(B287*100)</f>
        <v>4.2</v>
      </c>
      <c r="C297" s="278" t="s">
        <v>358</v>
      </c>
      <c r="D297" s="6" t="s">
        <v>359</v>
      </c>
      <c r="E297" s="4"/>
      <c r="F297" s="6" t="s">
        <v>360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 spans="1:48" ht="15.75" customHeight="1">
      <c r="A298" s="31" t="s">
        <v>361</v>
      </c>
      <c r="B298" s="272">
        <v>12</v>
      </c>
      <c r="C298" s="23" t="s">
        <v>48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 spans="1:48" ht="15.75" customHeight="1">
      <c r="A299" s="31" t="s">
        <v>279</v>
      </c>
      <c r="B299" s="223">
        <f>PI()*(B298/10)^2/4</f>
        <v>1.1309733552923256</v>
      </c>
      <c r="C299" s="59" t="s">
        <v>53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 spans="1:48" ht="15.75" customHeight="1">
      <c r="A300" s="31" t="s">
        <v>362</v>
      </c>
      <c r="B300" s="245">
        <f>B299/B297</f>
        <v>0.26927937030769655</v>
      </c>
      <c r="C300" s="23" t="s">
        <v>79</v>
      </c>
      <c r="D300" s="6" t="s">
        <v>363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 spans="1:48" ht="15.75" customHeight="1">
      <c r="A301" s="23" t="s">
        <v>364</v>
      </c>
      <c r="B301" s="27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 spans="1:48" ht="15.75" customHeight="1">
      <c r="A302" s="31" t="s">
        <v>365</v>
      </c>
      <c r="B302" s="223">
        <f>B274*100*B286*100</f>
        <v>3</v>
      </c>
      <c r="C302" s="278" t="s">
        <v>358</v>
      </c>
      <c r="D302" s="6" t="s">
        <v>366</v>
      </c>
      <c r="E302" s="4"/>
      <c r="F302" s="6" t="s">
        <v>360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 spans="1:48" ht="15.75" customHeight="1">
      <c r="A303" s="31" t="s">
        <v>361</v>
      </c>
      <c r="B303" s="272">
        <v>9</v>
      </c>
      <c r="C303" s="23" t="s">
        <v>48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 spans="1:48" ht="15.75" customHeight="1">
      <c r="A304" s="31" t="s">
        <v>279</v>
      </c>
      <c r="B304" s="223">
        <f>PI()*(B303/10)^2/4</f>
        <v>0.63617251235193317</v>
      </c>
      <c r="C304" s="59" t="s">
        <v>53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ht="15.75" customHeight="1">
      <c r="A305" s="31" t="s">
        <v>362</v>
      </c>
      <c r="B305" s="245">
        <f>B304/B302</f>
        <v>0.21205750411731106</v>
      </c>
      <c r="C305" s="23" t="s">
        <v>79</v>
      </c>
      <c r="D305" s="6" t="s">
        <v>363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 spans="1:48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 spans="1:48" ht="15.75" customHeight="1">
      <c r="A307" s="23" t="s">
        <v>367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 spans="1:48" ht="15.75" customHeight="1">
      <c r="A308" s="31" t="s">
        <v>368</v>
      </c>
      <c r="B308" s="245">
        <f>B289*B279/2</f>
        <v>1327.7599510004063</v>
      </c>
      <c r="C308" s="23" t="s">
        <v>123</v>
      </c>
      <c r="D308" s="6" t="s">
        <v>369</v>
      </c>
      <c r="E308" s="7"/>
      <c r="F308" s="7"/>
      <c r="G308" s="7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 spans="1:48" ht="15.75" customHeight="1">
      <c r="A309" s="279" t="s">
        <v>370</v>
      </c>
      <c r="B309" s="280">
        <f>B308/1.4</f>
        <v>948.39996500029031</v>
      </c>
      <c r="C309" s="281" t="s">
        <v>123</v>
      </c>
      <c r="D309" s="282" t="s">
        <v>371</v>
      </c>
      <c r="E309" s="283"/>
      <c r="F309" s="283"/>
      <c r="G309" s="283"/>
      <c r="H309" s="283"/>
      <c r="I309" s="28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 spans="1:48" ht="15.75" customHeight="1">
      <c r="A310" s="31" t="s">
        <v>372</v>
      </c>
      <c r="B310" s="276">
        <v>3</v>
      </c>
      <c r="C310" s="23" t="s">
        <v>79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 spans="1:48" ht="15.75" customHeight="1">
      <c r="A311" s="31" t="s">
        <v>373</v>
      </c>
      <c r="B311" s="285">
        <v>0.2</v>
      </c>
      <c r="C311" s="23" t="s">
        <v>79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 spans="1:48" ht="15.75" customHeight="1">
      <c r="A312" s="31" t="s">
        <v>374</v>
      </c>
      <c r="B312" s="285">
        <v>0.25</v>
      </c>
      <c r="C312" s="23" t="s">
        <v>79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 spans="1:48" ht="15.75" customHeight="1">
      <c r="A313" s="31" t="s">
        <v>348</v>
      </c>
      <c r="B313" s="223">
        <f>B308+B276*2.4*B311*B312</f>
        <v>1327.9279510004062</v>
      </c>
      <c r="C313" s="23" t="s">
        <v>89</v>
      </c>
      <c r="D313" s="23" t="s">
        <v>375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 spans="1:48" ht="15.75" customHeight="1">
      <c r="A314" s="31" t="s">
        <v>125</v>
      </c>
      <c r="B314" s="245">
        <f>B313*B310/2</f>
        <v>1991.8919265006093</v>
      </c>
      <c r="C314" s="23" t="s">
        <v>126</v>
      </c>
      <c r="D314" s="246" t="s">
        <v>376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 spans="1:48" ht="15.75" customHeight="1">
      <c r="A315" s="31" t="s">
        <v>101</v>
      </c>
      <c r="B315" s="245">
        <f>B313*B310^2/8</f>
        <v>1493.9189448754569</v>
      </c>
      <c r="C315" s="194" t="s">
        <v>123</v>
      </c>
      <c r="D315" s="23" t="s">
        <v>377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 spans="1:48" ht="15.75" customHeight="1">
      <c r="A316" s="286" t="s">
        <v>378</v>
      </c>
      <c r="B316" s="284"/>
      <c r="C316" s="287"/>
      <c r="D316" s="281"/>
      <c r="E316" s="288"/>
      <c r="F316" s="31"/>
      <c r="G316" s="58"/>
      <c r="H316" s="23"/>
      <c r="I316" s="4"/>
      <c r="J316" s="4"/>
    </row>
    <row r="354" spans="1:10" ht="15.75" customHeight="1">
      <c r="A354" s="31"/>
      <c r="B354" s="4"/>
      <c r="C354" s="289"/>
      <c r="D354" s="23"/>
      <c r="E354" s="4"/>
      <c r="F354" s="4"/>
      <c r="G354" s="4"/>
      <c r="H354" s="4"/>
      <c r="I354" s="4"/>
      <c r="J354" s="4"/>
    </row>
    <row r="355" spans="1:10" ht="15.75" customHeight="1"/>
    <row r="356" spans="1:10" ht="15.75" customHeight="1"/>
    <row r="357" spans="1:10" ht="15.75" customHeight="1"/>
    <row r="358" spans="1:10" ht="15.75" customHeight="1"/>
    <row r="359" spans="1:10" ht="15.75" customHeight="1"/>
    <row r="360" spans="1:10" ht="15.75" customHeight="1"/>
    <row r="361" spans="1:10" ht="15.75" customHeight="1"/>
    <row r="362" spans="1:10" ht="15.75" customHeight="1"/>
    <row r="363" spans="1:10" ht="15.75" customHeight="1"/>
    <row r="364" spans="1:10" ht="15.75" customHeight="1"/>
    <row r="365" spans="1:10" ht="15.75" customHeight="1"/>
    <row r="366" spans="1:10" ht="15.75" customHeight="1"/>
    <row r="367" spans="1:10" ht="15.75" customHeight="1"/>
    <row r="368" spans="1:10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8">
    <mergeCell ref="E7:F7"/>
    <mergeCell ref="I58:K58"/>
    <mergeCell ref="AA159:AB159"/>
    <mergeCell ref="A1:B1"/>
    <mergeCell ref="A2:D2"/>
    <mergeCell ref="A3:D3"/>
    <mergeCell ref="A4:B4"/>
    <mergeCell ref="E6:F6"/>
  </mergeCells>
  <hyperlinks>
    <hyperlink ref="C297" r:id="rId1"/>
    <hyperlink ref="C302" r:id="rId2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03"/>
  <sheetViews>
    <sheetView tabSelected="1" workbookViewId="0"/>
  </sheetViews>
  <sheetFormatPr defaultColWidth="14.42578125" defaultRowHeight="15" customHeight="1"/>
  <cols>
    <col min="1" max="1" width="40.85546875" customWidth="1"/>
    <col min="4" max="4" width="15.7109375" customWidth="1"/>
    <col min="7" max="7" width="35.140625" customWidth="1"/>
    <col min="8" max="8" width="50.28515625" customWidth="1"/>
    <col min="9" max="9" width="15.28515625" customWidth="1"/>
  </cols>
  <sheetData>
    <row r="1" spans="1:17" ht="15" customHeight="1">
      <c r="A1" s="290" t="s">
        <v>379</v>
      </c>
      <c r="B1" s="4"/>
      <c r="C1" s="4"/>
      <c r="D1" s="4"/>
      <c r="E1" s="4"/>
      <c r="F1" s="4"/>
      <c r="I1" s="291" t="s">
        <v>17</v>
      </c>
      <c r="J1" s="292"/>
      <c r="K1" s="292"/>
      <c r="L1" s="292"/>
    </row>
    <row r="2" spans="1:17" ht="15" customHeight="1">
      <c r="A2" s="23" t="s">
        <v>380</v>
      </c>
      <c r="B2" s="293">
        <v>0.18</v>
      </c>
      <c r="C2" s="23" t="s">
        <v>79</v>
      </c>
      <c r="D2" s="4"/>
      <c r="E2" s="4"/>
      <c r="F2" s="4"/>
      <c r="I2" s="294" t="s">
        <v>12</v>
      </c>
      <c r="J2" s="295">
        <f>'แผ่นพื้น-คาน-เสา-ฐานรากวางบนดิน'!B12</f>
        <v>240</v>
      </c>
      <c r="K2" s="296" t="s">
        <v>13</v>
      </c>
      <c r="L2" s="292"/>
    </row>
    <row r="3" spans="1:17" ht="15" customHeight="1">
      <c r="A3" s="23" t="s">
        <v>381</v>
      </c>
      <c r="B3" s="30">
        <v>15</v>
      </c>
      <c r="C3" s="23" t="s">
        <v>382</v>
      </c>
      <c r="D3" s="4"/>
      <c r="E3" s="4"/>
      <c r="F3" s="4"/>
      <c r="I3" s="294" t="s">
        <v>16</v>
      </c>
      <c r="J3" s="23">
        <f>'แผ่นพื้น-คาน-เสา-ฐานรากวางบนดิน'!F14</f>
        <v>3000</v>
      </c>
      <c r="K3" s="296" t="s">
        <v>13</v>
      </c>
      <c r="L3" s="292"/>
    </row>
    <row r="4" spans="1:17" ht="15" customHeight="1">
      <c r="A4" s="23" t="s">
        <v>383</v>
      </c>
      <c r="B4" s="200">
        <v>11.255000000000001</v>
      </c>
      <c r="C4" s="23" t="s">
        <v>126</v>
      </c>
      <c r="D4" s="4"/>
      <c r="E4" s="4"/>
      <c r="F4" s="4"/>
      <c r="I4" s="292"/>
      <c r="J4" s="292"/>
      <c r="K4" s="292"/>
      <c r="L4" s="292"/>
    </row>
    <row r="5" spans="1:17" ht="15" customHeight="1">
      <c r="A5" s="5" t="s">
        <v>230</v>
      </c>
      <c r="B5" s="21">
        <v>20</v>
      </c>
      <c r="C5" s="5" t="s">
        <v>231</v>
      </c>
      <c r="D5" s="4"/>
      <c r="E5" s="4"/>
      <c r="F5" s="4"/>
      <c r="I5" s="31" t="s">
        <v>199</v>
      </c>
      <c r="J5" s="233">
        <f>'แผ่นพื้น-คาน-เสา-ฐานรากวางบนดิน'!B17</f>
        <v>204</v>
      </c>
      <c r="K5" s="23" t="s">
        <v>13</v>
      </c>
      <c r="L5" s="6" t="s">
        <v>19</v>
      </c>
      <c r="P5" s="4"/>
      <c r="Q5" s="4"/>
    </row>
    <row r="6" spans="1:17" ht="15" customHeight="1">
      <c r="A6" s="23" t="s">
        <v>384</v>
      </c>
      <c r="B6" s="200">
        <v>7.4999999999999997E-2</v>
      </c>
      <c r="C6" s="23" t="s">
        <v>79</v>
      </c>
      <c r="E6" s="4"/>
      <c r="F6" s="4"/>
      <c r="I6" s="31" t="s">
        <v>28</v>
      </c>
      <c r="J6" s="235">
        <f>'แผ่นพื้น-คาน-เสา-ฐานรากวางบนดิน'!D177</f>
        <v>2.1674999999999996E-2</v>
      </c>
      <c r="K6" s="5"/>
      <c r="L6" s="4"/>
      <c r="O6" s="4"/>
      <c r="P6" s="4"/>
      <c r="Q6" s="4"/>
    </row>
    <row r="7" spans="1:17" ht="15" customHeight="1">
      <c r="A7" s="5"/>
      <c r="B7" s="297"/>
      <c r="C7" s="5"/>
      <c r="D7" s="4"/>
      <c r="E7" s="4"/>
      <c r="F7" s="4"/>
      <c r="I7" s="31" t="s">
        <v>32</v>
      </c>
      <c r="J7" s="235">
        <f>'แผ่นพื้น-คาน-เสา-ฐานรากวางบนดิน'!D178</f>
        <v>2E-3</v>
      </c>
      <c r="K7" s="5"/>
      <c r="L7" s="4"/>
      <c r="O7" s="4"/>
      <c r="P7" s="4"/>
      <c r="Q7" s="4"/>
    </row>
    <row r="8" spans="1:17" ht="15" customHeight="1">
      <c r="A8" s="23" t="s">
        <v>385</v>
      </c>
      <c r="B8" s="242">
        <f>0.2*B4</f>
        <v>2.2510000000000003</v>
      </c>
      <c r="C8" s="5" t="s">
        <v>126</v>
      </c>
      <c r="D8" s="4"/>
      <c r="E8" s="4"/>
      <c r="F8" s="4"/>
      <c r="I8" s="31" t="s">
        <v>22</v>
      </c>
      <c r="J8" s="236">
        <f>'แผ่นพื้น-คาน-เสา-ฐานรากวางบนดิน'!D179</f>
        <v>54.66164062499999</v>
      </c>
      <c r="K8" s="5" t="s">
        <v>13</v>
      </c>
      <c r="L8" s="4"/>
      <c r="O8" s="4"/>
      <c r="P8" s="4"/>
      <c r="Q8" s="4"/>
    </row>
    <row r="9" spans="1:17" ht="15" customHeight="1">
      <c r="A9" s="23" t="s">
        <v>233</v>
      </c>
      <c r="B9" s="251">
        <f>B4+B8</f>
        <v>13.506</v>
      </c>
      <c r="C9" s="5" t="s">
        <v>126</v>
      </c>
      <c r="D9" s="6" t="s">
        <v>386</v>
      </c>
      <c r="E9" s="4"/>
      <c r="F9" s="4"/>
      <c r="G9" s="4"/>
      <c r="I9" s="31" t="s">
        <v>35</v>
      </c>
      <c r="J9" s="237">
        <f>'แผ่นพื้น-คาน-เสา-ฐานรากวางบนดิน'!D180</f>
        <v>0.9</v>
      </c>
      <c r="K9" s="5"/>
      <c r="L9" s="238"/>
      <c r="O9" s="4"/>
      <c r="P9" s="4"/>
      <c r="Q9" s="4"/>
    </row>
    <row r="10" spans="1:17" ht="15" customHeight="1">
      <c r="A10" s="23" t="s">
        <v>387</v>
      </c>
      <c r="B10" s="298">
        <f>B9/B3</f>
        <v>0.90039999999999998</v>
      </c>
      <c r="C10" s="23" t="s">
        <v>388</v>
      </c>
      <c r="D10" s="23" t="s">
        <v>389</v>
      </c>
      <c r="F10" s="4"/>
      <c r="I10" s="31" t="s">
        <v>37</v>
      </c>
      <c r="J10" s="236">
        <f>'แผ่นพื้น-คาน-เสา-ฐานรากวางบนดิน'!D181</f>
        <v>0.85</v>
      </c>
      <c r="K10" s="5"/>
      <c r="L10" s="239"/>
      <c r="O10" s="4"/>
      <c r="P10" s="4"/>
      <c r="Q10" s="4"/>
    </row>
    <row r="11" spans="1:17" ht="15" customHeight="1">
      <c r="A11" s="23"/>
      <c r="B11" s="23"/>
      <c r="C11" s="23"/>
      <c r="D11" s="6"/>
      <c r="E11" s="4"/>
      <c r="F11" s="4"/>
      <c r="I11" s="55" t="s">
        <v>214</v>
      </c>
      <c r="J11" s="242">
        <f>'แผ่นพื้น-คาน-เสา-ฐานรากวางบนดิน'!D182</f>
        <v>8.2107246939597243</v>
      </c>
      <c r="K11" s="5" t="s">
        <v>13</v>
      </c>
      <c r="L11" s="239" t="s">
        <v>215</v>
      </c>
      <c r="O11" s="4"/>
      <c r="P11" s="4"/>
      <c r="Q11" s="4"/>
    </row>
    <row r="12" spans="1:17" ht="15" customHeight="1">
      <c r="A12" s="23" t="s">
        <v>390</v>
      </c>
      <c r="B12" s="293">
        <v>0.2</v>
      </c>
      <c r="C12" s="23" t="s">
        <v>79</v>
      </c>
      <c r="D12" s="6" t="s">
        <v>391</v>
      </c>
      <c r="E12" s="4"/>
      <c r="F12" s="4"/>
      <c r="I12" s="55"/>
      <c r="J12" s="243">
        <f>J11*10000</f>
        <v>82107.246939597244</v>
      </c>
      <c r="K12" s="5" t="s">
        <v>216</v>
      </c>
      <c r="L12" s="5"/>
      <c r="O12" s="4"/>
      <c r="P12" s="4"/>
      <c r="Q12" s="4"/>
    </row>
    <row r="13" spans="1:17" ht="15" customHeight="1">
      <c r="A13" s="23" t="s">
        <v>392</v>
      </c>
      <c r="B13" s="299">
        <f>2*B12</f>
        <v>0.4</v>
      </c>
      <c r="C13" s="296" t="s">
        <v>79</v>
      </c>
      <c r="D13" s="6" t="s">
        <v>393</v>
      </c>
      <c r="E13" s="4"/>
      <c r="F13" s="4"/>
      <c r="I13" s="31" t="s">
        <v>218</v>
      </c>
      <c r="J13" s="242">
        <f>'แผ่นพื้น-คาน-เสา-ฐานรากวางบนดิน'!D184</f>
        <v>15.491933384829668</v>
      </c>
      <c r="K13" s="5" t="s">
        <v>13</v>
      </c>
      <c r="L13" s="6" t="s">
        <v>219</v>
      </c>
      <c r="O13" s="4"/>
      <c r="P13" s="4"/>
      <c r="Q13" s="4"/>
    </row>
    <row r="14" spans="1:17" ht="15" customHeight="1">
      <c r="A14" s="23" t="s">
        <v>249</v>
      </c>
      <c r="B14" s="58">
        <f>2*B12+5*B6</f>
        <v>0.77500000000000002</v>
      </c>
      <c r="C14" s="296" t="s">
        <v>79</v>
      </c>
      <c r="D14" s="6" t="s">
        <v>394</v>
      </c>
      <c r="E14" s="4"/>
      <c r="F14" s="4"/>
      <c r="I14" s="5"/>
      <c r="J14" s="243">
        <f>J13*10000</f>
        <v>154919.33384829669</v>
      </c>
      <c r="K14" s="5" t="s">
        <v>216</v>
      </c>
      <c r="L14" s="4"/>
      <c r="O14" s="4"/>
      <c r="P14" s="4"/>
      <c r="Q14" s="4"/>
    </row>
    <row r="15" spans="1:17" ht="15" customHeight="1">
      <c r="A15" s="23" t="s">
        <v>395</v>
      </c>
      <c r="B15" s="293">
        <v>0.8</v>
      </c>
      <c r="C15" s="23" t="s">
        <v>79</v>
      </c>
      <c r="D15" s="6" t="s">
        <v>396</v>
      </c>
      <c r="E15" s="4"/>
      <c r="F15" s="4"/>
      <c r="O15" s="4"/>
      <c r="P15" s="4"/>
      <c r="Q15" s="4"/>
    </row>
    <row r="16" spans="1:17" ht="15" customHeight="1">
      <c r="A16" s="4"/>
      <c r="B16" s="4"/>
      <c r="C16" s="4"/>
      <c r="D16" s="4"/>
      <c r="E16" s="4"/>
      <c r="F16" s="4"/>
      <c r="O16" s="4"/>
      <c r="P16" s="4"/>
      <c r="Q16" s="4"/>
    </row>
    <row r="17" spans="1:14" ht="15" customHeight="1">
      <c r="A17" s="23" t="s">
        <v>200</v>
      </c>
      <c r="B17" s="58">
        <f>2.4*B15^2*B13</f>
        <v>0.61440000000000017</v>
      </c>
      <c r="C17" s="23" t="s">
        <v>126</v>
      </c>
      <c r="D17" s="6" t="s">
        <v>397</v>
      </c>
      <c r="E17" s="4"/>
      <c r="F17" s="4"/>
    </row>
    <row r="18" spans="1:14" ht="15" customHeight="1">
      <c r="A18" s="23" t="s">
        <v>398</v>
      </c>
      <c r="B18" s="58">
        <f>B4+B17</f>
        <v>11.869400000000001</v>
      </c>
      <c r="C18" s="23" t="s">
        <v>126</v>
      </c>
      <c r="D18" s="277" t="str">
        <f>IF(B18&lt;=B3,"&lt;","&gt;")</f>
        <v>&lt;</v>
      </c>
      <c r="E18" s="300">
        <f>B3</f>
        <v>15</v>
      </c>
      <c r="F18" s="23" t="s">
        <v>126</v>
      </c>
      <c r="G18" s="301" t="str">
        <f>IF(B18&lt;=B3,"ผ่าน","ไม่ผ่าน")</f>
        <v>ผ่าน</v>
      </c>
    </row>
    <row r="19" spans="1:14" ht="15" customHeight="1">
      <c r="A19" s="4"/>
      <c r="B19" s="4"/>
      <c r="C19" s="4"/>
      <c r="D19" s="4"/>
      <c r="E19" s="4"/>
      <c r="F19" s="4"/>
    </row>
    <row r="20" spans="1:14" ht="15" customHeight="1">
      <c r="A20" s="23" t="s">
        <v>32</v>
      </c>
      <c r="B20" s="36">
        <f>IF($F$16&lt;4000,0.002,0.0018)</f>
        <v>2E-3</v>
      </c>
      <c r="C20" s="23"/>
      <c r="D20" s="4"/>
      <c r="E20" s="4"/>
      <c r="F20" s="4"/>
    </row>
    <row r="21" spans="1:14" ht="15" customHeight="1">
      <c r="A21" s="23" t="s">
        <v>263</v>
      </c>
      <c r="B21" s="58">
        <f>B20*B15*B13*10000</f>
        <v>6.4</v>
      </c>
      <c r="C21" s="59" t="s">
        <v>53</v>
      </c>
      <c r="D21" s="6" t="s">
        <v>399</v>
      </c>
      <c r="E21" s="4"/>
      <c r="F21" s="4"/>
    </row>
    <row r="22" spans="1:14" ht="15" customHeight="1">
      <c r="A22" s="23" t="s">
        <v>400</v>
      </c>
      <c r="B22" s="4"/>
      <c r="C22" s="4"/>
      <c r="D22" s="4"/>
      <c r="E22" s="4"/>
      <c r="F22" s="4"/>
    </row>
    <row r="23" spans="1:14" ht="15" customHeight="1">
      <c r="A23" s="31" t="s">
        <v>178</v>
      </c>
      <c r="B23" s="23">
        <v>8</v>
      </c>
      <c r="C23" s="23" t="s">
        <v>401</v>
      </c>
      <c r="D23" s="6" t="s">
        <v>402</v>
      </c>
      <c r="E23" s="4"/>
      <c r="F23" s="4"/>
    </row>
    <row r="24" spans="1:14" ht="15" customHeight="1">
      <c r="A24" s="31" t="s">
        <v>107</v>
      </c>
      <c r="B24" s="58">
        <f>B23*PI()</f>
        <v>25.132741228718345</v>
      </c>
      <c r="C24" s="59" t="s">
        <v>53</v>
      </c>
      <c r="D24" s="277" t="str">
        <f>IF(B24&gt;=B21,"&gt;","&lt;")</f>
        <v>&gt;</v>
      </c>
      <c r="E24" s="223">
        <f>B21</f>
        <v>6.4</v>
      </c>
      <c r="F24" s="4" t="str">
        <f>IF(B24&gt;=B21,"ผ่าน","ไม่ผ่าน")</f>
        <v>ผ่าน</v>
      </c>
      <c r="G24" s="317" t="s">
        <v>403</v>
      </c>
      <c r="H24" s="315"/>
    </row>
    <row r="25" spans="1:14" ht="15" customHeight="1">
      <c r="A25" s="31" t="s">
        <v>282</v>
      </c>
      <c r="B25" s="58">
        <f>IF(B23=8,(B15-2*B6)/2,IF(B23=16,(B15-2*B6)/4))</f>
        <v>0.32500000000000001</v>
      </c>
      <c r="C25" s="23" t="s">
        <v>79</v>
      </c>
      <c r="D25" s="277" t="str">
        <f>IF(B25&lt;=E25,"&lt;","&gt;")</f>
        <v>&lt;</v>
      </c>
      <c r="E25" s="34">
        <v>0.45</v>
      </c>
      <c r="F25" s="4" t="str">
        <f>IF(B25&lt;=E25,"ผ่าน","ไม่ผ่าน")</f>
        <v>ผ่าน</v>
      </c>
      <c r="G25" s="317" t="s">
        <v>404</v>
      </c>
      <c r="H25" s="315"/>
    </row>
    <row r="26" spans="1:14" ht="15" customHeight="1">
      <c r="A26" s="23" t="s">
        <v>405</v>
      </c>
    </row>
    <row r="27" spans="1:14" ht="15" customHeight="1">
      <c r="A27" s="4"/>
      <c r="B27" s="4"/>
      <c r="C27" s="4"/>
      <c r="D27" s="4"/>
      <c r="E27" s="4"/>
      <c r="F27" s="4"/>
    </row>
    <row r="28" spans="1:14" ht="15" customHeight="1">
      <c r="A28" s="4"/>
      <c r="B28" s="4"/>
      <c r="C28" s="4"/>
      <c r="D28" s="4"/>
      <c r="E28" s="4"/>
      <c r="F28" s="4"/>
    </row>
    <row r="29" spans="1:14" ht="15" customHeight="1">
      <c r="A29" s="290" t="s">
        <v>406</v>
      </c>
      <c r="B29" s="4"/>
      <c r="C29" s="4"/>
      <c r="D29" s="4"/>
      <c r="E29" s="4"/>
      <c r="F29" s="4"/>
    </row>
    <row r="30" spans="1:14" ht="15" customHeight="1">
      <c r="A30" s="19" t="s">
        <v>407</v>
      </c>
      <c r="B30" s="289"/>
      <c r="C30" s="23"/>
      <c r="D30" s="4"/>
      <c r="E30" s="4"/>
      <c r="F30" s="4"/>
      <c r="H30" s="19" t="s">
        <v>408</v>
      </c>
      <c r="N30" s="4"/>
    </row>
    <row r="31" spans="1:14" ht="15" customHeight="1">
      <c r="A31" s="23" t="s">
        <v>409</v>
      </c>
      <c r="B31" s="200">
        <v>33.079000000000001</v>
      </c>
      <c r="C31" s="23" t="s">
        <v>126</v>
      </c>
      <c r="D31" s="4"/>
      <c r="E31" s="4"/>
      <c r="F31" s="4"/>
      <c r="H31" s="302" t="s">
        <v>410</v>
      </c>
      <c r="I31" s="199">
        <f>B42*B34</f>
        <v>30</v>
      </c>
      <c r="J31" s="23" t="s">
        <v>126</v>
      </c>
      <c r="N31" s="4"/>
    </row>
    <row r="32" spans="1:14" ht="15" customHeight="1">
      <c r="A32" s="23" t="s">
        <v>383</v>
      </c>
      <c r="B32" s="200">
        <v>22.289000000000001</v>
      </c>
      <c r="C32" s="23" t="s">
        <v>126</v>
      </c>
      <c r="D32" s="6" t="s">
        <v>411</v>
      </c>
      <c r="H32" s="23" t="s">
        <v>200</v>
      </c>
      <c r="I32" s="58">
        <f>2.4*B69*B53*B65</f>
        <v>0.63</v>
      </c>
      <c r="J32" s="5" t="s">
        <v>126</v>
      </c>
      <c r="K32" s="6" t="s">
        <v>412</v>
      </c>
      <c r="N32" s="4"/>
    </row>
    <row r="33" spans="1:14" ht="15" customHeight="1">
      <c r="A33" s="23" t="s">
        <v>413</v>
      </c>
      <c r="B33" s="293">
        <v>0.18</v>
      </c>
      <c r="C33" s="23" t="s">
        <v>79</v>
      </c>
      <c r="D33" s="4"/>
      <c r="E33" s="4"/>
      <c r="F33" s="4"/>
      <c r="H33" s="246" t="s">
        <v>414</v>
      </c>
      <c r="I33" s="199">
        <f>B32+I32</f>
        <v>22.919</v>
      </c>
      <c r="J33" s="5" t="s">
        <v>126</v>
      </c>
      <c r="K33" s="6" t="s">
        <v>415</v>
      </c>
      <c r="N33" s="4"/>
    </row>
    <row r="34" spans="1:14" ht="15" customHeight="1">
      <c r="A34" s="23" t="s">
        <v>416</v>
      </c>
      <c r="B34" s="30">
        <v>15</v>
      </c>
      <c r="C34" s="23" t="s">
        <v>382</v>
      </c>
      <c r="D34" s="4"/>
      <c r="E34" s="4"/>
      <c r="F34" s="4"/>
      <c r="I34" s="19" t="str">
        <f>IF(I33&lt;=I31,"P &lt; 2Pa ผ่าน","P &gt; 2Pa ไม่ผ่าน")</f>
        <v>P &lt; 2Pa ผ่าน</v>
      </c>
      <c r="N34" s="4"/>
    </row>
    <row r="35" spans="1:14" ht="15" customHeight="1">
      <c r="A35" s="5" t="s">
        <v>230</v>
      </c>
      <c r="B35" s="21">
        <v>20</v>
      </c>
      <c r="C35" s="23" t="s">
        <v>417</v>
      </c>
      <c r="D35" s="4"/>
      <c r="E35" s="4"/>
      <c r="F35" s="4"/>
      <c r="H35" s="19" t="s">
        <v>418</v>
      </c>
      <c r="N35" s="4"/>
    </row>
    <row r="36" spans="1:14" ht="15" customHeight="1">
      <c r="A36" s="23" t="s">
        <v>223</v>
      </c>
      <c r="B36" s="293">
        <v>0.25</v>
      </c>
      <c r="C36" s="23" t="s">
        <v>79</v>
      </c>
      <c r="D36" s="4"/>
      <c r="H36" s="23" t="s">
        <v>204</v>
      </c>
      <c r="I36" s="58">
        <f>1.4*I32</f>
        <v>0.8819999999999999</v>
      </c>
      <c r="J36" s="23" t="s">
        <v>126</v>
      </c>
      <c r="K36" s="23" t="s">
        <v>419</v>
      </c>
      <c r="N36" s="4"/>
    </row>
    <row r="37" spans="1:14" ht="15" customHeight="1">
      <c r="A37" s="23" t="s">
        <v>384</v>
      </c>
      <c r="B37" s="200">
        <v>7.4999999999999997E-2</v>
      </c>
      <c r="C37" s="23" t="s">
        <v>79</v>
      </c>
      <c r="E37" s="4"/>
      <c r="F37" s="4"/>
      <c r="H37" s="246" t="s">
        <v>420</v>
      </c>
      <c r="I37" s="199">
        <f>B31+I36</f>
        <v>33.960999999999999</v>
      </c>
      <c r="J37" s="23" t="s">
        <v>126</v>
      </c>
      <c r="K37" s="6" t="s">
        <v>421</v>
      </c>
      <c r="N37" s="4"/>
    </row>
    <row r="38" spans="1:14" ht="15" customHeight="1">
      <c r="A38" s="19" t="s">
        <v>422</v>
      </c>
      <c r="E38" s="4"/>
      <c r="F38" s="4"/>
      <c r="H38" s="31" t="s">
        <v>423</v>
      </c>
      <c r="I38" s="199">
        <f>I37/2</f>
        <v>16.980499999999999</v>
      </c>
      <c r="J38" s="23" t="s">
        <v>382</v>
      </c>
      <c r="K38" s="23" t="s">
        <v>424</v>
      </c>
      <c r="N38" s="4"/>
    </row>
    <row r="39" spans="1:14" ht="15" customHeight="1">
      <c r="A39" s="23" t="s">
        <v>385</v>
      </c>
      <c r="B39" s="251">
        <f>(B35/100)*B32</f>
        <v>4.4578000000000007</v>
      </c>
      <c r="C39" s="5" t="s">
        <v>126</v>
      </c>
      <c r="D39" s="7" t="str">
        <f>(B35/100)&amp;"Pc"</f>
        <v>0.2Pc</v>
      </c>
      <c r="H39" s="19" t="s">
        <v>425</v>
      </c>
      <c r="I39" s="4"/>
      <c r="J39" s="4"/>
      <c r="K39" s="4"/>
      <c r="L39" s="4"/>
      <c r="M39" s="4"/>
      <c r="N39" s="4"/>
    </row>
    <row r="40" spans="1:14" ht="18.75">
      <c r="A40" s="23" t="s">
        <v>233</v>
      </c>
      <c r="B40" s="251">
        <f>B32+B39</f>
        <v>26.7468</v>
      </c>
      <c r="C40" s="5" t="s">
        <v>126</v>
      </c>
      <c r="D40" s="6" t="s">
        <v>386</v>
      </c>
      <c r="E40" s="4"/>
      <c r="F40" s="4"/>
      <c r="H40" s="31" t="s">
        <v>237</v>
      </c>
      <c r="I40" s="199">
        <f>J10*J14*(4*B64^2+4*B36*B64)/1000</f>
        <v>86.909746288894439</v>
      </c>
      <c r="J40" s="23" t="s">
        <v>126</v>
      </c>
      <c r="K40" s="249" t="s">
        <v>238</v>
      </c>
      <c r="L40" s="58"/>
      <c r="M40" s="4"/>
      <c r="N40" s="4"/>
    </row>
    <row r="41" spans="1:14" ht="18.75">
      <c r="A41" s="23" t="s">
        <v>426</v>
      </c>
      <c r="B41" s="256">
        <f>B40/B34</f>
        <v>1.78312</v>
      </c>
      <c r="C41" s="23" t="s">
        <v>388</v>
      </c>
      <c r="D41" s="6" t="s">
        <v>389</v>
      </c>
      <c r="E41" s="4"/>
      <c r="F41" s="4"/>
      <c r="G41" s="4"/>
      <c r="H41" s="31" t="s">
        <v>427</v>
      </c>
      <c r="I41" s="58">
        <f>(B36+B64)/2</f>
        <v>0.27500000000000002</v>
      </c>
      <c r="J41" s="23" t="s">
        <v>79</v>
      </c>
      <c r="K41" s="249" t="s">
        <v>428</v>
      </c>
      <c r="L41" s="58"/>
      <c r="M41" s="4"/>
      <c r="N41" s="4"/>
    </row>
    <row r="42" spans="1:14" ht="18.75">
      <c r="A42" s="23" t="s">
        <v>429</v>
      </c>
      <c r="B42" s="303">
        <v>2</v>
      </c>
      <c r="C42" s="23" t="s">
        <v>388</v>
      </c>
      <c r="F42" s="4"/>
      <c r="H42" s="31" t="s">
        <v>430</v>
      </c>
      <c r="I42" s="58">
        <f>(B50/2)-I41</f>
        <v>2.4999999999999967E-2</v>
      </c>
      <c r="J42" s="23" t="s">
        <v>79</v>
      </c>
      <c r="K42" s="249" t="s">
        <v>431</v>
      </c>
      <c r="L42" s="58"/>
      <c r="M42" s="4"/>
      <c r="N42" s="4"/>
    </row>
    <row r="43" spans="1:14" ht="18.75">
      <c r="A43" s="304" t="s">
        <v>432</v>
      </c>
      <c r="F43" s="4"/>
      <c r="H43" s="31" t="s">
        <v>433</v>
      </c>
      <c r="I43" s="58">
        <f>2*I38*(0.5+I42/B33)</f>
        <v>21.697305555555548</v>
      </c>
      <c r="J43" s="23" t="s">
        <v>126</v>
      </c>
      <c r="K43" s="249" t="s">
        <v>434</v>
      </c>
      <c r="L43" s="58"/>
      <c r="M43" s="4"/>
      <c r="N43" s="58"/>
    </row>
    <row r="44" spans="1:14" ht="18.75">
      <c r="A44" s="23" t="s">
        <v>435</v>
      </c>
      <c r="B44" s="199">
        <f>1.4*B39</f>
        <v>6.2409200000000009</v>
      </c>
      <c r="C44" s="23" t="s">
        <v>126</v>
      </c>
      <c r="D44" s="6" t="s">
        <v>436</v>
      </c>
      <c r="E44" s="4"/>
      <c r="F44" s="4"/>
      <c r="H44" s="31" t="s">
        <v>241</v>
      </c>
      <c r="I44" s="199">
        <f>IF(I43&lt;=2*I38,I43,2*I38)</f>
        <v>21.697305555555548</v>
      </c>
      <c r="J44" s="23" t="s">
        <v>126</v>
      </c>
      <c r="K44" s="296" t="s">
        <v>437</v>
      </c>
      <c r="L44" s="58"/>
      <c r="M44" s="4"/>
      <c r="N44" s="58"/>
    </row>
    <row r="45" spans="1:14" ht="18.75">
      <c r="A45" s="23" t="s">
        <v>243</v>
      </c>
      <c r="B45" s="199">
        <f>B31+B44</f>
        <v>39.319920000000003</v>
      </c>
      <c r="C45" s="23" t="s">
        <v>126</v>
      </c>
      <c r="D45" s="6" t="s">
        <v>438</v>
      </c>
      <c r="E45" s="4"/>
      <c r="F45" s="4"/>
      <c r="H45" s="31" t="s">
        <v>241</v>
      </c>
      <c r="I45" s="240" t="str">
        <f>IF(I44&lt;=I40,"&lt;","&gt;")</f>
        <v>&lt;</v>
      </c>
      <c r="J45" s="23" t="s">
        <v>237</v>
      </c>
      <c r="K45" s="241" t="str">
        <f>IF(I44&lt;=I40,"ผ่าน","ไม่ผ่าน")</f>
        <v>ผ่าน</v>
      </c>
      <c r="L45" s="4"/>
      <c r="M45" s="4"/>
      <c r="N45" s="58"/>
    </row>
    <row r="46" spans="1:14" ht="18.75">
      <c r="A46" s="31" t="s">
        <v>439</v>
      </c>
      <c r="B46" s="305">
        <f>B45/B42</f>
        <v>19.659960000000002</v>
      </c>
      <c r="C46" s="23" t="s">
        <v>382</v>
      </c>
      <c r="D46" s="6" t="s">
        <v>440</v>
      </c>
      <c r="E46" s="4"/>
      <c r="F46" s="4"/>
      <c r="H46" s="19" t="s">
        <v>441</v>
      </c>
      <c r="K46" s="4"/>
      <c r="L46" s="4"/>
      <c r="N46" s="58"/>
    </row>
    <row r="47" spans="1:14" ht="18.75">
      <c r="A47" s="19" t="s">
        <v>442</v>
      </c>
      <c r="E47" s="4"/>
      <c r="F47" s="4"/>
      <c r="H47" s="31" t="s">
        <v>225</v>
      </c>
      <c r="I47" s="199">
        <f>J10*J12*B69*B64/1000</f>
        <v>14.656143578718106</v>
      </c>
      <c r="J47" s="246" t="s">
        <v>126</v>
      </c>
      <c r="K47" s="247" t="s">
        <v>226</v>
      </c>
      <c r="N47" s="58"/>
    </row>
    <row r="48" spans="1:14" ht="18.75">
      <c r="A48" s="23" t="s">
        <v>443</v>
      </c>
      <c r="B48" s="293">
        <v>0.2</v>
      </c>
      <c r="C48" s="23" t="s">
        <v>79</v>
      </c>
      <c r="D48" s="6" t="s">
        <v>444</v>
      </c>
      <c r="E48" s="4"/>
      <c r="F48" s="4"/>
      <c r="H48" s="31" t="s">
        <v>427</v>
      </c>
      <c r="I48" s="58">
        <f>B36/2+B64</f>
        <v>0.42499999999999999</v>
      </c>
      <c r="J48" s="23" t="s">
        <v>79</v>
      </c>
      <c r="K48" s="249" t="s">
        <v>445</v>
      </c>
    </row>
    <row r="49" spans="1:15" ht="18.75">
      <c r="A49" s="23" t="s">
        <v>446</v>
      </c>
      <c r="B49" s="306">
        <f>3*B48</f>
        <v>0.60000000000000009</v>
      </c>
      <c r="C49" s="23" t="s">
        <v>79</v>
      </c>
      <c r="D49" s="6" t="s">
        <v>447</v>
      </c>
      <c r="E49" s="4"/>
      <c r="F49" s="4"/>
      <c r="H49" s="31" t="s">
        <v>430</v>
      </c>
      <c r="I49" s="58">
        <f>B50/2-I48</f>
        <v>-0.125</v>
      </c>
      <c r="J49" s="23" t="s">
        <v>79</v>
      </c>
      <c r="K49" s="249" t="s">
        <v>431</v>
      </c>
      <c r="M49" s="4"/>
    </row>
    <row r="50" spans="1:15" ht="18.75">
      <c r="A50" s="23" t="s">
        <v>448</v>
      </c>
      <c r="B50" s="293">
        <v>0.6</v>
      </c>
      <c r="C50" s="296" t="s">
        <v>79</v>
      </c>
      <c r="F50" s="4"/>
      <c r="H50" s="31" t="s">
        <v>449</v>
      </c>
      <c r="I50" s="58">
        <f>I38*(0.5+I49/B33)</f>
        <v>-3.3017638888888885</v>
      </c>
      <c r="J50" s="23" t="s">
        <v>126</v>
      </c>
      <c r="K50" s="249" t="s">
        <v>450</v>
      </c>
      <c r="M50" s="4"/>
    </row>
    <row r="51" spans="1:15" ht="18.75">
      <c r="A51" s="23" t="s">
        <v>451</v>
      </c>
      <c r="B51" s="306">
        <f>B48</f>
        <v>0.2</v>
      </c>
      <c r="C51" s="23" t="s">
        <v>79</v>
      </c>
      <c r="D51" s="6" t="s">
        <v>452</v>
      </c>
      <c r="F51" s="4"/>
      <c r="H51" s="31" t="s">
        <v>228</v>
      </c>
      <c r="I51" s="199">
        <f>IF(I50&gt;0,I50,0)</f>
        <v>0</v>
      </c>
      <c r="J51" s="23" t="s">
        <v>126</v>
      </c>
      <c r="K51" s="23" t="s">
        <v>453</v>
      </c>
      <c r="M51" s="4"/>
    </row>
    <row r="52" spans="1:15" ht="18.75">
      <c r="A52" s="23" t="s">
        <v>454</v>
      </c>
      <c r="B52" s="293">
        <v>0.2</v>
      </c>
      <c r="C52" s="23" t="s">
        <v>79</v>
      </c>
      <c r="E52" s="4"/>
      <c r="F52" s="4"/>
      <c r="H52" s="31" t="s">
        <v>228</v>
      </c>
      <c r="I52" s="307" t="str">
        <f>IF(I51&lt;=I47,"&lt;","&gt;")</f>
        <v>&lt;</v>
      </c>
      <c r="J52" s="246" t="s">
        <v>225</v>
      </c>
      <c r="K52" s="241" t="str">
        <f>IF(I51&lt;=I47,"ผ่าน","ไม่ผ่าน")</f>
        <v>ผ่าน</v>
      </c>
    </row>
    <row r="53" spans="1:15" ht="18.75">
      <c r="A53" s="31" t="s">
        <v>80</v>
      </c>
      <c r="B53" s="306">
        <f>B50+2*B52</f>
        <v>1</v>
      </c>
      <c r="C53" s="23" t="s">
        <v>79</v>
      </c>
      <c r="D53" s="6" t="s">
        <v>455</v>
      </c>
      <c r="E53" s="4"/>
      <c r="H53" s="19" t="s">
        <v>456</v>
      </c>
    </row>
    <row r="54" spans="1:15" ht="18.75">
      <c r="A54" s="19" t="s">
        <v>457</v>
      </c>
      <c r="H54" s="31" t="s">
        <v>124</v>
      </c>
      <c r="I54" s="199">
        <f>J9*J8*B69*(B64*100)^2/1000</f>
        <v>30.993150234374991</v>
      </c>
      <c r="J54" s="23" t="s">
        <v>123</v>
      </c>
      <c r="K54" s="249" t="s">
        <v>248</v>
      </c>
      <c r="O54" s="221"/>
    </row>
    <row r="55" spans="1:15" ht="18.75">
      <c r="A55" s="23" t="s">
        <v>458</v>
      </c>
      <c r="B55" s="30">
        <v>12</v>
      </c>
      <c r="C55" s="23" t="s">
        <v>48</v>
      </c>
      <c r="H55" s="31" t="s">
        <v>101</v>
      </c>
      <c r="I55" s="199">
        <f>I38*1000*(B50-B36)/2/1000</f>
        <v>2.9715874999999996</v>
      </c>
      <c r="J55" s="23" t="s">
        <v>123</v>
      </c>
      <c r="K55" s="6" t="s">
        <v>459</v>
      </c>
      <c r="O55" s="221"/>
    </row>
    <row r="56" spans="1:15" ht="18.75">
      <c r="A56" s="31" t="s">
        <v>266</v>
      </c>
      <c r="B56" s="58">
        <f>PI()*(B55/10)^2/4</f>
        <v>1.1309733552923256</v>
      </c>
      <c r="C56" s="23" t="s">
        <v>264</v>
      </c>
      <c r="H56" s="31" t="s">
        <v>101</v>
      </c>
      <c r="I56" s="240" t="str">
        <f>IF(I55&lt;=I54,"&lt;","&gt;")</f>
        <v>&lt;</v>
      </c>
      <c r="J56" s="246" t="s">
        <v>124</v>
      </c>
      <c r="K56" s="241" t="str">
        <f>IF(I55&lt;=I54,"ผ่าน","ไม่ผ่าน")</f>
        <v>ผ่าน</v>
      </c>
      <c r="O56" s="221"/>
    </row>
    <row r="57" spans="1:15" ht="18.75">
      <c r="A57" s="23" t="s">
        <v>460</v>
      </c>
      <c r="B57" s="256">
        <f>IF($J$3*(B55/10)/13.3/SQRT($J$2)&gt;30,$J$3*(B55/10)/13.3/SQRT($J$2),30)</f>
        <v>30</v>
      </c>
      <c r="C57" s="23" t="s">
        <v>63</v>
      </c>
      <c r="D57" s="6" t="s">
        <v>270</v>
      </c>
      <c r="G57" s="4"/>
      <c r="H57" s="19" t="s">
        <v>461</v>
      </c>
      <c r="I57" s="4"/>
      <c r="J57" s="4"/>
      <c r="K57" s="4"/>
      <c r="L57" s="58"/>
      <c r="O57" s="4"/>
    </row>
    <row r="58" spans="1:15" ht="18.75">
      <c r="A58" s="23" t="s">
        <v>462</v>
      </c>
      <c r="B58" s="256">
        <f>((B53-B36)/2 - B37)*100</f>
        <v>30</v>
      </c>
      <c r="C58" s="23" t="s">
        <v>63</v>
      </c>
      <c r="D58" s="6" t="s">
        <v>463</v>
      </c>
      <c r="G58" s="4"/>
      <c r="H58" s="308" t="s">
        <v>464</v>
      </c>
      <c r="O58" s="4"/>
    </row>
    <row r="59" spans="1:15" ht="18.75">
      <c r="A59" s="31" t="s">
        <v>275</v>
      </c>
      <c r="B59" s="240" t="str">
        <f>IF(B58&gt;=B57,"&gt;","&lt;")</f>
        <v>&gt;</v>
      </c>
      <c r="C59" s="23" t="s">
        <v>465</v>
      </c>
      <c r="D59" s="241" t="str">
        <f>IF(B57&lt;=B58,"ผ่าน","ไม่ผ่าน")</f>
        <v>ผ่าน</v>
      </c>
      <c r="E59" s="23" t="s">
        <v>277</v>
      </c>
      <c r="H59" s="31" t="s">
        <v>102</v>
      </c>
      <c r="I59" s="32">
        <f>I55*1000/J9/B69/(B64*100)^2</f>
        <v>5.240895061728394</v>
      </c>
      <c r="J59" s="194" t="s">
        <v>13</v>
      </c>
      <c r="K59" s="23" t="s">
        <v>258</v>
      </c>
      <c r="L59" s="4"/>
      <c r="N59" s="94"/>
      <c r="O59" s="4"/>
    </row>
    <row r="60" spans="1:15" ht="18.75">
      <c r="A60" s="19" t="s">
        <v>466</v>
      </c>
      <c r="H60" s="31" t="s">
        <v>104</v>
      </c>
      <c r="I60" s="37">
        <f>(J5/J3)*(1-SQRT(1-2*I59/J5))</f>
        <v>1.7700010780488818E-3</v>
      </c>
      <c r="J60" s="215"/>
      <c r="K60" s="23" t="s">
        <v>261</v>
      </c>
      <c r="L60" s="4"/>
      <c r="O60" s="4"/>
    </row>
    <row r="61" spans="1:15" ht="18.75">
      <c r="A61" s="23" t="s">
        <v>467</v>
      </c>
      <c r="B61" s="309">
        <f>2*B46*1000</f>
        <v>39319.920000000006</v>
      </c>
      <c r="C61" s="23" t="s">
        <v>299</v>
      </c>
      <c r="D61" s="23" t="s">
        <v>468</v>
      </c>
      <c r="H61" s="31" t="s">
        <v>263</v>
      </c>
      <c r="I61" s="58">
        <f>I60*B69*B64*10000</f>
        <v>3.7170022639026512</v>
      </c>
      <c r="J61" s="194" t="s">
        <v>264</v>
      </c>
      <c r="K61" s="23" t="s">
        <v>265</v>
      </c>
      <c r="L61" s="4"/>
      <c r="O61" s="215"/>
    </row>
    <row r="62" spans="1:15" ht="18.75">
      <c r="A62" s="23" t="s">
        <v>469</v>
      </c>
      <c r="B62" s="305">
        <f>B36^2+(0.9*B61/J10/J14)</f>
        <v>0.33123893294271994</v>
      </c>
      <c r="C62" s="23" t="s">
        <v>470</v>
      </c>
      <c r="D62" s="23" t="s">
        <v>471</v>
      </c>
      <c r="H62" s="31" t="s">
        <v>267</v>
      </c>
      <c r="I62" s="58">
        <f>J7*B69*B65*10000</f>
        <v>5.25</v>
      </c>
      <c r="J62" s="255" t="s">
        <v>264</v>
      </c>
      <c r="K62" s="23" t="s">
        <v>472</v>
      </c>
      <c r="M62" s="58"/>
      <c r="O62" s="215"/>
    </row>
    <row r="63" spans="1:15" ht="18.75">
      <c r="A63" s="23" t="s">
        <v>473</v>
      </c>
      <c r="B63" s="305">
        <f>(-B36+SQRT(B62))/2</f>
        <v>0.16276680356788897</v>
      </c>
      <c r="C63" s="23" t="s">
        <v>79</v>
      </c>
      <c r="D63" s="6" t="s">
        <v>474</v>
      </c>
      <c r="E63" s="4"/>
      <c r="H63" s="31" t="s">
        <v>107</v>
      </c>
      <c r="I63" s="58">
        <f>IF(I61&gt;=I62,I61,I62)</f>
        <v>5.25</v>
      </c>
      <c r="J63" s="23" t="s">
        <v>264</v>
      </c>
      <c r="K63" s="23" t="s">
        <v>272</v>
      </c>
      <c r="L63" s="4"/>
      <c r="M63" s="58"/>
      <c r="O63" s="215"/>
    </row>
    <row r="64" spans="1:15" ht="18.75">
      <c r="A64" s="31" t="s">
        <v>306</v>
      </c>
      <c r="B64" s="200">
        <v>0.3</v>
      </c>
      <c r="C64" s="23" t="s">
        <v>79</v>
      </c>
      <c r="D64" s="6" t="s">
        <v>475</v>
      </c>
      <c r="E64" s="4"/>
      <c r="H64" s="31" t="s">
        <v>476</v>
      </c>
      <c r="I64" s="310">
        <f>I63/B56</f>
        <v>4.6420191735136136</v>
      </c>
      <c r="J64" s="23" t="s">
        <v>401</v>
      </c>
      <c r="K64" s="23" t="s">
        <v>477</v>
      </c>
      <c r="M64" s="58"/>
      <c r="O64" s="215"/>
    </row>
    <row r="65" spans="1:15" ht="18.75">
      <c r="A65" s="31" t="s">
        <v>478</v>
      </c>
      <c r="B65" s="305">
        <f>B64+B37</f>
        <v>0.375</v>
      </c>
      <c r="C65" s="4"/>
      <c r="D65" s="6" t="s">
        <v>308</v>
      </c>
      <c r="E65" s="4"/>
      <c r="F65" s="4"/>
      <c r="G65" s="4"/>
      <c r="H65" s="31" t="s">
        <v>479</v>
      </c>
      <c r="I65" s="30">
        <v>5</v>
      </c>
      <c r="J65" s="23" t="s">
        <v>480</v>
      </c>
      <c r="K65" s="4"/>
      <c r="M65" s="94"/>
      <c r="O65" s="4"/>
    </row>
    <row r="66" spans="1:15" ht="18.75">
      <c r="A66" s="19" t="s">
        <v>481</v>
      </c>
      <c r="F66" s="4"/>
      <c r="G66" s="4"/>
      <c r="H66" s="31" t="s">
        <v>282</v>
      </c>
      <c r="I66" s="58">
        <f>(B69-2*B37)/(I65-1)</f>
        <v>0.13749999999999998</v>
      </c>
      <c r="J66" s="23" t="s">
        <v>79</v>
      </c>
      <c r="K66" s="23" t="s">
        <v>482</v>
      </c>
      <c r="M66" s="6" t="s">
        <v>283</v>
      </c>
    </row>
    <row r="67" spans="1:15" ht="18.75">
      <c r="A67" s="23" t="s">
        <v>393</v>
      </c>
      <c r="B67" s="33">
        <f>2*B48</f>
        <v>0.4</v>
      </c>
      <c r="C67" s="23" t="s">
        <v>79</v>
      </c>
      <c r="D67" s="4"/>
      <c r="E67" s="4"/>
      <c r="F67" s="4"/>
      <c r="G67" s="4"/>
      <c r="H67" s="308" t="s">
        <v>483</v>
      </c>
    </row>
    <row r="68" spans="1:15" ht="18.75">
      <c r="A68" s="23" t="s">
        <v>484</v>
      </c>
      <c r="B68" s="32">
        <f>B36+B64+2*B37</f>
        <v>0.70000000000000007</v>
      </c>
      <c r="C68" s="23" t="s">
        <v>79</v>
      </c>
      <c r="D68" s="4"/>
      <c r="E68" s="4"/>
      <c r="F68" s="4"/>
      <c r="G68" s="4"/>
      <c r="H68" s="31" t="s">
        <v>263</v>
      </c>
      <c r="I68" s="58">
        <f>J7*B53*B65*10000</f>
        <v>7.5</v>
      </c>
      <c r="J68" s="23" t="s">
        <v>264</v>
      </c>
      <c r="K68" s="23" t="s">
        <v>485</v>
      </c>
    </row>
    <row r="69" spans="1:15" ht="18.75">
      <c r="A69" s="31" t="s">
        <v>486</v>
      </c>
      <c r="B69" s="293">
        <v>0.7</v>
      </c>
      <c r="C69" s="23" t="s">
        <v>79</v>
      </c>
      <c r="D69" s="6" t="s">
        <v>487</v>
      </c>
      <c r="E69" s="7"/>
      <c r="F69" s="4"/>
      <c r="G69" s="4"/>
      <c r="H69" s="31" t="s">
        <v>476</v>
      </c>
      <c r="I69" s="310">
        <f>I68/B56</f>
        <v>6.6314559621623053</v>
      </c>
      <c r="J69" s="23" t="s">
        <v>401</v>
      </c>
      <c r="K69" s="23" t="s">
        <v>488</v>
      </c>
    </row>
    <row r="70" spans="1:15" ht="18.75">
      <c r="H70" s="31" t="s">
        <v>479</v>
      </c>
      <c r="I70" s="30">
        <v>7</v>
      </c>
      <c r="J70" s="23" t="s">
        <v>480</v>
      </c>
      <c r="K70" s="4"/>
    </row>
    <row r="71" spans="1:15" ht="18.75">
      <c r="H71" s="31" t="s">
        <v>282</v>
      </c>
      <c r="I71" s="58">
        <f>(B53-2*B37)/(I70-1)</f>
        <v>0.14166666666666666</v>
      </c>
      <c r="J71" s="23" t="s">
        <v>79</v>
      </c>
      <c r="K71" s="23" t="s">
        <v>489</v>
      </c>
      <c r="M71" s="6" t="s">
        <v>283</v>
      </c>
    </row>
    <row r="72" spans="1:15" ht="18.75">
      <c r="M72" s="4"/>
      <c r="O72" s="58"/>
    </row>
    <row r="74" spans="1:15" ht="18.75">
      <c r="A74" s="290" t="s">
        <v>490</v>
      </c>
      <c r="B74" s="4"/>
      <c r="C74" s="4"/>
      <c r="D74" s="4"/>
      <c r="E74" s="4"/>
    </row>
    <row r="75" spans="1:15" ht="18.75">
      <c r="A75" s="19" t="s">
        <v>407</v>
      </c>
      <c r="B75" s="293"/>
      <c r="C75" s="23"/>
      <c r="D75" s="4"/>
      <c r="E75" s="4"/>
      <c r="F75" s="4"/>
      <c r="H75" s="19" t="s">
        <v>491</v>
      </c>
      <c r="I75" s="4"/>
      <c r="J75" s="4"/>
      <c r="K75" s="4"/>
      <c r="L75" s="4"/>
      <c r="M75" s="4"/>
    </row>
    <row r="76" spans="1:15" ht="18.75">
      <c r="A76" s="23" t="s">
        <v>409</v>
      </c>
      <c r="B76" s="200">
        <v>46.835000000000001</v>
      </c>
      <c r="C76" s="23" t="s">
        <v>126</v>
      </c>
      <c r="D76" s="4"/>
      <c r="E76" s="4"/>
      <c r="F76" s="4"/>
      <c r="H76" s="302" t="s">
        <v>492</v>
      </c>
      <c r="I76" s="199">
        <f>B79*3</f>
        <v>45</v>
      </c>
      <c r="J76" s="23" t="s">
        <v>126</v>
      </c>
      <c r="K76" s="4"/>
      <c r="L76" s="4"/>
      <c r="M76" s="4"/>
    </row>
    <row r="77" spans="1:15" ht="18.75">
      <c r="A77" s="23" t="s">
        <v>383</v>
      </c>
      <c r="B77" s="200">
        <v>31.312000000000001</v>
      </c>
      <c r="C77" s="23" t="s">
        <v>126</v>
      </c>
      <c r="D77" s="6" t="s">
        <v>411</v>
      </c>
      <c r="E77" s="4"/>
      <c r="F77" s="4"/>
      <c r="H77" s="23" t="s">
        <v>493</v>
      </c>
      <c r="I77" s="289">
        <f>0.5*(B105+2*SQRT(3)*B101)*(0.5*SQRT(3)*B105+3*B101)-SQRT(3)*B101^2</f>
        <v>0.65444863728670899</v>
      </c>
      <c r="J77" s="23" t="s">
        <v>470</v>
      </c>
      <c r="K77" s="23" t="s">
        <v>494</v>
      </c>
      <c r="L77" s="4"/>
    </row>
    <row r="78" spans="1:15" ht="18.75">
      <c r="A78" s="23" t="s">
        <v>413</v>
      </c>
      <c r="B78" s="293">
        <v>0.18</v>
      </c>
      <c r="C78" s="23" t="s">
        <v>79</v>
      </c>
      <c r="D78" s="4"/>
      <c r="E78" s="4"/>
      <c r="F78" s="4"/>
      <c r="H78" s="23" t="s">
        <v>200</v>
      </c>
      <c r="I78" s="289">
        <f>2.4*I77*B99</f>
        <v>0.58900377355803801</v>
      </c>
      <c r="J78" s="5" t="s">
        <v>126</v>
      </c>
      <c r="K78" s="6" t="s">
        <v>495</v>
      </c>
      <c r="L78" s="4"/>
    </row>
    <row r="79" spans="1:15" ht="18.75">
      <c r="A79" s="23" t="s">
        <v>416</v>
      </c>
      <c r="B79" s="30">
        <v>15</v>
      </c>
      <c r="C79" s="23" t="s">
        <v>382</v>
      </c>
      <c r="D79" s="4"/>
      <c r="E79" s="4"/>
      <c r="F79" s="4"/>
      <c r="H79" s="23" t="s">
        <v>202</v>
      </c>
      <c r="I79" s="199">
        <f>B77+I78</f>
        <v>31.901003773558038</v>
      </c>
      <c r="J79" s="5" t="s">
        <v>126</v>
      </c>
      <c r="K79" s="6" t="s">
        <v>415</v>
      </c>
    </row>
    <row r="80" spans="1:15" ht="18.75">
      <c r="A80" s="5" t="s">
        <v>230</v>
      </c>
      <c r="B80" s="21">
        <v>20</v>
      </c>
      <c r="C80" s="23" t="s">
        <v>417</v>
      </c>
      <c r="D80" s="4"/>
      <c r="E80" s="4"/>
      <c r="F80" s="4"/>
      <c r="I80" s="240" t="str">
        <f>IF(I79&lt;=I76,"P &lt; 3Pa ผ่าน","P &gt; 3Pa ไม่ผ่าน")</f>
        <v>P &lt; 3Pa ผ่าน</v>
      </c>
    </row>
    <row r="81" spans="1:13" ht="18.75">
      <c r="A81" s="23" t="s">
        <v>496</v>
      </c>
      <c r="B81" s="293">
        <v>0.25</v>
      </c>
      <c r="C81" s="23" t="s">
        <v>79</v>
      </c>
      <c r="D81" s="6"/>
      <c r="E81" s="4"/>
      <c r="F81" s="4"/>
      <c r="H81" s="19" t="s">
        <v>497</v>
      </c>
    </row>
    <row r="82" spans="1:13" ht="18.75">
      <c r="A82" s="23" t="s">
        <v>498</v>
      </c>
      <c r="B82" s="293">
        <v>0.25</v>
      </c>
      <c r="C82" s="23" t="s">
        <v>79</v>
      </c>
      <c r="D82" s="6"/>
      <c r="E82" s="4"/>
      <c r="F82" s="4"/>
      <c r="H82" s="23" t="s">
        <v>204</v>
      </c>
      <c r="I82" s="58">
        <f>1.4*I78</f>
        <v>0.82460528298125313</v>
      </c>
      <c r="J82" s="23" t="s">
        <v>126</v>
      </c>
      <c r="K82" s="23" t="s">
        <v>419</v>
      </c>
    </row>
    <row r="83" spans="1:13" ht="18.75">
      <c r="A83" s="23" t="s">
        <v>499</v>
      </c>
      <c r="B83" s="199">
        <f>2*SQRT(B81*B82/PI())</f>
        <v>0.28209479177387814</v>
      </c>
      <c r="C83" s="23" t="s">
        <v>79</v>
      </c>
      <c r="D83" s="6" t="s">
        <v>500</v>
      </c>
      <c r="E83" s="4"/>
      <c r="F83" s="4"/>
      <c r="H83" s="23" t="s">
        <v>206</v>
      </c>
      <c r="I83" s="199">
        <f>B76+I82</f>
        <v>47.659605282981254</v>
      </c>
      <c r="J83" s="23" t="s">
        <v>126</v>
      </c>
      <c r="K83" s="6" t="s">
        <v>421</v>
      </c>
    </row>
    <row r="84" spans="1:13" ht="18.75">
      <c r="A84" s="23" t="s">
        <v>384</v>
      </c>
      <c r="B84" s="200">
        <v>7.4999999999999997E-2</v>
      </c>
      <c r="C84" s="23" t="s">
        <v>79</v>
      </c>
      <c r="E84" s="4"/>
      <c r="F84" s="4"/>
      <c r="H84" s="31" t="s">
        <v>423</v>
      </c>
      <c r="I84" s="199">
        <f>I83/3</f>
        <v>15.886535094327085</v>
      </c>
      <c r="J84" s="23" t="s">
        <v>382</v>
      </c>
      <c r="K84" s="23" t="s">
        <v>501</v>
      </c>
    </row>
    <row r="85" spans="1:13" ht="18.75">
      <c r="A85" s="19" t="s">
        <v>422</v>
      </c>
      <c r="B85" s="297"/>
      <c r="C85" s="5"/>
      <c r="D85" s="4"/>
      <c r="E85" s="4"/>
      <c r="F85" s="4"/>
      <c r="H85" s="19" t="s">
        <v>502</v>
      </c>
      <c r="I85" s="4"/>
      <c r="J85" s="4"/>
      <c r="K85" s="4"/>
      <c r="L85" s="4"/>
    </row>
    <row r="86" spans="1:13" ht="18.75">
      <c r="A86" s="23" t="s">
        <v>385</v>
      </c>
      <c r="B86" s="242">
        <f>(B80/100)*B77</f>
        <v>6.2624000000000004</v>
      </c>
      <c r="C86" s="5" t="s">
        <v>126</v>
      </c>
      <c r="D86" s="4"/>
      <c r="E86" s="4"/>
      <c r="F86" s="4"/>
      <c r="H86" s="31" t="s">
        <v>237</v>
      </c>
      <c r="I86" s="199">
        <f>J10*J14*PI()*(B83+B98)*B98/1000</f>
        <v>72.241937902476934</v>
      </c>
      <c r="J86" s="23" t="s">
        <v>126</v>
      </c>
      <c r="K86" s="249" t="s">
        <v>503</v>
      </c>
      <c r="L86" s="58"/>
    </row>
    <row r="87" spans="1:13" ht="18.75">
      <c r="A87" s="23" t="s">
        <v>233</v>
      </c>
      <c r="B87" s="251">
        <f>B77+B86</f>
        <v>37.574400000000004</v>
      </c>
      <c r="C87" s="5" t="s">
        <v>126</v>
      </c>
      <c r="D87" s="6" t="s">
        <v>386</v>
      </c>
      <c r="E87" s="4"/>
      <c r="F87" s="4"/>
      <c r="G87" s="4"/>
      <c r="H87" s="31" t="s">
        <v>427</v>
      </c>
      <c r="I87" s="58">
        <f>(B83+B98)/2</f>
        <v>0.29104739588693906</v>
      </c>
      <c r="J87" s="23" t="s">
        <v>79</v>
      </c>
      <c r="K87" s="249" t="s">
        <v>428</v>
      </c>
      <c r="L87" s="58"/>
    </row>
    <row r="88" spans="1:13" ht="18.75">
      <c r="A88" s="23" t="s">
        <v>426</v>
      </c>
      <c r="B88" s="256">
        <f>B87/B79</f>
        <v>2.5049600000000001</v>
      </c>
      <c r="C88" s="23" t="s">
        <v>388</v>
      </c>
      <c r="D88" s="6" t="s">
        <v>389</v>
      </c>
      <c r="F88" s="4"/>
      <c r="H88" s="31" t="s">
        <v>430</v>
      </c>
      <c r="I88" s="58">
        <f>(B105/SQRT(3))-I87</f>
        <v>5.5362765626836397E-2</v>
      </c>
      <c r="J88" s="23" t="s">
        <v>79</v>
      </c>
      <c r="K88" s="249" t="s">
        <v>504</v>
      </c>
      <c r="L88" s="58"/>
    </row>
    <row r="89" spans="1:13" ht="18.75">
      <c r="A89" s="23" t="s">
        <v>429</v>
      </c>
      <c r="B89" s="303">
        <v>3</v>
      </c>
      <c r="C89" s="23" t="s">
        <v>388</v>
      </c>
      <c r="F89" s="4"/>
      <c r="H89" s="31" t="s">
        <v>433</v>
      </c>
      <c r="I89" s="58">
        <f>3*I84*(0.5+I88/B78)</f>
        <v>38.48851129231965</v>
      </c>
      <c r="J89" s="23" t="s">
        <v>126</v>
      </c>
      <c r="K89" s="249" t="s">
        <v>505</v>
      </c>
      <c r="L89" s="58"/>
    </row>
    <row r="90" spans="1:13" ht="18.75">
      <c r="A90" s="19" t="s">
        <v>432</v>
      </c>
      <c r="B90" s="4"/>
      <c r="C90" s="4"/>
      <c r="D90" s="4"/>
      <c r="E90" s="4"/>
      <c r="H90" s="31" t="s">
        <v>241</v>
      </c>
      <c r="I90" s="199">
        <f>IF(I89&lt;=3*I84,I89,3*I84)</f>
        <v>38.48851129231965</v>
      </c>
      <c r="J90" s="23" t="s">
        <v>126</v>
      </c>
      <c r="K90" s="6" t="s">
        <v>506</v>
      </c>
      <c r="L90" s="58"/>
    </row>
    <row r="91" spans="1:13" ht="18.75">
      <c r="A91" s="23" t="s">
        <v>435</v>
      </c>
      <c r="B91" s="58">
        <f>1.4*B86</f>
        <v>8.76736</v>
      </c>
      <c r="C91" s="23" t="s">
        <v>126</v>
      </c>
      <c r="D91" s="6" t="s">
        <v>436</v>
      </c>
      <c r="E91" s="4"/>
      <c r="H91" s="31" t="s">
        <v>241</v>
      </c>
      <c r="I91" s="240" t="str">
        <f>IF(I90&lt;=I86,"&lt;","&gt;")</f>
        <v>&lt;</v>
      </c>
      <c r="J91" s="23" t="s">
        <v>237</v>
      </c>
      <c r="K91" s="241" t="str">
        <f>IF(I90&lt;=I86,"ผ่าน","ไม่ผ่าน")</f>
        <v>ผ่าน</v>
      </c>
      <c r="L91" s="4"/>
    </row>
    <row r="92" spans="1:13" ht="18.75">
      <c r="A92" s="23" t="s">
        <v>243</v>
      </c>
      <c r="B92" s="199">
        <f>B76+B91</f>
        <v>55.602360000000004</v>
      </c>
      <c r="C92" s="23" t="s">
        <v>126</v>
      </c>
      <c r="D92" s="6" t="s">
        <v>438</v>
      </c>
      <c r="E92" s="4"/>
      <c r="H92" s="19" t="s">
        <v>507</v>
      </c>
      <c r="M92" s="4"/>
    </row>
    <row r="93" spans="1:13" ht="18.75">
      <c r="A93" s="31" t="s">
        <v>439</v>
      </c>
      <c r="B93" s="199">
        <f>B92/3</f>
        <v>18.534120000000001</v>
      </c>
      <c r="C93" s="23" t="s">
        <v>382</v>
      </c>
      <c r="D93" s="6" t="s">
        <v>508</v>
      </c>
      <c r="E93" s="4"/>
      <c r="H93" s="31" t="s">
        <v>509</v>
      </c>
      <c r="I93" s="58">
        <f>(2/SQRT(3))*((B105/SQRT(3)+2*B101-(B83/2)-B98))</f>
        <v>0.35260254987028528</v>
      </c>
      <c r="J93" s="23" t="s">
        <v>79</v>
      </c>
      <c r="K93" s="6" t="s">
        <v>510</v>
      </c>
      <c r="L93" s="4"/>
      <c r="M93" s="4"/>
    </row>
    <row r="94" spans="1:13" ht="18.75">
      <c r="A94" s="19" t="s">
        <v>511</v>
      </c>
      <c r="B94" s="4"/>
      <c r="C94" s="4"/>
      <c r="H94" s="31" t="s">
        <v>225</v>
      </c>
      <c r="I94" s="199">
        <f>J10*J12*I93*B98/1000</f>
        <v>7.3825622816014462</v>
      </c>
      <c r="J94" s="246" t="s">
        <v>126</v>
      </c>
      <c r="K94" s="247" t="s">
        <v>512</v>
      </c>
    </row>
    <row r="95" spans="1:13" ht="18.75">
      <c r="A95" s="23" t="s">
        <v>467</v>
      </c>
      <c r="B95" s="215">
        <f>3*B93*1000</f>
        <v>55602.360000000008</v>
      </c>
      <c r="C95" s="23" t="s">
        <v>299</v>
      </c>
      <c r="D95" s="6" t="s">
        <v>513</v>
      </c>
      <c r="H95" s="31" t="s">
        <v>427</v>
      </c>
      <c r="I95" s="58">
        <f>(B83/2)+B98</f>
        <v>0.44104739588693909</v>
      </c>
      <c r="J95" s="23" t="s">
        <v>79</v>
      </c>
      <c r="K95" s="249" t="s">
        <v>445</v>
      </c>
    </row>
    <row r="96" spans="1:13" ht="18.75">
      <c r="A96" s="23" t="s">
        <v>469</v>
      </c>
      <c r="B96" s="58">
        <f>B83^2 + (4*0.9*B95/PI()/J10/J14)</f>
        <v>0.56343923819499298</v>
      </c>
      <c r="C96" s="23"/>
      <c r="D96" s="6" t="s">
        <v>514</v>
      </c>
      <c r="E96" s="4"/>
      <c r="H96" s="31" t="s">
        <v>430</v>
      </c>
      <c r="I96" s="58">
        <f>(B105/SQRT(3))-I95</f>
        <v>-9.4637234373163626E-2</v>
      </c>
      <c r="J96" s="23" t="s">
        <v>79</v>
      </c>
      <c r="K96" s="249" t="s">
        <v>504</v>
      </c>
    </row>
    <row r="97" spans="1:13" ht="18.75">
      <c r="A97" s="23" t="s">
        <v>515</v>
      </c>
      <c r="B97" s="289">
        <f>(-B83+SQRT(B96))/2</f>
        <v>0.2342655529287769</v>
      </c>
      <c r="C97" s="23" t="s">
        <v>79</v>
      </c>
      <c r="D97" s="6" t="s">
        <v>474</v>
      </c>
      <c r="E97" s="4"/>
      <c r="H97" s="31" t="s">
        <v>449</v>
      </c>
      <c r="I97" s="58">
        <f>I84*(0.5+I96/B78)</f>
        <v>-0.4092754811660223</v>
      </c>
      <c r="J97" s="23" t="s">
        <v>126</v>
      </c>
      <c r="K97" s="249" t="s">
        <v>450</v>
      </c>
    </row>
    <row r="98" spans="1:13" ht="18.75">
      <c r="A98" s="31" t="s">
        <v>306</v>
      </c>
      <c r="B98" s="293">
        <v>0.3</v>
      </c>
      <c r="C98" s="23" t="s">
        <v>79</v>
      </c>
      <c r="D98" s="6" t="s">
        <v>475</v>
      </c>
      <c r="E98" s="4"/>
      <c r="H98" s="31" t="s">
        <v>228</v>
      </c>
      <c r="I98" s="199">
        <f>IF(I97&gt;0,I97,0)</f>
        <v>0</v>
      </c>
      <c r="J98" s="23" t="s">
        <v>126</v>
      </c>
      <c r="K98" s="6" t="s">
        <v>453</v>
      </c>
    </row>
    <row r="99" spans="1:13" ht="18.75">
      <c r="A99" s="31" t="s">
        <v>478</v>
      </c>
      <c r="B99" s="305">
        <f>B98+B84</f>
        <v>0.375</v>
      </c>
      <c r="C99" s="23" t="s">
        <v>79</v>
      </c>
      <c r="D99" s="23" t="s">
        <v>308</v>
      </c>
      <c r="E99" s="4"/>
      <c r="H99" s="31" t="s">
        <v>228</v>
      </c>
      <c r="I99" s="307" t="str">
        <f>IF(I98&lt;=I94,"&lt;","&gt;")</f>
        <v>&lt;</v>
      </c>
      <c r="J99" s="246" t="s">
        <v>225</v>
      </c>
      <c r="K99" s="241" t="str">
        <f>IF(I98&lt;=I94,"ผ่าน","ไม่ผ่าน")</f>
        <v>ผ่าน</v>
      </c>
      <c r="M99" s="4"/>
    </row>
    <row r="100" spans="1:13" ht="18.75">
      <c r="A100" s="19" t="s">
        <v>516</v>
      </c>
      <c r="B100" s="4"/>
      <c r="C100" s="23"/>
      <c r="D100" s="4"/>
      <c r="E100" s="4"/>
      <c r="H100" s="19" t="s">
        <v>517</v>
      </c>
    </row>
    <row r="101" spans="1:13" ht="18.75">
      <c r="A101" s="23" t="s">
        <v>443</v>
      </c>
      <c r="B101" s="293">
        <v>0.2</v>
      </c>
      <c r="C101" s="23" t="s">
        <v>79</v>
      </c>
      <c r="D101" s="6" t="s">
        <v>444</v>
      </c>
      <c r="E101" s="4"/>
      <c r="H101" s="31" t="s">
        <v>518</v>
      </c>
      <c r="I101" s="311">
        <f>(2/SQRT(3))*((B105/SQRT(3)+2*B101-(B83/2)))</f>
        <v>0.69901271138406085</v>
      </c>
      <c r="J101" s="23" t="s">
        <v>79</v>
      </c>
      <c r="K101" s="6" t="s">
        <v>519</v>
      </c>
      <c r="L101" s="4"/>
      <c r="M101" s="4"/>
    </row>
    <row r="102" spans="1:13" ht="18.75">
      <c r="A102" s="23" t="s">
        <v>447</v>
      </c>
      <c r="B102" s="58">
        <f>3*B101</f>
        <v>0.60000000000000009</v>
      </c>
      <c r="C102" s="23" t="s">
        <v>79</v>
      </c>
      <c r="D102" s="6" t="s">
        <v>520</v>
      </c>
      <c r="E102" s="4"/>
      <c r="H102" s="31" t="s">
        <v>124</v>
      </c>
      <c r="I102" s="305">
        <f>J9*J8*I101*(B98*100)^2/1000</f>
        <v>30.949437113805722</v>
      </c>
      <c r="J102" s="23" t="s">
        <v>123</v>
      </c>
      <c r="K102" s="249" t="s">
        <v>521</v>
      </c>
      <c r="M102" s="58"/>
    </row>
    <row r="103" spans="1:13" ht="18.75">
      <c r="A103" s="23" t="s">
        <v>522</v>
      </c>
      <c r="B103" s="58">
        <f>SQRT(3)*(B83+B98+2*B84-2*B101)</f>
        <v>0.57520505228136376</v>
      </c>
      <c r="C103" s="23" t="s">
        <v>79</v>
      </c>
      <c r="D103" s="6" t="s">
        <v>523</v>
      </c>
      <c r="E103" s="4"/>
      <c r="H103" s="31" t="s">
        <v>101</v>
      </c>
      <c r="I103" s="199">
        <f>I84*((B105/SQRT(3))-(B83/2))</f>
        <v>3.2625027831988045</v>
      </c>
      <c r="J103" s="23" t="s">
        <v>123</v>
      </c>
      <c r="K103" s="6" t="s">
        <v>524</v>
      </c>
      <c r="M103" s="58"/>
    </row>
    <row r="104" spans="1:13" ht="18.75">
      <c r="A104" s="23" t="s">
        <v>525</v>
      </c>
      <c r="B104" s="58">
        <f>IF(B102&gt;=B103,B102,B103)</f>
        <v>0.60000000000000009</v>
      </c>
      <c r="C104" s="23" t="s">
        <v>79</v>
      </c>
      <c r="D104" s="6" t="s">
        <v>526</v>
      </c>
      <c r="E104" s="4"/>
      <c r="H104" s="31" t="s">
        <v>101</v>
      </c>
      <c r="I104" s="240" t="str">
        <f>IF(I103&lt;=I102,"&lt;","&gt;")</f>
        <v>&lt;</v>
      </c>
      <c r="J104" s="246" t="s">
        <v>124</v>
      </c>
      <c r="K104" s="241" t="str">
        <f>IF(I103&lt;=I102,"ผ่าน","ไม่ผ่าน")</f>
        <v>ผ่าน</v>
      </c>
      <c r="L104" s="58"/>
      <c r="M104" s="58"/>
    </row>
    <row r="105" spans="1:13" ht="18.75">
      <c r="A105" s="31" t="s">
        <v>448</v>
      </c>
      <c r="B105" s="217">
        <v>0.6</v>
      </c>
      <c r="C105" s="246" t="s">
        <v>79</v>
      </c>
      <c r="D105" s="312" t="s">
        <v>527</v>
      </c>
      <c r="E105" s="204"/>
      <c r="F105" s="275"/>
      <c r="G105" s="275"/>
      <c r="H105" s="19" t="s">
        <v>528</v>
      </c>
      <c r="I105" s="4"/>
      <c r="J105" s="4"/>
      <c r="K105" s="4"/>
      <c r="L105" s="58"/>
      <c r="M105" s="58"/>
    </row>
    <row r="106" spans="1:13" ht="18.75">
      <c r="A106" s="19" t="s">
        <v>529</v>
      </c>
      <c r="H106" s="31" t="s">
        <v>102</v>
      </c>
      <c r="I106" s="32">
        <f>I103*1000/J9/I101/(B98*100)^2</f>
        <v>5.7621000995111906</v>
      </c>
      <c r="J106" s="194" t="s">
        <v>13</v>
      </c>
      <c r="K106" s="23" t="s">
        <v>530</v>
      </c>
      <c r="L106" s="4"/>
    </row>
    <row r="107" spans="1:13" ht="18.75">
      <c r="A107" s="23" t="s">
        <v>259</v>
      </c>
      <c r="B107" s="23">
        <v>30</v>
      </c>
      <c r="C107" s="23" t="s">
        <v>63</v>
      </c>
      <c r="D107" s="6" t="s">
        <v>260</v>
      </c>
      <c r="H107" s="31" t="s">
        <v>104</v>
      </c>
      <c r="I107" s="37">
        <f>(J5/J3)*(1-SQRT(1-2*I106/J5))</f>
        <v>1.9486200334252982E-3</v>
      </c>
      <c r="J107" s="215"/>
      <c r="K107" s="23" t="s">
        <v>261</v>
      </c>
      <c r="L107" s="4"/>
    </row>
    <row r="108" spans="1:13" ht="18.75">
      <c r="A108" s="23" t="s">
        <v>262</v>
      </c>
      <c r="B108" s="30">
        <v>12</v>
      </c>
      <c r="C108" s="23" t="s">
        <v>48</v>
      </c>
      <c r="H108" s="31" t="s">
        <v>263</v>
      </c>
      <c r="I108" s="58">
        <f>I107*I101*B98*10000</f>
        <v>4.0863305190657515</v>
      </c>
      <c r="J108" s="194" t="s">
        <v>264</v>
      </c>
      <c r="K108" s="23" t="s">
        <v>531</v>
      </c>
      <c r="L108" s="4"/>
    </row>
    <row r="109" spans="1:13" ht="18.75">
      <c r="A109" s="31" t="s">
        <v>266</v>
      </c>
      <c r="B109" s="58">
        <f>PI()*(B108/10)^2/4</f>
        <v>1.1309733552923256</v>
      </c>
      <c r="C109" s="23" t="s">
        <v>264</v>
      </c>
      <c r="H109" s="31" t="s">
        <v>267</v>
      </c>
      <c r="I109" s="58">
        <f>J7*I101*B99*10000</f>
        <v>5.2425953353804564</v>
      </c>
      <c r="J109" s="255" t="s">
        <v>264</v>
      </c>
      <c r="K109" s="23" t="s">
        <v>532</v>
      </c>
    </row>
    <row r="110" spans="1:13" ht="18.75">
      <c r="A110" s="23" t="s">
        <v>460</v>
      </c>
      <c r="B110" s="256">
        <f>IF($J$3*(B108/10)/13.3/SQRT($J$2)&gt;30,$J$3*(B108/10)/13.3/SQRT($J$2),30)</f>
        <v>30</v>
      </c>
      <c r="C110" s="23" t="s">
        <v>63</v>
      </c>
      <c r="D110" s="6" t="s">
        <v>270</v>
      </c>
      <c r="G110" s="4"/>
      <c r="H110" s="31" t="s">
        <v>271</v>
      </c>
      <c r="I110" s="58">
        <f>IF(I108&gt;=I109,I108,I109)</f>
        <v>5.2425953353804564</v>
      </c>
      <c r="J110" s="23" t="s">
        <v>264</v>
      </c>
      <c r="K110" s="23" t="s">
        <v>272</v>
      </c>
      <c r="L110" s="4"/>
      <c r="M110" s="4"/>
    </row>
    <row r="111" spans="1:13" ht="18.75">
      <c r="A111" s="23" t="s">
        <v>462</v>
      </c>
      <c r="B111" s="256">
        <f>((B105/SQRT(3))+B101-(B83/2)-B84)*100</f>
        <v>33.036276562683646</v>
      </c>
      <c r="C111" s="23" t="s">
        <v>63</v>
      </c>
      <c r="D111" s="6" t="s">
        <v>533</v>
      </c>
      <c r="G111" s="4"/>
      <c r="H111" s="31" t="s">
        <v>476</v>
      </c>
      <c r="I111" s="310">
        <f>I110/B109</f>
        <v>4.635472012535069</v>
      </c>
      <c r="J111" s="23" t="s">
        <v>401</v>
      </c>
      <c r="K111" s="23" t="s">
        <v>534</v>
      </c>
    </row>
    <row r="112" spans="1:13" ht="18.75">
      <c r="A112" s="31" t="s">
        <v>275</v>
      </c>
      <c r="B112" s="240" t="str">
        <f>IF(B111&gt;=B110,"&gt;","&lt;")</f>
        <v>&gt;</v>
      </c>
      <c r="C112" s="23" t="s">
        <v>276</v>
      </c>
      <c r="D112" s="241" t="str">
        <f>IF(B110&lt;=B111,"ผ่าน","ไม่ผ่าน")</f>
        <v>ผ่าน</v>
      </c>
      <c r="E112" s="23" t="s">
        <v>277</v>
      </c>
      <c r="H112" s="31" t="s">
        <v>479</v>
      </c>
      <c r="I112" s="30">
        <v>5</v>
      </c>
      <c r="J112" s="23" t="s">
        <v>480</v>
      </c>
      <c r="K112" s="4"/>
    </row>
    <row r="113" spans="1:14" ht="18.75">
      <c r="H113" s="31" t="s">
        <v>282</v>
      </c>
      <c r="I113" s="58">
        <f>(I101-2*B84)/(I112-1)</f>
        <v>0.13725317784601521</v>
      </c>
      <c r="J113" s="23" t="s">
        <v>79</v>
      </c>
      <c r="K113" s="23" t="s">
        <v>535</v>
      </c>
      <c r="M113" s="6" t="s">
        <v>283</v>
      </c>
    </row>
    <row r="116" spans="1:14" ht="18.75">
      <c r="A116" s="290" t="s">
        <v>536</v>
      </c>
      <c r="B116" s="4"/>
      <c r="C116" s="4"/>
      <c r="D116" s="4"/>
      <c r="E116" s="4"/>
      <c r="F116" s="4"/>
    </row>
    <row r="117" spans="1:14" ht="18.75">
      <c r="A117" s="19" t="s">
        <v>407</v>
      </c>
      <c r="B117" s="293"/>
      <c r="C117" s="23"/>
      <c r="D117" s="4"/>
      <c r="E117" s="4"/>
      <c r="F117" s="4"/>
      <c r="H117" s="19" t="s">
        <v>491</v>
      </c>
      <c r="L117" s="4"/>
    </row>
    <row r="118" spans="1:14" ht="18.75">
      <c r="A118" s="23" t="s">
        <v>409</v>
      </c>
      <c r="B118" s="200">
        <v>304</v>
      </c>
      <c r="C118" s="23" t="s">
        <v>126</v>
      </c>
      <c r="D118" s="4"/>
      <c r="E118" s="4"/>
      <c r="F118" s="4"/>
      <c r="H118" s="302" t="s">
        <v>537</v>
      </c>
      <c r="I118" s="199">
        <f>B129*B121</f>
        <v>300</v>
      </c>
      <c r="J118" s="23" t="s">
        <v>126</v>
      </c>
    </row>
    <row r="119" spans="1:14" ht="18.75">
      <c r="A119" s="23" t="s">
        <v>383</v>
      </c>
      <c r="B119" s="200">
        <v>200</v>
      </c>
      <c r="C119" s="23" t="s">
        <v>126</v>
      </c>
      <c r="D119" s="6" t="s">
        <v>411</v>
      </c>
      <c r="E119" s="313"/>
      <c r="F119" s="313"/>
      <c r="H119" s="23" t="s">
        <v>200</v>
      </c>
      <c r="I119" s="289">
        <f>2.4*B140^2*B153</f>
        <v>6.72</v>
      </c>
      <c r="J119" s="5" t="s">
        <v>126</v>
      </c>
      <c r="K119" s="6" t="s">
        <v>538</v>
      </c>
    </row>
    <row r="120" spans="1:14" ht="18.75">
      <c r="A120" s="23" t="s">
        <v>413</v>
      </c>
      <c r="B120" s="293">
        <v>0.4</v>
      </c>
      <c r="C120" s="23" t="s">
        <v>79</v>
      </c>
      <c r="D120" s="4"/>
      <c r="E120" s="4"/>
      <c r="F120" s="4"/>
      <c r="H120" s="23" t="s">
        <v>414</v>
      </c>
      <c r="I120" s="199">
        <f>B119+I119</f>
        <v>206.72</v>
      </c>
      <c r="J120" s="5" t="s">
        <v>126</v>
      </c>
      <c r="K120" s="6" t="s">
        <v>415</v>
      </c>
    </row>
    <row r="121" spans="1:14" ht="18.75">
      <c r="A121" s="23" t="s">
        <v>416</v>
      </c>
      <c r="B121" s="30">
        <v>75</v>
      </c>
      <c r="C121" s="23" t="s">
        <v>382</v>
      </c>
      <c r="D121" s="4"/>
      <c r="E121" s="4"/>
      <c r="F121" s="4"/>
      <c r="I121" s="19" t="str">
        <f>IF(I120&lt;=I118,"P &lt; 4Pa ผ่าน","P &gt; 4Pa ไม่ผ่าน")</f>
        <v>P &lt; 4Pa ผ่าน</v>
      </c>
    </row>
    <row r="122" spans="1:14" ht="18.75">
      <c r="A122" s="5" t="s">
        <v>230</v>
      </c>
      <c r="B122" s="21">
        <v>20</v>
      </c>
      <c r="C122" s="23" t="s">
        <v>417</v>
      </c>
      <c r="D122" s="4"/>
      <c r="E122" s="4"/>
      <c r="F122" s="4"/>
      <c r="H122" s="19" t="s">
        <v>497</v>
      </c>
    </row>
    <row r="123" spans="1:14" ht="18.75">
      <c r="A123" s="23" t="s">
        <v>223</v>
      </c>
      <c r="B123" s="293">
        <v>0.49</v>
      </c>
      <c r="C123" s="23" t="s">
        <v>79</v>
      </c>
      <c r="F123" s="4"/>
      <c r="H123" s="23" t="s">
        <v>204</v>
      </c>
      <c r="I123" s="58">
        <f>1.4*I119</f>
        <v>9.4079999999999995</v>
      </c>
      <c r="J123" s="23" t="s">
        <v>126</v>
      </c>
      <c r="K123" s="23" t="s">
        <v>419</v>
      </c>
    </row>
    <row r="124" spans="1:14" ht="18.75">
      <c r="A124" s="23" t="s">
        <v>384</v>
      </c>
      <c r="B124" s="200">
        <v>0.1</v>
      </c>
      <c r="C124" s="23" t="s">
        <v>79</v>
      </c>
      <c r="E124" s="4"/>
      <c r="F124" s="4"/>
      <c r="H124" s="23" t="s">
        <v>539</v>
      </c>
      <c r="I124" s="199">
        <f>B118+I123</f>
        <v>313.40800000000002</v>
      </c>
      <c r="J124" s="23" t="s">
        <v>126</v>
      </c>
      <c r="K124" s="6" t="s">
        <v>421</v>
      </c>
    </row>
    <row r="125" spans="1:14" ht="18.75">
      <c r="A125" s="19" t="s">
        <v>422</v>
      </c>
      <c r="B125" s="297"/>
      <c r="C125" s="5"/>
      <c r="D125" s="4"/>
      <c r="E125" s="4"/>
      <c r="F125" s="4"/>
      <c r="H125" s="31" t="s">
        <v>423</v>
      </c>
      <c r="I125" s="199">
        <f>I124/B129</f>
        <v>78.352000000000004</v>
      </c>
      <c r="J125" s="23" t="s">
        <v>382</v>
      </c>
      <c r="K125" s="23" t="s">
        <v>540</v>
      </c>
    </row>
    <row r="126" spans="1:14" ht="18.75">
      <c r="A126" s="23" t="s">
        <v>385</v>
      </c>
      <c r="B126" s="242">
        <f>(B122/100)*B119</f>
        <v>40</v>
      </c>
      <c r="C126" s="5" t="s">
        <v>126</v>
      </c>
      <c r="D126" s="7" t="str">
        <f>(B122/100)&amp;"Pc"</f>
        <v>0.2Pc</v>
      </c>
      <c r="E126" s="4"/>
      <c r="F126" s="4"/>
      <c r="H126" s="19" t="s">
        <v>502</v>
      </c>
      <c r="I126" s="4"/>
      <c r="J126" s="4"/>
      <c r="K126" s="4"/>
      <c r="L126" s="4"/>
      <c r="M126" s="4"/>
    </row>
    <row r="127" spans="1:14" ht="18.75">
      <c r="A127" s="23" t="s">
        <v>233</v>
      </c>
      <c r="B127" s="251">
        <f>B119+B126</f>
        <v>240</v>
      </c>
      <c r="C127" s="5" t="s">
        <v>126</v>
      </c>
      <c r="D127" s="6" t="s">
        <v>386</v>
      </c>
      <c r="E127" s="4"/>
      <c r="F127" s="4"/>
      <c r="G127" s="4"/>
      <c r="H127" s="31" t="s">
        <v>237</v>
      </c>
      <c r="I127" s="199">
        <f>J10*J14*(4*B152^2+4*B123*B152)/1000</f>
        <v>344.47863074507251</v>
      </c>
      <c r="J127" s="23" t="s">
        <v>126</v>
      </c>
      <c r="K127" s="249" t="s">
        <v>238</v>
      </c>
      <c r="L127" s="58"/>
      <c r="N127" s="4"/>
    </row>
    <row r="128" spans="1:14" ht="18.75">
      <c r="A128" s="23" t="s">
        <v>426</v>
      </c>
      <c r="B128" s="256">
        <f>B127/B121</f>
        <v>3.2</v>
      </c>
      <c r="C128" s="23" t="s">
        <v>388</v>
      </c>
      <c r="D128" s="6" t="s">
        <v>389</v>
      </c>
      <c r="F128" s="4"/>
      <c r="H128" s="31" t="s">
        <v>427</v>
      </c>
      <c r="I128" s="58">
        <f>(B123+B152)/2</f>
        <v>0.54499999999999993</v>
      </c>
      <c r="J128" s="23" t="s">
        <v>79</v>
      </c>
      <c r="K128" s="249" t="s">
        <v>428</v>
      </c>
      <c r="L128" s="58"/>
      <c r="N128" s="4"/>
    </row>
    <row r="129" spans="1:14" ht="18.75">
      <c r="A129" s="23" t="s">
        <v>429</v>
      </c>
      <c r="B129" s="303">
        <v>4</v>
      </c>
      <c r="C129" s="23" t="s">
        <v>388</v>
      </c>
      <c r="F129" s="4"/>
      <c r="H129" s="31" t="s">
        <v>430</v>
      </c>
      <c r="I129" s="58">
        <f>(B137/2)-I128</f>
        <v>5.5000000000000049E-2</v>
      </c>
      <c r="J129" s="23" t="s">
        <v>79</v>
      </c>
      <c r="K129" s="249" t="s">
        <v>431</v>
      </c>
      <c r="L129" s="58"/>
      <c r="N129" s="4"/>
    </row>
    <row r="130" spans="1:14" ht="18.75">
      <c r="A130" s="19" t="s">
        <v>432</v>
      </c>
      <c r="B130" s="4"/>
      <c r="C130" s="4"/>
      <c r="D130" s="4"/>
      <c r="E130" s="4"/>
      <c r="F130" s="4"/>
      <c r="H130" s="31" t="s">
        <v>433</v>
      </c>
      <c r="I130" s="58">
        <f>B129*I125*(0.5+I129/B120)</f>
        <v>199.79760000000007</v>
      </c>
      <c r="J130" s="23" t="s">
        <v>126</v>
      </c>
      <c r="K130" s="249" t="s">
        <v>541</v>
      </c>
      <c r="L130" s="58"/>
      <c r="N130" s="4"/>
    </row>
    <row r="131" spans="1:14" ht="18.75">
      <c r="A131" s="23" t="s">
        <v>435</v>
      </c>
      <c r="B131" s="242">
        <f>1.4*B126</f>
        <v>56</v>
      </c>
      <c r="C131" s="5" t="s">
        <v>126</v>
      </c>
      <c r="D131" s="6" t="s">
        <v>436</v>
      </c>
      <c r="E131" s="4"/>
      <c r="F131" s="4"/>
      <c r="H131" s="31" t="s">
        <v>241</v>
      </c>
      <c r="I131" s="199">
        <f>IF(I130&lt;=B129*I125,I130,4*I125)</f>
        <v>199.79760000000007</v>
      </c>
      <c r="J131" s="23" t="s">
        <v>126</v>
      </c>
      <c r="K131" s="6" t="s">
        <v>542</v>
      </c>
      <c r="L131" s="58"/>
      <c r="N131" s="4"/>
    </row>
    <row r="132" spans="1:14" ht="18.75">
      <c r="A132" s="23" t="s">
        <v>243</v>
      </c>
      <c r="B132" s="251">
        <f>B118+B131</f>
        <v>360</v>
      </c>
      <c r="C132" s="5" t="s">
        <v>126</v>
      </c>
      <c r="D132" s="6" t="s">
        <v>438</v>
      </c>
      <c r="E132" s="4"/>
      <c r="F132" s="4"/>
      <c r="H132" s="31" t="s">
        <v>241</v>
      </c>
      <c r="I132" s="240" t="str">
        <f>IF(I131&lt;=I127,"&lt;","&gt;")</f>
        <v>&lt;</v>
      </c>
      <c r="J132" s="23" t="s">
        <v>237</v>
      </c>
      <c r="K132" s="241" t="str">
        <f>IF(I131&lt;=I127,"ผ่าน","ไม่ผ่าน")</f>
        <v>ผ่าน</v>
      </c>
      <c r="L132" s="4"/>
      <c r="M132" s="4"/>
      <c r="N132" s="4"/>
    </row>
    <row r="133" spans="1:14" ht="18.75">
      <c r="A133" s="31" t="s">
        <v>439</v>
      </c>
      <c r="B133" s="305">
        <f>B132/4</f>
        <v>90</v>
      </c>
      <c r="C133" s="23" t="s">
        <v>382</v>
      </c>
      <c r="D133" s="6" t="s">
        <v>543</v>
      </c>
      <c r="E133" s="4"/>
      <c r="F133" s="4"/>
      <c r="H133" s="19" t="s">
        <v>507</v>
      </c>
      <c r="K133" s="4"/>
      <c r="L133" s="4"/>
      <c r="N133" s="4"/>
    </row>
    <row r="134" spans="1:14" ht="18.75">
      <c r="A134" s="19" t="s">
        <v>442</v>
      </c>
      <c r="B134" s="33"/>
      <c r="C134" s="23"/>
      <c r="D134" s="6"/>
      <c r="E134" s="4"/>
      <c r="F134" s="4"/>
      <c r="H134" s="31" t="s">
        <v>225</v>
      </c>
      <c r="I134" s="199">
        <f>J10*J12*B140*B152/1000</f>
        <v>83.74939187838919</v>
      </c>
      <c r="J134" s="246" t="s">
        <v>126</v>
      </c>
      <c r="K134" s="247" t="s">
        <v>544</v>
      </c>
      <c r="M134" s="4"/>
      <c r="N134" s="4"/>
    </row>
    <row r="135" spans="1:14" ht="18.75">
      <c r="A135" s="23" t="s">
        <v>443</v>
      </c>
      <c r="B135" s="293">
        <v>0.4</v>
      </c>
      <c r="C135" s="23" t="s">
        <v>79</v>
      </c>
      <c r="D135" s="6" t="s">
        <v>444</v>
      </c>
      <c r="E135" s="4"/>
      <c r="F135" s="4"/>
      <c r="H135" s="31" t="s">
        <v>427</v>
      </c>
      <c r="I135" s="58">
        <f>B123/2+B152</f>
        <v>0.84499999999999997</v>
      </c>
      <c r="J135" s="23" t="s">
        <v>79</v>
      </c>
      <c r="K135" s="249" t="s">
        <v>445</v>
      </c>
      <c r="M135" s="7"/>
      <c r="N135" s="4"/>
    </row>
    <row r="136" spans="1:14" ht="18.75">
      <c r="A136" s="23" t="s">
        <v>446</v>
      </c>
      <c r="B136" s="306">
        <f>3*B135</f>
        <v>1.2000000000000002</v>
      </c>
      <c r="C136" s="23" t="s">
        <v>79</v>
      </c>
      <c r="D136" s="6" t="s">
        <v>447</v>
      </c>
      <c r="E136" s="4"/>
      <c r="F136" s="4"/>
      <c r="H136" s="31" t="s">
        <v>430</v>
      </c>
      <c r="I136" s="58">
        <f>B137/2-I135</f>
        <v>-0.245</v>
      </c>
      <c r="J136" s="23" t="s">
        <v>79</v>
      </c>
      <c r="K136" s="249" t="s">
        <v>431</v>
      </c>
      <c r="M136" s="250"/>
      <c r="N136" s="4"/>
    </row>
    <row r="137" spans="1:14" ht="18.75">
      <c r="A137" s="23" t="s">
        <v>448</v>
      </c>
      <c r="B137" s="293">
        <v>1.2</v>
      </c>
      <c r="C137" s="296" t="s">
        <v>79</v>
      </c>
      <c r="H137" s="31" t="s">
        <v>449</v>
      </c>
      <c r="I137" s="58">
        <f>2*I125*(0.5+I136/B120)</f>
        <v>-17.62919999999999</v>
      </c>
      <c r="J137" s="23" t="s">
        <v>126</v>
      </c>
      <c r="K137" s="249" t="s">
        <v>434</v>
      </c>
      <c r="M137" s="215"/>
      <c r="N137" s="58"/>
    </row>
    <row r="138" spans="1:14" ht="18.75">
      <c r="A138" s="23" t="s">
        <v>451</v>
      </c>
      <c r="B138" s="306">
        <f>B135</f>
        <v>0.4</v>
      </c>
      <c r="C138" s="23" t="s">
        <v>79</v>
      </c>
      <c r="D138" s="6" t="s">
        <v>452</v>
      </c>
      <c r="H138" s="31" t="s">
        <v>228</v>
      </c>
      <c r="I138" s="199">
        <f>IF(I137&gt;0,I137,0)</f>
        <v>0</v>
      </c>
      <c r="J138" s="23" t="s">
        <v>126</v>
      </c>
      <c r="K138" s="6" t="s">
        <v>453</v>
      </c>
      <c r="N138" s="58"/>
    </row>
    <row r="139" spans="1:14" ht="18.75">
      <c r="A139" s="23" t="s">
        <v>545</v>
      </c>
      <c r="B139" s="293">
        <v>0.4</v>
      </c>
      <c r="C139" s="23" t="s">
        <v>79</v>
      </c>
      <c r="E139" s="4"/>
      <c r="F139" s="4"/>
      <c r="G139" s="4"/>
      <c r="H139" s="31" t="s">
        <v>228</v>
      </c>
      <c r="I139" s="307" t="str">
        <f>IF(I138&lt;=I134,"&lt;","&gt;")</f>
        <v>&lt;</v>
      </c>
      <c r="J139" s="246" t="s">
        <v>225</v>
      </c>
      <c r="K139" s="241" t="str">
        <f>IF(I138&lt;=I134,"ผ่าน","ไม่ผ่าน")</f>
        <v>ผ่าน</v>
      </c>
      <c r="N139" s="58"/>
    </row>
    <row r="140" spans="1:14" ht="18.75">
      <c r="A140" s="31" t="s">
        <v>80</v>
      </c>
      <c r="B140" s="306">
        <f>B137+2*B139</f>
        <v>2</v>
      </c>
      <c r="C140" s="23" t="s">
        <v>79</v>
      </c>
      <c r="D140" s="6" t="s">
        <v>455</v>
      </c>
      <c r="E140" s="4"/>
      <c r="F140" s="4"/>
      <c r="G140" s="4"/>
      <c r="H140" s="19" t="s">
        <v>517</v>
      </c>
      <c r="N140" s="58"/>
    </row>
    <row r="141" spans="1:14" ht="18.75">
      <c r="A141" s="19" t="s">
        <v>457</v>
      </c>
      <c r="H141" s="31" t="s">
        <v>124</v>
      </c>
      <c r="I141" s="199">
        <f>J9*J8*B140*(B152*100)^2/1000</f>
        <v>354.2074312499999</v>
      </c>
      <c r="J141" s="23" t="s">
        <v>123</v>
      </c>
      <c r="K141" s="249" t="s">
        <v>546</v>
      </c>
      <c r="N141" s="58"/>
    </row>
    <row r="142" spans="1:14" ht="18.75">
      <c r="A142" s="23" t="s">
        <v>458</v>
      </c>
      <c r="B142" s="30">
        <v>25</v>
      </c>
      <c r="C142" s="23" t="s">
        <v>48</v>
      </c>
      <c r="D142" s="6"/>
      <c r="H142" s="31" t="s">
        <v>101</v>
      </c>
      <c r="I142" s="199">
        <f>2*I125*1000*(B137-B123)/2/1000</f>
        <v>55.629919999999998</v>
      </c>
      <c r="J142" s="23" t="s">
        <v>123</v>
      </c>
      <c r="K142" s="6" t="s">
        <v>547</v>
      </c>
      <c r="N142" s="58"/>
    </row>
    <row r="143" spans="1:14" ht="18.75">
      <c r="A143" s="23" t="s">
        <v>259</v>
      </c>
      <c r="B143" s="23">
        <v>30</v>
      </c>
      <c r="C143" s="23" t="s">
        <v>63</v>
      </c>
      <c r="D143" s="6" t="s">
        <v>260</v>
      </c>
      <c r="H143" s="31" t="s">
        <v>101</v>
      </c>
      <c r="I143" s="240" t="str">
        <f>IF(I142&lt;=I141,"&lt;","&gt;")</f>
        <v>&lt;</v>
      </c>
      <c r="J143" s="246" t="s">
        <v>124</v>
      </c>
      <c r="K143" s="241" t="str">
        <f>IF(I142&lt;=I141,"ผ่าน","ไม่ผ่าน")</f>
        <v>ผ่าน</v>
      </c>
      <c r="L143" s="58"/>
      <c r="N143" s="58"/>
    </row>
    <row r="144" spans="1:14" ht="18.75">
      <c r="A144" s="31" t="s">
        <v>266</v>
      </c>
      <c r="B144" s="58">
        <f>PI()*(B142/10)^2/4</f>
        <v>4.908738521234052</v>
      </c>
      <c r="C144" s="23" t="s">
        <v>264</v>
      </c>
      <c r="H144" s="19" t="s">
        <v>528</v>
      </c>
      <c r="I144" s="4"/>
      <c r="J144" s="4"/>
      <c r="K144" s="4"/>
      <c r="L144" s="58"/>
      <c r="M144" s="58"/>
    </row>
    <row r="145" spans="1:14" ht="18.75">
      <c r="A145" s="23" t="s">
        <v>460</v>
      </c>
      <c r="B145" s="256">
        <f>IF($J$3*(B142/10)/13.3/SQRT($J$2)&gt;30,$J$3*(B142/10)/13.3/SQRT($J$2),30)</f>
        <v>36.400219419242639</v>
      </c>
      <c r="C145" s="23" t="s">
        <v>63</v>
      </c>
      <c r="D145" s="6" t="s">
        <v>270</v>
      </c>
      <c r="G145" s="4"/>
      <c r="H145" s="31" t="s">
        <v>102</v>
      </c>
      <c r="I145" s="32">
        <f>I142*1000/J9/B140/(B152*100)^2</f>
        <v>8.5848641975308642</v>
      </c>
      <c r="J145" s="194" t="s">
        <v>13</v>
      </c>
      <c r="K145" s="6" t="s">
        <v>548</v>
      </c>
      <c r="L145" s="4"/>
    </row>
    <row r="146" spans="1:14" ht="18.75">
      <c r="A146" s="23" t="s">
        <v>462</v>
      </c>
      <c r="B146" s="256">
        <f>((B140-B123)/2 - B124)*100</f>
        <v>65.5</v>
      </c>
      <c r="C146" s="23" t="s">
        <v>63</v>
      </c>
      <c r="D146" s="6" t="s">
        <v>463</v>
      </c>
      <c r="G146" s="4"/>
      <c r="H146" s="31" t="s">
        <v>104</v>
      </c>
      <c r="I146" s="37">
        <f>(J5/J3)*(1-SQRT(1-2*I145/J5))</f>
        <v>2.9245093010284375E-3</v>
      </c>
      <c r="J146" s="215"/>
      <c r="K146" s="6" t="s">
        <v>261</v>
      </c>
      <c r="L146" s="4"/>
    </row>
    <row r="147" spans="1:14" ht="18.75">
      <c r="A147" s="31" t="s">
        <v>275</v>
      </c>
      <c r="B147" s="240" t="str">
        <f>IF(B146&gt;=B145,"&gt;","&lt;")</f>
        <v>&gt;</v>
      </c>
      <c r="C147" s="23" t="s">
        <v>465</v>
      </c>
      <c r="D147" s="241" t="str">
        <f>IF(B145&lt;=B146,"ผ่าน","ไม่ผ่าน")</f>
        <v>ผ่าน</v>
      </c>
      <c r="E147" s="23" t="s">
        <v>277</v>
      </c>
      <c r="H147" s="31" t="s">
        <v>263</v>
      </c>
      <c r="I147" s="58">
        <f>I146*B140*B152*10000</f>
        <v>35.094111612341251</v>
      </c>
      <c r="J147" s="194" t="s">
        <v>264</v>
      </c>
      <c r="K147" s="6" t="s">
        <v>549</v>
      </c>
      <c r="L147" s="4"/>
    </row>
    <row r="148" spans="1:14" ht="18.75">
      <c r="A148" s="19" t="s">
        <v>466</v>
      </c>
      <c r="H148" s="31" t="s">
        <v>267</v>
      </c>
      <c r="I148" s="58">
        <f>J7*B140*B153*10000</f>
        <v>28</v>
      </c>
      <c r="J148" s="255" t="s">
        <v>264</v>
      </c>
      <c r="K148" s="6" t="s">
        <v>485</v>
      </c>
    </row>
    <row r="149" spans="1:14" ht="18.75">
      <c r="A149" s="23" t="s">
        <v>467</v>
      </c>
      <c r="B149" s="298">
        <f>4*B133*1000</f>
        <v>360000</v>
      </c>
      <c r="C149" s="23" t="s">
        <v>299</v>
      </c>
      <c r="D149" s="6" t="s">
        <v>550</v>
      </c>
      <c r="H149" s="31" t="s">
        <v>271</v>
      </c>
      <c r="I149" s="58">
        <f>IF(I147&gt;=I148,I147,I148)</f>
        <v>35.094111612341251</v>
      </c>
      <c r="J149" s="23" t="s">
        <v>264</v>
      </c>
      <c r="K149" s="6" t="s">
        <v>272</v>
      </c>
      <c r="L149" s="4"/>
      <c r="M149" s="4"/>
    </row>
    <row r="150" spans="1:14" ht="18.75">
      <c r="A150" s="23" t="s">
        <v>469</v>
      </c>
      <c r="B150" s="58">
        <f>B123^2+(0.9*B149/J10/J14)</f>
        <v>2.7005835375905938</v>
      </c>
      <c r="C150" s="23" t="s">
        <v>470</v>
      </c>
      <c r="D150" s="6" t="s">
        <v>471</v>
      </c>
      <c r="F150" s="4"/>
      <c r="G150" s="4"/>
      <c r="H150" s="31" t="s">
        <v>476</v>
      </c>
      <c r="I150" s="310">
        <f>I149/B144</f>
        <v>7.149313710749178</v>
      </c>
      <c r="J150" s="23" t="s">
        <v>401</v>
      </c>
      <c r="K150" s="6" t="s">
        <v>534</v>
      </c>
    </row>
    <row r="151" spans="1:14" ht="18.75">
      <c r="A151" s="23" t="s">
        <v>515</v>
      </c>
      <c r="B151" s="199">
        <f>(-B123+SQRT(B150))/2</f>
        <v>0.5766726138783308</v>
      </c>
      <c r="C151" s="23" t="s">
        <v>79</v>
      </c>
      <c r="D151" s="6" t="s">
        <v>474</v>
      </c>
      <c r="E151" s="4"/>
      <c r="F151" s="4"/>
      <c r="G151" s="4"/>
      <c r="H151" s="31" t="s">
        <v>479</v>
      </c>
      <c r="I151" s="30">
        <v>8</v>
      </c>
      <c r="J151" s="23" t="s">
        <v>480</v>
      </c>
      <c r="K151" s="7"/>
      <c r="N151" s="94"/>
    </row>
    <row r="152" spans="1:14" ht="18.75">
      <c r="A152" s="31" t="s">
        <v>306</v>
      </c>
      <c r="B152" s="293">
        <v>0.6</v>
      </c>
      <c r="C152" s="23" t="s">
        <v>79</v>
      </c>
      <c r="D152" s="6" t="s">
        <v>475</v>
      </c>
      <c r="E152" s="4"/>
      <c r="H152" s="31" t="s">
        <v>282</v>
      </c>
      <c r="I152" s="58">
        <f>(B140-2*B124)/(I151-1)</f>
        <v>0.25714285714285717</v>
      </c>
      <c r="J152" s="23" t="s">
        <v>79</v>
      </c>
      <c r="K152" s="6" t="s">
        <v>489</v>
      </c>
      <c r="M152" s="6" t="s">
        <v>283</v>
      </c>
    </row>
    <row r="153" spans="1:14" ht="18.75">
      <c r="A153" s="31" t="s">
        <v>478</v>
      </c>
      <c r="B153" s="305">
        <f>B152+B124</f>
        <v>0.7</v>
      </c>
      <c r="C153" s="4"/>
      <c r="D153" s="6" t="s">
        <v>308</v>
      </c>
      <c r="E153" s="4"/>
    </row>
    <row r="154" spans="1:14" ht="18.75">
      <c r="H154" s="308"/>
    </row>
    <row r="155" spans="1:14" ht="18.75">
      <c r="H155" s="31"/>
      <c r="I155" s="58"/>
      <c r="J155" s="23"/>
      <c r="K155" s="23"/>
    </row>
    <row r="156" spans="1:14" ht="18.75">
      <c r="A156" s="290" t="s">
        <v>551</v>
      </c>
      <c r="B156" s="4"/>
      <c r="C156" s="4"/>
      <c r="D156" s="4"/>
      <c r="E156" s="4"/>
      <c r="F156" s="4"/>
    </row>
    <row r="157" spans="1:14" ht="18.75">
      <c r="A157" s="19" t="s">
        <v>407</v>
      </c>
      <c r="B157" s="33"/>
      <c r="C157" s="23"/>
      <c r="D157" s="4"/>
      <c r="E157" s="4"/>
      <c r="F157" s="4"/>
      <c r="H157" s="19" t="s">
        <v>491</v>
      </c>
      <c r="L157" s="4"/>
    </row>
    <row r="158" spans="1:14" ht="18.75">
      <c r="A158" s="23" t="s">
        <v>409</v>
      </c>
      <c r="B158" s="200">
        <v>420</v>
      </c>
      <c r="C158" s="23" t="s">
        <v>126</v>
      </c>
      <c r="D158" s="4"/>
      <c r="E158" s="4"/>
      <c r="F158" s="4"/>
      <c r="H158" s="302" t="s">
        <v>552</v>
      </c>
      <c r="I158" s="199">
        <f>B169*B161</f>
        <v>375</v>
      </c>
      <c r="J158" s="23" t="s">
        <v>126</v>
      </c>
      <c r="K158" s="19" t="str">
        <f>IF(I160&lt;=I158,"P &lt; 5Pa ผ่าน")</f>
        <v>P &lt; 5Pa ผ่าน</v>
      </c>
    </row>
    <row r="159" spans="1:14" ht="18.75">
      <c r="A159" s="23" t="s">
        <v>383</v>
      </c>
      <c r="B159" s="200">
        <v>290</v>
      </c>
      <c r="C159" s="23" t="s">
        <v>126</v>
      </c>
      <c r="D159" s="6" t="s">
        <v>411</v>
      </c>
      <c r="E159" s="313"/>
      <c r="F159" s="313"/>
      <c r="H159" s="23" t="s">
        <v>200</v>
      </c>
      <c r="I159" s="289">
        <f>2.4*B180^2*B193</f>
        <v>10.124999999999998</v>
      </c>
      <c r="J159" s="5" t="s">
        <v>126</v>
      </c>
      <c r="K159" s="6" t="s">
        <v>538</v>
      </c>
    </row>
    <row r="160" spans="1:14" ht="18.75">
      <c r="A160" s="23" t="s">
        <v>413</v>
      </c>
      <c r="B160" s="293">
        <v>0.4</v>
      </c>
      <c r="C160" s="23" t="s">
        <v>79</v>
      </c>
      <c r="D160" s="4"/>
      <c r="E160" s="4"/>
      <c r="F160" s="4"/>
      <c r="H160" s="23" t="s">
        <v>414</v>
      </c>
      <c r="I160" s="199">
        <f>B159+I159</f>
        <v>300.125</v>
      </c>
      <c r="J160" s="5" t="s">
        <v>126</v>
      </c>
      <c r="K160" s="6" t="s">
        <v>415</v>
      </c>
    </row>
    <row r="161" spans="1:14" ht="18.75">
      <c r="A161" s="23" t="s">
        <v>416</v>
      </c>
      <c r="B161" s="30">
        <v>75</v>
      </c>
      <c r="C161" s="23" t="s">
        <v>382</v>
      </c>
      <c r="D161" s="4"/>
      <c r="E161" s="4"/>
      <c r="F161" s="4"/>
      <c r="I161" s="19" t="str">
        <f>IF(I160&lt;=I158,"P &lt; 5Pa ผ่าน","P &gt; 5Pa ไม่ผ่าน")</f>
        <v>P &lt; 5Pa ผ่าน</v>
      </c>
    </row>
    <row r="162" spans="1:14" ht="18.75">
      <c r="A162" s="5" t="s">
        <v>230</v>
      </c>
      <c r="B162" s="21">
        <v>20</v>
      </c>
      <c r="C162" s="23" t="s">
        <v>417</v>
      </c>
      <c r="D162" s="4"/>
      <c r="E162" s="4"/>
      <c r="F162" s="4"/>
      <c r="H162" s="19" t="s">
        <v>497</v>
      </c>
      <c r="L162" s="4"/>
    </row>
    <row r="163" spans="1:14" ht="18.75">
      <c r="A163" s="23" t="s">
        <v>223</v>
      </c>
      <c r="B163" s="293">
        <v>0.61</v>
      </c>
      <c r="C163" s="23" t="s">
        <v>79</v>
      </c>
      <c r="E163" s="4"/>
      <c r="F163" s="4"/>
      <c r="H163" s="23" t="s">
        <v>204</v>
      </c>
      <c r="I163" s="58">
        <f>1.4*I159</f>
        <v>14.174999999999997</v>
      </c>
      <c r="J163" s="23" t="s">
        <v>126</v>
      </c>
      <c r="K163" s="23" t="s">
        <v>419</v>
      </c>
    </row>
    <row r="164" spans="1:14" ht="18.75">
      <c r="A164" s="23" t="s">
        <v>384</v>
      </c>
      <c r="B164" s="200">
        <v>7.4999999999999997E-2</v>
      </c>
      <c r="C164" s="23" t="s">
        <v>79</v>
      </c>
      <c r="E164" s="4"/>
      <c r="F164" s="4"/>
      <c r="H164" s="23" t="s">
        <v>539</v>
      </c>
      <c r="I164" s="199">
        <f>B158+I163</f>
        <v>434.17500000000001</v>
      </c>
      <c r="J164" s="23" t="s">
        <v>126</v>
      </c>
      <c r="K164" s="6" t="s">
        <v>421</v>
      </c>
    </row>
    <row r="165" spans="1:14" ht="18.75">
      <c r="A165" s="19" t="s">
        <v>422</v>
      </c>
      <c r="B165" s="297"/>
      <c r="C165" s="5"/>
      <c r="D165" s="4"/>
      <c r="E165" s="4"/>
      <c r="F165" s="4"/>
      <c r="H165" s="31" t="s">
        <v>423</v>
      </c>
      <c r="I165" s="199">
        <f>I164/5</f>
        <v>86.835000000000008</v>
      </c>
      <c r="J165" s="23" t="s">
        <v>382</v>
      </c>
      <c r="K165" s="23" t="s">
        <v>553</v>
      </c>
      <c r="N165" s="4"/>
    </row>
    <row r="166" spans="1:14" ht="18.75">
      <c r="A166" s="23" t="s">
        <v>385</v>
      </c>
      <c r="B166" s="242">
        <f>0.2*B159</f>
        <v>58</v>
      </c>
      <c r="C166" s="5" t="s">
        <v>126</v>
      </c>
      <c r="D166" s="4"/>
      <c r="E166" s="4"/>
      <c r="F166" s="4"/>
      <c r="H166" s="19" t="s">
        <v>502</v>
      </c>
      <c r="I166" s="4"/>
      <c r="J166" s="4"/>
      <c r="K166" s="4"/>
      <c r="L166" s="4"/>
      <c r="M166" s="4"/>
      <c r="N166" s="4"/>
    </row>
    <row r="167" spans="1:14" ht="18.75">
      <c r="A167" s="23" t="s">
        <v>233</v>
      </c>
      <c r="B167" s="251">
        <f>B159+B166</f>
        <v>348</v>
      </c>
      <c r="C167" s="5" t="s">
        <v>126</v>
      </c>
      <c r="D167" s="6" t="s">
        <v>386</v>
      </c>
      <c r="E167" s="4"/>
      <c r="F167" s="4"/>
      <c r="H167" s="31" t="s">
        <v>237</v>
      </c>
      <c r="I167" s="199">
        <f>J10*J14*(4*B192^2+4*B163*B192)/1000</f>
        <v>382.40288367113556</v>
      </c>
      <c r="J167" s="23" t="s">
        <v>126</v>
      </c>
      <c r="K167" s="249" t="s">
        <v>238</v>
      </c>
      <c r="L167" s="58"/>
      <c r="N167" s="4"/>
    </row>
    <row r="168" spans="1:14" ht="18.75">
      <c r="A168" s="23" t="s">
        <v>426</v>
      </c>
      <c r="B168" s="256">
        <f>B167/B161</f>
        <v>4.6399999999999997</v>
      </c>
      <c r="C168" s="23" t="s">
        <v>388</v>
      </c>
      <c r="D168" s="6" t="s">
        <v>389</v>
      </c>
      <c r="F168" s="4"/>
      <c r="G168" s="4"/>
      <c r="H168" s="31" t="s">
        <v>427</v>
      </c>
      <c r="I168" s="58">
        <f>(B163+B192)/2</f>
        <v>0.60499999999999998</v>
      </c>
      <c r="J168" s="23" t="s">
        <v>79</v>
      </c>
      <c r="K168" s="249" t="s">
        <v>428</v>
      </c>
      <c r="L168" s="58"/>
      <c r="N168" s="4"/>
    </row>
    <row r="169" spans="1:14" ht="18.75">
      <c r="A169" s="23" t="s">
        <v>429</v>
      </c>
      <c r="B169" s="303">
        <v>5</v>
      </c>
      <c r="C169" s="23" t="s">
        <v>388</v>
      </c>
      <c r="F169" s="4"/>
      <c r="H169" s="31" t="s">
        <v>430</v>
      </c>
      <c r="I169" s="58">
        <f>((B177/2)-I168)</f>
        <v>0.245</v>
      </c>
      <c r="J169" s="23" t="s">
        <v>79</v>
      </c>
      <c r="K169" s="249" t="s">
        <v>554</v>
      </c>
      <c r="L169" s="58"/>
      <c r="N169" s="4"/>
    </row>
    <row r="170" spans="1:14" ht="18.75">
      <c r="A170" s="19" t="s">
        <v>432</v>
      </c>
      <c r="B170" s="4"/>
      <c r="H170" s="31" t="s">
        <v>433</v>
      </c>
      <c r="I170" s="58">
        <f>4*I165*(0.5+I169/B160)</f>
        <v>386.41574999999995</v>
      </c>
      <c r="J170" s="23" t="s">
        <v>126</v>
      </c>
      <c r="K170" s="249" t="s">
        <v>541</v>
      </c>
      <c r="L170" s="58"/>
      <c r="N170" s="4"/>
    </row>
    <row r="171" spans="1:14" ht="18.75">
      <c r="A171" s="23" t="s">
        <v>435</v>
      </c>
      <c r="B171" s="242">
        <f>1.4*B166</f>
        <v>81.199999999999989</v>
      </c>
      <c r="C171" s="5" t="s">
        <v>126</v>
      </c>
      <c r="D171" s="6" t="s">
        <v>436</v>
      </c>
      <c r="E171" s="4"/>
      <c r="F171" s="4"/>
      <c r="H171" s="31" t="s">
        <v>241</v>
      </c>
      <c r="I171" s="199">
        <f>IF(I170&lt;=4*I165,I170,4*I165)</f>
        <v>347.34000000000003</v>
      </c>
      <c r="J171" s="23" t="s">
        <v>126</v>
      </c>
      <c r="K171" s="6" t="s">
        <v>542</v>
      </c>
      <c r="L171" s="58"/>
      <c r="N171" s="4"/>
    </row>
    <row r="172" spans="1:14" ht="18.75">
      <c r="A172" s="23" t="s">
        <v>243</v>
      </c>
      <c r="B172" s="251">
        <f>B158+B171</f>
        <v>501.2</v>
      </c>
      <c r="C172" s="5" t="s">
        <v>126</v>
      </c>
      <c r="D172" s="6" t="s">
        <v>438</v>
      </c>
      <c r="E172" s="4"/>
      <c r="F172" s="4"/>
      <c r="H172" s="31" t="s">
        <v>241</v>
      </c>
      <c r="I172" s="240" t="str">
        <f>IF(I171&lt;=I167,"&lt;","&gt;")</f>
        <v>&lt;</v>
      </c>
      <c r="J172" s="23" t="s">
        <v>237</v>
      </c>
      <c r="K172" s="241" t="str">
        <f>IF(I171&lt;=I167,"ผ่าน","ไม่ผ่าน")</f>
        <v>ผ่าน</v>
      </c>
      <c r="L172" s="4"/>
      <c r="M172" s="4"/>
      <c r="N172" s="4"/>
    </row>
    <row r="173" spans="1:14" ht="18.75">
      <c r="A173" s="31" t="s">
        <v>439</v>
      </c>
      <c r="B173" s="305">
        <f>B172/5</f>
        <v>100.24</v>
      </c>
      <c r="C173" s="23" t="s">
        <v>382</v>
      </c>
      <c r="D173" s="6" t="s">
        <v>555</v>
      </c>
      <c r="E173" s="4"/>
      <c r="F173" s="4"/>
      <c r="H173" s="19" t="s">
        <v>507</v>
      </c>
      <c r="K173" s="4"/>
      <c r="L173" s="4"/>
      <c r="M173" s="4"/>
      <c r="N173" s="4"/>
    </row>
    <row r="174" spans="1:14" ht="18.75">
      <c r="A174" s="19" t="s">
        <v>442</v>
      </c>
      <c r="B174" s="33"/>
      <c r="C174" s="23"/>
      <c r="D174" s="6"/>
      <c r="E174" s="4"/>
      <c r="F174" s="4"/>
      <c r="H174" s="31" t="s">
        <v>225</v>
      </c>
      <c r="I174" s="199">
        <f>J10*J12*B180*B192/1000</f>
        <v>104.68673984798647</v>
      </c>
      <c r="J174" s="246" t="s">
        <v>126</v>
      </c>
      <c r="K174" s="247" t="s">
        <v>544</v>
      </c>
      <c r="N174" s="4"/>
    </row>
    <row r="175" spans="1:14" ht="18.75">
      <c r="A175" s="23" t="s">
        <v>390</v>
      </c>
      <c r="B175" s="293">
        <v>0.4</v>
      </c>
      <c r="C175" s="23" t="s">
        <v>79</v>
      </c>
      <c r="D175" s="6" t="s">
        <v>391</v>
      </c>
      <c r="E175" s="4"/>
      <c r="F175" s="4"/>
      <c r="H175" s="31" t="s">
        <v>427</v>
      </c>
      <c r="I175" s="58">
        <f>B163/2 + B192</f>
        <v>0.90500000000000003</v>
      </c>
      <c r="J175" s="23" t="s">
        <v>79</v>
      </c>
      <c r="K175" s="249" t="s">
        <v>445</v>
      </c>
      <c r="M175" s="4"/>
      <c r="N175" s="4"/>
    </row>
    <row r="176" spans="1:14" ht="18.75">
      <c r="A176" s="23" t="s">
        <v>556</v>
      </c>
      <c r="B176" s="305">
        <f>3*B175*SQRT(2)</f>
        <v>1.6970562748477145</v>
      </c>
      <c r="C176" s="23" t="s">
        <v>79</v>
      </c>
      <c r="D176" s="6" t="s">
        <v>557</v>
      </c>
      <c r="E176" s="4"/>
      <c r="F176" s="4"/>
      <c r="H176" s="31" t="s">
        <v>430</v>
      </c>
      <c r="I176" s="58">
        <f>B177/2-I175</f>
        <v>-5.5000000000000049E-2</v>
      </c>
      <c r="J176" s="23" t="s">
        <v>79</v>
      </c>
      <c r="K176" s="249" t="s">
        <v>554</v>
      </c>
      <c r="M176" s="7"/>
      <c r="N176" s="58"/>
    </row>
    <row r="177" spans="1:14" ht="18.75">
      <c r="A177" s="23" t="s">
        <v>558</v>
      </c>
      <c r="B177" s="293">
        <v>1.7</v>
      </c>
      <c r="C177" s="296" t="s">
        <v>79</v>
      </c>
      <c r="F177" s="4"/>
      <c r="H177" s="31" t="s">
        <v>449</v>
      </c>
      <c r="I177" s="58">
        <f>2*I165*(0.5+I176/B160)</f>
        <v>62.955374999999982</v>
      </c>
      <c r="J177" s="23" t="s">
        <v>126</v>
      </c>
      <c r="K177" s="249" t="s">
        <v>434</v>
      </c>
      <c r="M177" s="250"/>
      <c r="N177" s="58"/>
    </row>
    <row r="178" spans="1:14" ht="18.75">
      <c r="A178" s="23" t="s">
        <v>559</v>
      </c>
      <c r="B178" s="306">
        <f>B175</f>
        <v>0.4</v>
      </c>
      <c r="C178" s="23" t="s">
        <v>79</v>
      </c>
      <c r="D178" s="23" t="s">
        <v>452</v>
      </c>
      <c r="F178" s="4"/>
      <c r="H178" s="31" t="s">
        <v>228</v>
      </c>
      <c r="I178" s="199">
        <f>IF(I177&gt;0,I177,0)</f>
        <v>62.955374999999982</v>
      </c>
      <c r="J178" s="23" t="s">
        <v>126</v>
      </c>
      <c r="K178" s="6" t="s">
        <v>453</v>
      </c>
      <c r="M178" s="250"/>
      <c r="N178" s="58"/>
    </row>
    <row r="179" spans="1:14" ht="18.75">
      <c r="A179" s="23" t="s">
        <v>560</v>
      </c>
      <c r="B179" s="293">
        <v>0.4</v>
      </c>
      <c r="C179" s="23" t="s">
        <v>79</v>
      </c>
      <c r="E179" s="4"/>
      <c r="H179" s="31" t="s">
        <v>228</v>
      </c>
      <c r="I179" s="307" t="str">
        <f>IF(I178&lt;=I174,"&lt;","&gt;")</f>
        <v>&lt;</v>
      </c>
      <c r="J179" s="246" t="s">
        <v>225</v>
      </c>
      <c r="K179" s="241" t="str">
        <f>IF(I178&lt;=I174,"ผ่าน","ไม่ผ่าน")</f>
        <v>ผ่าน</v>
      </c>
      <c r="M179" s="215"/>
      <c r="N179" s="58"/>
    </row>
    <row r="180" spans="1:14" ht="18.75">
      <c r="A180" s="31" t="s">
        <v>80</v>
      </c>
      <c r="B180" s="306">
        <f>B177+2*B179</f>
        <v>2.5</v>
      </c>
      <c r="C180" s="23" t="s">
        <v>79</v>
      </c>
      <c r="D180" s="6" t="s">
        <v>561</v>
      </c>
      <c r="E180" s="4"/>
      <c r="H180" s="19" t="s">
        <v>517</v>
      </c>
      <c r="N180" s="58"/>
    </row>
    <row r="181" spans="1:14" ht="18.75">
      <c r="A181" s="19" t="s">
        <v>457</v>
      </c>
      <c r="H181" s="31" t="s">
        <v>124</v>
      </c>
      <c r="I181" s="199">
        <f>J9*J8*B180*(B192*100)^2/1000</f>
        <v>442.75928906249993</v>
      </c>
      <c r="J181" s="23" t="s">
        <v>123</v>
      </c>
      <c r="K181" s="249" t="s">
        <v>546</v>
      </c>
      <c r="N181" s="58"/>
    </row>
    <row r="182" spans="1:14" ht="18.75">
      <c r="A182" s="23" t="s">
        <v>259</v>
      </c>
      <c r="B182" s="23">
        <v>30</v>
      </c>
      <c r="C182" s="23" t="s">
        <v>63</v>
      </c>
      <c r="D182" s="6" t="s">
        <v>260</v>
      </c>
      <c r="H182" s="31" t="s">
        <v>101</v>
      </c>
      <c r="I182" s="199">
        <f>2*I165*1000*(B177-B163)/2/1000</f>
        <v>94.650150000000011</v>
      </c>
      <c r="J182" s="23" t="s">
        <v>123</v>
      </c>
      <c r="K182" s="6" t="s">
        <v>547</v>
      </c>
      <c r="N182" s="58"/>
    </row>
    <row r="183" spans="1:14" ht="18.75">
      <c r="A183" s="23" t="s">
        <v>262</v>
      </c>
      <c r="B183" s="30">
        <v>25</v>
      </c>
      <c r="C183" s="23" t="s">
        <v>48</v>
      </c>
      <c r="H183" s="31" t="s">
        <v>101</v>
      </c>
      <c r="I183" s="240" t="str">
        <f>IF(I182&lt;=I181,"&lt;","&gt;")</f>
        <v>&lt;</v>
      </c>
      <c r="J183" s="246" t="s">
        <v>124</v>
      </c>
      <c r="K183" s="241" t="str">
        <f>IF(I182&lt;=I181,"ผ่าน","ไม่ผ่าน")</f>
        <v>ผ่าน</v>
      </c>
      <c r="L183" s="58"/>
      <c r="N183" s="58"/>
    </row>
    <row r="184" spans="1:14" ht="18.75">
      <c r="A184" s="31" t="s">
        <v>266</v>
      </c>
      <c r="B184" s="58">
        <f>PI()*(B183/10)^2/4</f>
        <v>4.908738521234052</v>
      </c>
      <c r="C184" s="23" t="s">
        <v>264</v>
      </c>
      <c r="H184" s="19" t="s">
        <v>528</v>
      </c>
      <c r="I184" s="4"/>
      <c r="J184" s="4"/>
      <c r="K184" s="4"/>
      <c r="L184" s="58"/>
      <c r="M184" s="58"/>
    </row>
    <row r="185" spans="1:14" ht="18.75">
      <c r="A185" s="23" t="s">
        <v>460</v>
      </c>
      <c r="B185" s="310">
        <f>IF($J$3*(B183/10)/13.3/SQRT($J$2)&gt;30,$J$3*(B183/10)/13.3/SQRT($J$2),30)</f>
        <v>36.400219419242639</v>
      </c>
      <c r="C185" s="23" t="s">
        <v>63</v>
      </c>
      <c r="D185" s="23" t="s">
        <v>270</v>
      </c>
      <c r="G185" s="4"/>
      <c r="H185" s="31" t="s">
        <v>102</v>
      </c>
      <c r="I185" s="32">
        <f>I182*1000/J9/B180/(B192*100)^2</f>
        <v>11.685203703703705</v>
      </c>
      <c r="J185" s="194" t="s">
        <v>13</v>
      </c>
      <c r="K185" s="6" t="s">
        <v>548</v>
      </c>
      <c r="L185" s="4"/>
    </row>
    <row r="186" spans="1:14" ht="18.75">
      <c r="A186" s="23" t="s">
        <v>273</v>
      </c>
      <c r="B186" s="310">
        <f>((B180-B163)/2 - B164)*100</f>
        <v>87.000000000000014</v>
      </c>
      <c r="C186" s="23" t="s">
        <v>63</v>
      </c>
      <c r="D186" s="23" t="s">
        <v>463</v>
      </c>
      <c r="G186" s="4"/>
      <c r="H186" s="31" t="s">
        <v>104</v>
      </c>
      <c r="I186" s="37">
        <f>(J5/J3)*(1-SQRT(1-2*I185/J5))</f>
        <v>4.0135110712261456E-3</v>
      </c>
      <c r="J186" s="215"/>
      <c r="K186" s="6" t="s">
        <v>261</v>
      </c>
      <c r="L186" s="4"/>
    </row>
    <row r="187" spans="1:14" ht="18.75">
      <c r="A187" s="31" t="s">
        <v>275</v>
      </c>
      <c r="B187" s="240" t="str">
        <f>IF(B186&gt;=B185,"&gt;","&lt;")</f>
        <v>&gt;</v>
      </c>
      <c r="C187" s="23" t="s">
        <v>465</v>
      </c>
      <c r="D187" s="241" t="str">
        <f>IF(B185&lt;=B186,"ผ่าน","ไม่ผ่าน")</f>
        <v>ผ่าน</v>
      </c>
      <c r="E187" s="23" t="s">
        <v>277</v>
      </c>
      <c r="H187" s="31" t="s">
        <v>263</v>
      </c>
      <c r="I187" s="58">
        <f>I186*B180*B192*10000</f>
        <v>60.202666068392183</v>
      </c>
      <c r="J187" s="194" t="s">
        <v>264</v>
      </c>
      <c r="K187" s="6" t="s">
        <v>549</v>
      </c>
      <c r="L187" s="4"/>
    </row>
    <row r="188" spans="1:14" ht="18.75">
      <c r="A188" s="19" t="s">
        <v>466</v>
      </c>
      <c r="H188" s="31" t="s">
        <v>267</v>
      </c>
      <c r="I188" s="58">
        <f>J7*B180*B193*10000</f>
        <v>33.749999999999993</v>
      </c>
      <c r="J188" s="255" t="s">
        <v>264</v>
      </c>
      <c r="K188" s="6" t="s">
        <v>485</v>
      </c>
    </row>
    <row r="189" spans="1:14" ht="18.75">
      <c r="A189" s="23" t="s">
        <v>467</v>
      </c>
      <c r="B189" s="298">
        <f>4*B173*1000</f>
        <v>400960</v>
      </c>
      <c r="C189" s="23" t="s">
        <v>299</v>
      </c>
      <c r="D189" s="6" t="s">
        <v>550</v>
      </c>
      <c r="H189" s="31" t="s">
        <v>271</v>
      </c>
      <c r="I189" s="58">
        <f>IF(I187&gt;=I188,I187,I188)</f>
        <v>60.202666068392183</v>
      </c>
      <c r="J189" s="23" t="s">
        <v>264</v>
      </c>
      <c r="K189" s="6" t="s">
        <v>272</v>
      </c>
      <c r="L189" s="4"/>
      <c r="M189" s="4"/>
    </row>
    <row r="190" spans="1:14" ht="18.75">
      <c r="A190" s="23" t="s">
        <v>469</v>
      </c>
      <c r="B190" s="58">
        <f>B163^2+(0.9*B189/J10/J14)</f>
        <v>3.1125318867564573</v>
      </c>
      <c r="C190" s="23" t="s">
        <v>470</v>
      </c>
      <c r="D190" s="6" t="s">
        <v>471</v>
      </c>
      <c r="H190" s="31" t="s">
        <v>476</v>
      </c>
      <c r="I190" s="310">
        <f>I189/B184</f>
        <v>12.26438642188203</v>
      </c>
      <c r="J190" s="23" t="s">
        <v>401</v>
      </c>
      <c r="K190" s="6" t="s">
        <v>534</v>
      </c>
    </row>
    <row r="191" spans="1:14" ht="18.75">
      <c r="A191" s="23" t="s">
        <v>515</v>
      </c>
      <c r="B191" s="199">
        <f>(-B163+SQRT(B190))/2</f>
        <v>0.57711845672172313</v>
      </c>
      <c r="C191" s="23" t="s">
        <v>79</v>
      </c>
      <c r="D191" s="6" t="s">
        <v>474</v>
      </c>
      <c r="E191" s="4"/>
      <c r="F191" s="4"/>
      <c r="G191" s="4"/>
      <c r="H191" s="31" t="s">
        <v>479</v>
      </c>
      <c r="I191" s="30">
        <v>13</v>
      </c>
      <c r="J191" s="23" t="s">
        <v>480</v>
      </c>
      <c r="K191" s="7"/>
      <c r="N191" s="94"/>
    </row>
    <row r="192" spans="1:14" ht="18.75">
      <c r="A192" s="31" t="s">
        <v>306</v>
      </c>
      <c r="B192" s="293">
        <v>0.6</v>
      </c>
      <c r="C192" s="23" t="s">
        <v>79</v>
      </c>
      <c r="D192" s="6" t="s">
        <v>475</v>
      </c>
      <c r="E192" s="4"/>
      <c r="F192" s="4"/>
      <c r="G192" s="4"/>
      <c r="H192" s="31" t="s">
        <v>282</v>
      </c>
      <c r="I192" s="58">
        <f>(B180-2*B164)/(I191-1)</f>
        <v>0.19583333333333333</v>
      </c>
      <c r="J192" s="23" t="s">
        <v>79</v>
      </c>
      <c r="K192" s="6" t="s">
        <v>489</v>
      </c>
      <c r="M192" s="6" t="s">
        <v>283</v>
      </c>
    </row>
    <row r="193" spans="1:13" ht="18.75">
      <c r="A193" s="31" t="s">
        <v>478</v>
      </c>
      <c r="B193" s="305">
        <f>B192+B164</f>
        <v>0.67499999999999993</v>
      </c>
      <c r="C193" s="4"/>
      <c r="D193" s="6" t="s">
        <v>308</v>
      </c>
      <c r="E193" s="4"/>
      <c r="F193" s="4"/>
      <c r="G193" s="4"/>
    </row>
    <row r="198" spans="1:13" ht="18.75">
      <c r="A198" s="23"/>
      <c r="B198" s="33"/>
      <c r="C198" s="23"/>
      <c r="D198" s="4"/>
      <c r="E198" s="4"/>
    </row>
    <row r="199" spans="1:13" ht="18.75">
      <c r="H199" s="308"/>
    </row>
    <row r="200" spans="1:13" ht="18.75">
      <c r="H200" s="31"/>
      <c r="I200" s="58"/>
      <c r="J200" s="23"/>
      <c r="K200" s="23"/>
    </row>
    <row r="201" spans="1:13" ht="18.75">
      <c r="H201" s="31"/>
      <c r="I201" s="310"/>
      <c r="J201" s="23"/>
      <c r="K201" s="23"/>
    </row>
    <row r="202" spans="1:13" ht="18.75">
      <c r="H202" s="31"/>
      <c r="I202" s="23"/>
      <c r="J202" s="23"/>
      <c r="K202" s="4"/>
    </row>
    <row r="203" spans="1:13" ht="18.75">
      <c r="H203" s="31"/>
      <c r="I203" s="58"/>
      <c r="J203" s="23"/>
      <c r="K203" s="23"/>
      <c r="M203" s="6"/>
    </row>
  </sheetData>
  <mergeCells count="2">
    <mergeCell ref="G24:H24"/>
    <mergeCell ref="G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11</vt:i4>
      </vt:variant>
    </vt:vector>
  </HeadingPairs>
  <TitlesOfParts>
    <vt:vector size="13" baseType="lpstr">
      <vt:lpstr>แผ่นพื้น-คาน-เสา-ฐานรากวางบนดิน</vt:lpstr>
      <vt:lpstr>ฐานรากวางบนเสาเข็ม</vt:lpstr>
      <vt:lpstr>Av</vt:lpstr>
      <vt:lpstr>b</vt:lpstr>
      <vt:lpstr>cov</vt:lpstr>
      <vt:lpstr>fcu</vt:lpstr>
      <vt:lpstr>fsy</vt:lpstr>
      <vt:lpstr>fy</vt:lpstr>
      <vt:lpstr>h</vt:lpstr>
      <vt:lpstr>pM</vt:lpstr>
      <vt:lpstr>pMin</vt:lpstr>
      <vt:lpstr>pV</vt:lpstr>
      <vt:lpstr>Rnt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2024-06-15T03:07:48Z</dcterms:modified>
</cp:coreProperties>
</file>