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240" yWindow="105" windowWidth="14805" windowHeight="8010" tabRatio="487" activeTab="2"/>
  </bookViews>
  <sheets>
    <sheet name="Surface" sheetId="1" r:id="rId1"/>
    <sheet name="Subsurface" sheetId="2" r:id="rId2"/>
    <sheet name="Lateral" sheetId="3" r:id="rId3"/>
  </sheets>
  <definedNames>
    <definedName name="_xlnm.Print_Area" localSheetId="2">Lateral!$A$1:$O$51</definedName>
    <definedName name="_xlnm.Print_Area" localSheetId="1">Subsurface!$A$1:$O$51</definedName>
    <definedName name="_xlnm.Print_Area" localSheetId="0">Surface!$A$1:$P$51</definedName>
  </definedNames>
  <calcPr calcId="152511"/>
</workbook>
</file>

<file path=xl/calcChain.xml><?xml version="1.0" encoding="utf-8"?>
<calcChain xmlns="http://schemas.openxmlformats.org/spreadsheetml/2006/main">
  <c r="D48" i="1" l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B12" i="2" l="1"/>
  <c r="B14" i="1"/>
  <c r="E19" i="1" s="1"/>
  <c r="B9" i="2"/>
  <c r="B18" i="1"/>
  <c r="B12" i="3"/>
  <c r="E19" i="3" s="1"/>
  <c r="B11" i="3"/>
  <c r="B20" i="3" s="1"/>
  <c r="B10" i="3"/>
  <c r="B9" i="3"/>
  <c r="B11" i="2"/>
  <c r="B10" i="2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19" i="1"/>
  <c r="C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39" i="2" l="1"/>
  <c r="B44" i="2"/>
  <c r="B45" i="2"/>
  <c r="B46" i="2"/>
  <c r="B47" i="2"/>
  <c r="B48" i="2"/>
  <c r="F39" i="2"/>
  <c r="C44" i="2"/>
  <c r="E44" i="2"/>
  <c r="C45" i="2"/>
  <c r="E45" i="2"/>
  <c r="C46" i="2"/>
  <c r="E46" i="2"/>
  <c r="C47" i="2"/>
  <c r="E47" i="2"/>
  <c r="C48" i="2"/>
  <c r="E48" i="2"/>
  <c r="F44" i="2"/>
  <c r="F45" i="2"/>
  <c r="F46" i="2"/>
  <c r="F47" i="2"/>
  <c r="F48" i="2"/>
  <c r="D20" i="2"/>
  <c r="D44" i="2"/>
  <c r="D45" i="2"/>
  <c r="D46" i="2"/>
  <c r="D47" i="2"/>
  <c r="D48" i="2"/>
  <c r="G44" i="2"/>
  <c r="G46" i="2"/>
  <c r="G48" i="2"/>
  <c r="G43" i="2"/>
  <c r="G41" i="2"/>
  <c r="G39" i="2"/>
  <c r="G37" i="2"/>
  <c r="G35" i="2"/>
  <c r="G33" i="2"/>
  <c r="G31" i="2"/>
  <c r="G29" i="2"/>
  <c r="G27" i="2"/>
  <c r="G25" i="2"/>
  <c r="G23" i="2"/>
  <c r="G21" i="2"/>
  <c r="G19" i="2"/>
  <c r="G45" i="2"/>
  <c r="G47" i="2"/>
  <c r="G42" i="2"/>
  <c r="G40" i="2"/>
  <c r="G38" i="2"/>
  <c r="G36" i="2"/>
  <c r="G34" i="2"/>
  <c r="G32" i="2"/>
  <c r="G30" i="2"/>
  <c r="G28" i="2"/>
  <c r="G26" i="2"/>
  <c r="G24" i="2"/>
  <c r="G22" i="2"/>
  <c r="G20" i="2"/>
  <c r="G18" i="2"/>
  <c r="G48" i="3"/>
  <c r="G46" i="3"/>
  <c r="G44" i="3"/>
  <c r="G42" i="3"/>
  <c r="G40" i="3"/>
  <c r="G38" i="3"/>
  <c r="G36" i="3"/>
  <c r="G34" i="3"/>
  <c r="G32" i="3"/>
  <c r="G30" i="3"/>
  <c r="G28" i="3"/>
  <c r="G26" i="3"/>
  <c r="G24" i="3"/>
  <c r="G22" i="3"/>
  <c r="G20" i="3"/>
  <c r="G18" i="3"/>
  <c r="G47" i="3"/>
  <c r="G45" i="3"/>
  <c r="G43" i="3"/>
  <c r="G41" i="3"/>
  <c r="G39" i="3"/>
  <c r="G37" i="3"/>
  <c r="G35" i="3"/>
  <c r="G33" i="3"/>
  <c r="G31" i="3"/>
  <c r="G29" i="3"/>
  <c r="G27" i="3"/>
  <c r="G25" i="3"/>
  <c r="G23" i="3"/>
  <c r="G21" i="3"/>
  <c r="G19" i="3"/>
  <c r="C18" i="2"/>
  <c r="E33" i="1"/>
  <c r="F33" i="1" s="1"/>
  <c r="E45" i="1"/>
  <c r="F45" i="1" s="1"/>
  <c r="E48" i="1"/>
  <c r="F48" i="1" s="1"/>
  <c r="E37" i="1"/>
  <c r="F37" i="1" s="1"/>
  <c r="B14" i="3"/>
  <c r="H41" i="3" s="1"/>
  <c r="E18" i="1"/>
  <c r="F18" i="1" s="1"/>
  <c r="E40" i="1"/>
  <c r="F40" i="1" s="1"/>
  <c r="E25" i="1"/>
  <c r="E41" i="1"/>
  <c r="F41" i="1" s="1"/>
  <c r="E29" i="1"/>
  <c r="F29" i="1" s="1"/>
  <c r="E44" i="1"/>
  <c r="F44" i="1" s="1"/>
  <c r="E36" i="1"/>
  <c r="F36" i="1" s="1"/>
  <c r="E21" i="1"/>
  <c r="F21" i="1" s="1"/>
  <c r="E32" i="1"/>
  <c r="F32" i="1" s="1"/>
  <c r="E28" i="1"/>
  <c r="F28" i="1" s="1"/>
  <c r="E24" i="1"/>
  <c r="F24" i="1" s="1"/>
  <c r="E20" i="1"/>
  <c r="F20" i="1" s="1"/>
  <c r="E46" i="1"/>
  <c r="F46" i="1" s="1"/>
  <c r="E42" i="1"/>
  <c r="F42" i="1" s="1"/>
  <c r="E38" i="1"/>
  <c r="F38" i="1" s="1"/>
  <c r="E34" i="1"/>
  <c r="F34" i="1" s="1"/>
  <c r="E30" i="1"/>
  <c r="F30" i="1" s="1"/>
  <c r="E26" i="1"/>
  <c r="F26" i="1" s="1"/>
  <c r="E22" i="1"/>
  <c r="B14" i="2"/>
  <c r="H35" i="2" s="1"/>
  <c r="E47" i="1"/>
  <c r="F47" i="1" s="1"/>
  <c r="E43" i="1"/>
  <c r="F43" i="1" s="1"/>
  <c r="E39" i="1"/>
  <c r="F39" i="1" s="1"/>
  <c r="E35" i="1"/>
  <c r="F35" i="1" s="1"/>
  <c r="E31" i="1"/>
  <c r="F31" i="1" s="1"/>
  <c r="E27" i="1"/>
  <c r="F27" i="1" s="1"/>
  <c r="E23" i="1"/>
  <c r="F23" i="1" s="1"/>
  <c r="H26" i="3"/>
  <c r="E31" i="3"/>
  <c r="D23" i="2"/>
  <c r="D27" i="2"/>
  <c r="B18" i="2"/>
  <c r="D40" i="2"/>
  <c r="E20" i="2"/>
  <c r="E40" i="3"/>
  <c r="C19" i="3"/>
  <c r="D31" i="2"/>
  <c r="D42" i="2"/>
  <c r="D35" i="2"/>
  <c r="D19" i="2"/>
  <c r="C34" i="2"/>
  <c r="C33" i="3"/>
  <c r="B23" i="2"/>
  <c r="F21" i="2"/>
  <c r="E47" i="3"/>
  <c r="E36" i="3"/>
  <c r="C42" i="3"/>
  <c r="E21" i="3"/>
  <c r="D18" i="3"/>
  <c r="C38" i="3"/>
  <c r="C26" i="3"/>
  <c r="E28" i="2"/>
  <c r="F29" i="2"/>
  <c r="B31" i="2"/>
  <c r="E36" i="2"/>
  <c r="F37" i="2"/>
  <c r="E44" i="3"/>
  <c r="E39" i="3"/>
  <c r="E28" i="3"/>
  <c r="E23" i="3"/>
  <c r="C26" i="2"/>
  <c r="C46" i="3"/>
  <c r="C34" i="3"/>
  <c r="C30" i="3"/>
  <c r="C25" i="3"/>
  <c r="C38" i="2"/>
  <c r="C30" i="2"/>
  <c r="C22" i="2"/>
  <c r="E32" i="2"/>
  <c r="E24" i="2"/>
  <c r="F33" i="2"/>
  <c r="F25" i="2"/>
  <c r="E48" i="3"/>
  <c r="C45" i="3"/>
  <c r="E43" i="3"/>
  <c r="C41" i="3"/>
  <c r="C37" i="3"/>
  <c r="E35" i="3"/>
  <c r="E32" i="3"/>
  <c r="C29" i="3"/>
  <c r="E27" i="3"/>
  <c r="E24" i="3"/>
  <c r="C22" i="3"/>
  <c r="C20" i="3"/>
  <c r="B35" i="2"/>
  <c r="B27" i="2"/>
  <c r="B19" i="2"/>
  <c r="B46" i="3"/>
  <c r="B42" i="3"/>
  <c r="B38" i="3"/>
  <c r="B34" i="3"/>
  <c r="B30" i="3"/>
  <c r="B48" i="3"/>
  <c r="B44" i="3"/>
  <c r="B40" i="3"/>
  <c r="B36" i="3"/>
  <c r="B32" i="3"/>
  <c r="B18" i="3"/>
  <c r="B47" i="3"/>
  <c r="B45" i="3"/>
  <c r="B43" i="3"/>
  <c r="B41" i="3"/>
  <c r="B39" i="3"/>
  <c r="B37" i="3"/>
  <c r="B35" i="3"/>
  <c r="B33" i="3"/>
  <c r="B31" i="3"/>
  <c r="B29" i="3"/>
  <c r="B27" i="3"/>
  <c r="B25" i="3"/>
  <c r="B23" i="3"/>
  <c r="B21" i="3"/>
  <c r="B19" i="3"/>
  <c r="B28" i="3"/>
  <c r="B26" i="3"/>
  <c r="B24" i="3"/>
  <c r="B22" i="3"/>
  <c r="D18" i="2"/>
  <c r="D37" i="2"/>
  <c r="D33" i="2"/>
  <c r="D29" i="2"/>
  <c r="D25" i="2"/>
  <c r="D21" i="2"/>
  <c r="D43" i="2"/>
  <c r="D41" i="2"/>
  <c r="D39" i="2"/>
  <c r="B37" i="2"/>
  <c r="B33" i="2"/>
  <c r="B29" i="2"/>
  <c r="B25" i="2"/>
  <c r="B21" i="2"/>
  <c r="B42" i="2"/>
  <c r="B40" i="2"/>
  <c r="C36" i="2"/>
  <c r="C32" i="2"/>
  <c r="C28" i="2"/>
  <c r="C24" i="2"/>
  <c r="C20" i="2"/>
  <c r="E38" i="2"/>
  <c r="E34" i="2"/>
  <c r="E30" i="2"/>
  <c r="E26" i="2"/>
  <c r="E22" i="2"/>
  <c r="F18" i="2"/>
  <c r="F35" i="2"/>
  <c r="F31" i="2"/>
  <c r="F27" i="2"/>
  <c r="F23" i="2"/>
  <c r="F19" i="2"/>
  <c r="E43" i="2"/>
  <c r="C43" i="2"/>
  <c r="E42" i="2"/>
  <c r="C42" i="2"/>
  <c r="E41" i="2"/>
  <c r="C41" i="2"/>
  <c r="E40" i="2"/>
  <c r="C40" i="2"/>
  <c r="E39" i="2"/>
  <c r="C39" i="2"/>
  <c r="C48" i="3"/>
  <c r="C47" i="3"/>
  <c r="E46" i="3"/>
  <c r="E45" i="3"/>
  <c r="C44" i="3"/>
  <c r="C43" i="3"/>
  <c r="E42" i="3"/>
  <c r="E41" i="3"/>
  <c r="C40" i="3"/>
  <c r="C39" i="3"/>
  <c r="E38" i="3"/>
  <c r="E37" i="3"/>
  <c r="C36" i="3"/>
  <c r="C35" i="3"/>
  <c r="E34" i="3"/>
  <c r="E33" i="3"/>
  <c r="C32" i="3"/>
  <c r="C31" i="3"/>
  <c r="E30" i="3"/>
  <c r="E29" i="3"/>
  <c r="C28" i="3"/>
  <c r="C27" i="3"/>
  <c r="E26" i="3"/>
  <c r="E25" i="3"/>
  <c r="C24" i="3"/>
  <c r="C23" i="3"/>
  <c r="E22" i="3"/>
  <c r="C21" i="3"/>
  <c r="E20" i="3"/>
  <c r="D19" i="3"/>
  <c r="D38" i="2"/>
  <c r="D36" i="2"/>
  <c r="D34" i="2"/>
  <c r="D32" i="2"/>
  <c r="D30" i="2"/>
  <c r="D28" i="2"/>
  <c r="D26" i="2"/>
  <c r="D24" i="2"/>
  <c r="D22" i="2"/>
  <c r="B38" i="2"/>
  <c r="B36" i="2"/>
  <c r="B34" i="2"/>
  <c r="B32" i="2"/>
  <c r="B30" i="2"/>
  <c r="B28" i="2"/>
  <c r="B26" i="2"/>
  <c r="B24" i="2"/>
  <c r="B22" i="2"/>
  <c r="B20" i="2"/>
  <c r="B43" i="2"/>
  <c r="B41" i="2"/>
  <c r="C37" i="2"/>
  <c r="C35" i="2"/>
  <c r="C33" i="2"/>
  <c r="C31" i="2"/>
  <c r="C29" i="2"/>
  <c r="C27" i="2"/>
  <c r="C25" i="2"/>
  <c r="C23" i="2"/>
  <c r="C21" i="2"/>
  <c r="C19" i="2"/>
  <c r="E18" i="2"/>
  <c r="E37" i="2"/>
  <c r="E35" i="2"/>
  <c r="E33" i="2"/>
  <c r="E31" i="2"/>
  <c r="E29" i="2"/>
  <c r="E27" i="2"/>
  <c r="E25" i="2"/>
  <c r="E23" i="2"/>
  <c r="E21" i="2"/>
  <c r="E19" i="2"/>
  <c r="F38" i="2"/>
  <c r="F36" i="2"/>
  <c r="F34" i="2"/>
  <c r="F32" i="2"/>
  <c r="F30" i="2"/>
  <c r="F28" i="2"/>
  <c r="F26" i="2"/>
  <c r="F24" i="2"/>
  <c r="F22" i="2"/>
  <c r="F20" i="2"/>
  <c r="F43" i="2"/>
  <c r="F42" i="2"/>
  <c r="F41" i="2"/>
  <c r="F40" i="2"/>
  <c r="C18" i="3"/>
  <c r="E18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F25" i="1"/>
  <c r="F19" i="1"/>
  <c r="F22" i="1"/>
  <c r="H47" i="2" l="1"/>
  <c r="I47" i="2" s="1"/>
  <c r="H45" i="2"/>
  <c r="I45" i="2" s="1"/>
  <c r="H48" i="2"/>
  <c r="I48" i="2" s="1"/>
  <c r="H46" i="2"/>
  <c r="I46" i="2" s="1"/>
  <c r="H44" i="2"/>
  <c r="I44" i="2" s="1"/>
  <c r="H47" i="3"/>
  <c r="H32" i="3"/>
  <c r="I32" i="3" s="1"/>
  <c r="H42" i="2"/>
  <c r="I42" i="2" s="1"/>
  <c r="H37" i="3"/>
  <c r="I37" i="3" s="1"/>
  <c r="H18" i="3"/>
  <c r="I18" i="3" s="1"/>
  <c r="H33" i="2"/>
  <c r="I33" i="2" s="1"/>
  <c r="H38" i="3"/>
  <c r="I38" i="3" s="1"/>
  <c r="H42" i="3"/>
  <c r="I42" i="3" s="1"/>
  <c r="H31" i="3"/>
  <c r="I31" i="3" s="1"/>
  <c r="H48" i="3"/>
  <c r="I48" i="3" s="1"/>
  <c r="H32" i="2"/>
  <c r="I32" i="2" s="1"/>
  <c r="H25" i="3"/>
  <c r="I25" i="3" s="1"/>
  <c r="H28" i="3"/>
  <c r="I28" i="3" s="1"/>
  <c r="H44" i="3"/>
  <c r="I44" i="3" s="1"/>
  <c r="H25" i="2"/>
  <c r="I25" i="2" s="1"/>
  <c r="H27" i="3"/>
  <c r="I27" i="3" s="1"/>
  <c r="H43" i="3"/>
  <c r="I43" i="3" s="1"/>
  <c r="H28" i="2"/>
  <c r="I28" i="2" s="1"/>
  <c r="H30" i="3"/>
  <c r="H29" i="3"/>
  <c r="I29" i="3" s="1"/>
  <c r="H26" i="2"/>
  <c r="I26" i="2" s="1"/>
  <c r="H39" i="2"/>
  <c r="I39" i="2" s="1"/>
  <c r="H20" i="3"/>
  <c r="I20" i="3" s="1"/>
  <c r="H22" i="2"/>
  <c r="I22" i="2" s="1"/>
  <c r="H24" i="3"/>
  <c r="I24" i="3" s="1"/>
  <c r="H40" i="3"/>
  <c r="I40" i="3" s="1"/>
  <c r="H21" i="2"/>
  <c r="I21" i="2" s="1"/>
  <c r="H41" i="2"/>
  <c r="I41" i="2" s="1"/>
  <c r="H39" i="3"/>
  <c r="I39" i="3" s="1"/>
  <c r="H24" i="2"/>
  <c r="I24" i="2" s="1"/>
  <c r="H20" i="2"/>
  <c r="I20" i="2" s="1"/>
  <c r="H27" i="2"/>
  <c r="I27" i="2" s="1"/>
  <c r="H19" i="3"/>
  <c r="I19" i="3" s="1"/>
  <c r="H21" i="3"/>
  <c r="I21" i="3" s="1"/>
  <c r="H43" i="2"/>
  <c r="I43" i="2" s="1"/>
  <c r="H33" i="3"/>
  <c r="I33" i="3" s="1"/>
  <c r="H36" i="3"/>
  <c r="I36" i="3" s="1"/>
  <c r="H23" i="3"/>
  <c r="I23" i="3" s="1"/>
  <c r="H37" i="2"/>
  <c r="I37" i="2" s="1"/>
  <c r="H35" i="3"/>
  <c r="I35" i="3" s="1"/>
  <c r="H22" i="3"/>
  <c r="I22" i="3" s="1"/>
  <c r="H40" i="2"/>
  <c r="I40" i="2" s="1"/>
  <c r="H46" i="3"/>
  <c r="I46" i="3" s="1"/>
  <c r="H45" i="3"/>
  <c r="I45" i="3" s="1"/>
  <c r="H34" i="3"/>
  <c r="I34" i="3" s="1"/>
  <c r="H29" i="2"/>
  <c r="I29" i="2" s="1"/>
  <c r="H19" i="2"/>
  <c r="I19" i="2" s="1"/>
  <c r="H18" i="2"/>
  <c r="I18" i="2" s="1"/>
  <c r="H36" i="2"/>
  <c r="I36" i="2" s="1"/>
  <c r="H34" i="2"/>
  <c r="I34" i="2" s="1"/>
  <c r="H30" i="2"/>
  <c r="I30" i="2" s="1"/>
  <c r="H31" i="2"/>
  <c r="I31" i="2" s="1"/>
  <c r="H23" i="2"/>
  <c r="I23" i="2" s="1"/>
  <c r="H38" i="2"/>
  <c r="I38" i="2" s="1"/>
  <c r="I26" i="3"/>
  <c r="I30" i="3"/>
  <c r="I41" i="3"/>
  <c r="I35" i="2"/>
  <c r="I47" i="3"/>
</calcChain>
</file>

<file path=xl/comments1.xml><?xml version="1.0" encoding="utf-8"?>
<comments xmlns="http://schemas.openxmlformats.org/spreadsheetml/2006/main">
  <authors>
    <author>Author</author>
  </authors>
  <commentList>
    <comment ref="B9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Volume Loss Ratio</t>
        </r>
      </text>
    </comment>
  </commentList>
</comments>
</file>

<file path=xl/sharedStrings.xml><?xml version="1.0" encoding="utf-8"?>
<sst xmlns="http://schemas.openxmlformats.org/spreadsheetml/2006/main" count="102" uniqueCount="48">
  <si>
    <t>Poisson =</t>
  </si>
  <si>
    <t>R =</t>
  </si>
  <si>
    <t>H =</t>
  </si>
  <si>
    <t>m</t>
  </si>
  <si>
    <t>x</t>
  </si>
  <si>
    <t>x =</t>
  </si>
  <si>
    <t>z</t>
  </si>
  <si>
    <t>3-4v</t>
  </si>
  <si>
    <r>
      <t>4(1-v)R</t>
    </r>
    <r>
      <rPr>
        <vertAlign val="superscript"/>
        <sz val="11"/>
        <color rgb="FFC00000"/>
        <rFont val="Calibri"/>
        <family val="2"/>
        <scheme val="minor"/>
      </rPr>
      <t>2</t>
    </r>
  </si>
  <si>
    <r>
      <t>U</t>
    </r>
    <r>
      <rPr>
        <vertAlign val="subscript"/>
        <sz val="11"/>
        <color rgb="FFC00000"/>
        <rFont val="Calibri"/>
        <family val="2"/>
        <scheme val="minor"/>
      </rPr>
      <t>z=0</t>
    </r>
    <r>
      <rPr>
        <sz val="11"/>
        <color rgb="FFC00000"/>
        <rFont val="Calibri"/>
        <family val="2"/>
        <scheme val="minor"/>
      </rPr>
      <t xml:space="preserve"> (mm)</t>
    </r>
  </si>
  <si>
    <r>
      <t>U</t>
    </r>
    <r>
      <rPr>
        <vertAlign val="subscript"/>
        <sz val="11"/>
        <color rgb="FFC00000"/>
        <rFont val="Calibri"/>
        <family val="2"/>
        <scheme val="minor"/>
      </rPr>
      <t>z</t>
    </r>
    <r>
      <rPr>
        <sz val="11"/>
        <color rgb="FFC00000"/>
        <rFont val="Calibri"/>
        <family val="2"/>
        <scheme val="minor"/>
      </rPr>
      <t xml:space="preserve"> (mm)</t>
    </r>
  </si>
  <si>
    <r>
      <t>U</t>
    </r>
    <r>
      <rPr>
        <vertAlign val="subscript"/>
        <sz val="11"/>
        <color rgb="FFC00000"/>
        <rFont val="Calibri"/>
        <family val="2"/>
        <scheme val="minor"/>
      </rPr>
      <t>x</t>
    </r>
    <r>
      <rPr>
        <sz val="11"/>
        <color rgb="FFC00000"/>
        <rFont val="Calibri"/>
        <family val="2"/>
        <scheme val="minor"/>
      </rPr>
      <t xml:space="preserve"> (mm)</t>
    </r>
  </si>
  <si>
    <r>
      <t>R</t>
    </r>
    <r>
      <rPr>
        <vertAlign val="superscript"/>
        <sz val="11"/>
        <color rgb="FFC00000"/>
        <rFont val="Calibri"/>
        <family val="2"/>
        <scheme val="minor"/>
      </rPr>
      <t>2</t>
    </r>
  </si>
  <si>
    <r>
      <t>-(z-H)/(x</t>
    </r>
    <r>
      <rPr>
        <vertAlign val="superscript"/>
        <sz val="11"/>
        <color rgb="FFC00000"/>
        <rFont val="Calibri"/>
        <family val="2"/>
        <scheme val="minor"/>
      </rPr>
      <t>2</t>
    </r>
    <r>
      <rPr>
        <sz val="11"/>
        <color rgb="FFC00000"/>
        <rFont val="Calibri"/>
        <family val="2"/>
        <scheme val="minor"/>
      </rPr>
      <t>+(z-H)</t>
    </r>
    <r>
      <rPr>
        <vertAlign val="superscript"/>
        <sz val="11"/>
        <color rgb="FFC00000"/>
        <rFont val="Calibri"/>
        <family val="2"/>
        <scheme val="minor"/>
      </rPr>
      <t>2</t>
    </r>
    <r>
      <rPr>
        <sz val="11"/>
        <color rgb="FFC00000"/>
        <rFont val="Calibri"/>
        <family val="2"/>
        <scheme val="minor"/>
      </rPr>
      <t>)</t>
    </r>
  </si>
  <si>
    <r>
      <t>(z+H)/(x</t>
    </r>
    <r>
      <rPr>
        <vertAlign val="superscript"/>
        <sz val="11"/>
        <color rgb="FFC00000"/>
        <rFont val="Calibri"/>
        <family val="2"/>
        <scheme val="minor"/>
      </rPr>
      <t>2</t>
    </r>
    <r>
      <rPr>
        <sz val="11"/>
        <color rgb="FFC00000"/>
        <rFont val="Calibri"/>
        <family val="2"/>
        <scheme val="minor"/>
      </rPr>
      <t>+(z+H)</t>
    </r>
    <r>
      <rPr>
        <vertAlign val="superscript"/>
        <sz val="11"/>
        <color rgb="FFC00000"/>
        <rFont val="Calibri"/>
        <family val="2"/>
        <scheme val="minor"/>
      </rPr>
      <t>2</t>
    </r>
    <r>
      <rPr>
        <sz val="11"/>
        <color rgb="FFC00000"/>
        <rFont val="Calibri"/>
        <family val="2"/>
        <scheme val="minor"/>
      </rPr>
      <t>)</t>
    </r>
  </si>
  <si>
    <r>
      <t>2z(x</t>
    </r>
    <r>
      <rPr>
        <vertAlign val="superscript"/>
        <sz val="11"/>
        <color rgb="FFC00000"/>
        <rFont val="Calibri"/>
        <family val="2"/>
        <scheme val="minor"/>
      </rPr>
      <t>2</t>
    </r>
    <r>
      <rPr>
        <sz val="11"/>
        <color rgb="FFC00000"/>
        <rFont val="Calibri"/>
        <family val="2"/>
        <scheme val="minor"/>
      </rPr>
      <t>-(z+H)</t>
    </r>
    <r>
      <rPr>
        <vertAlign val="superscript"/>
        <sz val="11"/>
        <color rgb="FFC00000"/>
        <rFont val="Calibri"/>
        <family val="2"/>
        <scheme val="minor"/>
      </rPr>
      <t>2</t>
    </r>
    <r>
      <rPr>
        <sz val="11"/>
        <color rgb="FFC00000"/>
        <rFont val="Calibri"/>
        <family val="2"/>
        <scheme val="minor"/>
      </rPr>
      <t>)/(x</t>
    </r>
    <r>
      <rPr>
        <vertAlign val="superscript"/>
        <sz val="11"/>
        <color rgb="FFC00000"/>
        <rFont val="Calibri"/>
        <family val="2"/>
        <scheme val="minor"/>
      </rPr>
      <t>2</t>
    </r>
    <r>
      <rPr>
        <sz val="11"/>
        <color rgb="FFC00000"/>
        <rFont val="Calibri"/>
        <family val="2"/>
        <scheme val="minor"/>
      </rPr>
      <t>+(z+H)</t>
    </r>
    <r>
      <rPr>
        <vertAlign val="superscript"/>
        <sz val="11"/>
        <color rgb="FFC00000"/>
        <rFont val="Calibri"/>
        <family val="2"/>
        <scheme val="minor"/>
      </rPr>
      <t>2</t>
    </r>
    <r>
      <rPr>
        <sz val="11"/>
        <color rgb="FFC00000"/>
        <rFont val="Calibri"/>
        <family val="2"/>
        <scheme val="minor"/>
      </rPr>
      <t>)</t>
    </r>
    <r>
      <rPr>
        <vertAlign val="superscript"/>
        <sz val="11"/>
        <color rgb="FFC00000"/>
        <rFont val="Calibri"/>
        <family val="2"/>
        <scheme val="minor"/>
      </rPr>
      <t>2</t>
    </r>
  </si>
  <si>
    <r>
      <t>exp(-1.38x</t>
    </r>
    <r>
      <rPr>
        <vertAlign val="superscript"/>
        <sz val="11"/>
        <color rgb="FFC00000"/>
        <rFont val="Calibri"/>
        <family val="2"/>
        <scheme val="minor"/>
      </rPr>
      <t>2</t>
    </r>
    <r>
      <rPr>
        <sz val="11"/>
        <color rgb="FFC00000"/>
        <rFont val="Calibri"/>
        <family val="2"/>
        <scheme val="minor"/>
      </rPr>
      <t>/(Hcot(45+</t>
    </r>
    <r>
      <rPr>
        <sz val="11"/>
        <color rgb="FFC00000"/>
        <rFont val="Calibri"/>
        <family val="2"/>
      </rPr>
      <t>φ/2)</t>
    </r>
    <r>
      <rPr>
        <sz val="11"/>
        <color rgb="FFC00000"/>
        <rFont val="Calibri"/>
        <family val="2"/>
        <scheme val="minor"/>
      </rPr>
      <t>+R)</t>
    </r>
    <r>
      <rPr>
        <vertAlign val="superscript"/>
        <sz val="11"/>
        <color rgb="FFC00000"/>
        <rFont val="Calibri"/>
        <family val="2"/>
        <scheme val="minor"/>
      </rPr>
      <t>2</t>
    </r>
    <r>
      <rPr>
        <sz val="11"/>
        <color rgb="FFC00000"/>
        <rFont val="Calibri"/>
        <family val="2"/>
        <scheme val="minor"/>
      </rPr>
      <t>)</t>
    </r>
  </si>
  <si>
    <r>
      <t>H/(H</t>
    </r>
    <r>
      <rPr>
        <vertAlign val="superscript"/>
        <sz val="11"/>
        <color rgb="FFC00000"/>
        <rFont val="Calibri"/>
        <family val="2"/>
        <scheme val="minor"/>
      </rPr>
      <t>2</t>
    </r>
    <r>
      <rPr>
        <sz val="11"/>
        <color rgb="FFC00000"/>
        <rFont val="Calibri"/>
        <family val="2"/>
        <scheme val="minor"/>
      </rPr>
      <t>+x</t>
    </r>
    <r>
      <rPr>
        <vertAlign val="superscript"/>
        <sz val="11"/>
        <color rgb="FFC00000"/>
        <rFont val="Calibri"/>
        <family val="2"/>
        <scheme val="minor"/>
      </rPr>
      <t>2</t>
    </r>
    <r>
      <rPr>
        <sz val="11"/>
        <color rgb="FFC00000"/>
        <rFont val="Calibri"/>
        <family val="2"/>
        <scheme val="minor"/>
      </rPr>
      <t>)</t>
    </r>
  </si>
  <si>
    <r>
      <t>45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+φ/2 =</t>
    </r>
  </si>
  <si>
    <t>φ =</t>
  </si>
  <si>
    <r>
      <t>R</t>
    </r>
    <r>
      <rPr>
        <vertAlign val="superscript"/>
        <sz val="11"/>
        <color rgb="FFC00000"/>
        <rFont val="Calibri"/>
        <family val="2"/>
        <scheme val="minor"/>
      </rPr>
      <t>2</t>
    </r>
    <r>
      <rPr>
        <sz val="11"/>
        <color rgb="FFC00000"/>
        <rFont val="Calibri"/>
        <family val="2"/>
        <scheme val="minor"/>
      </rPr>
      <t>x</t>
    </r>
  </si>
  <si>
    <r>
      <t>1/(x</t>
    </r>
    <r>
      <rPr>
        <vertAlign val="superscript"/>
        <sz val="11"/>
        <color rgb="FFC00000"/>
        <rFont val="Calibri"/>
        <family val="2"/>
        <scheme val="minor"/>
      </rPr>
      <t>2</t>
    </r>
    <r>
      <rPr>
        <sz val="11"/>
        <color rgb="FFC00000"/>
        <rFont val="Calibri"/>
        <family val="2"/>
        <scheme val="minor"/>
      </rPr>
      <t>+(H-z)</t>
    </r>
    <r>
      <rPr>
        <vertAlign val="superscript"/>
        <sz val="11"/>
        <color rgb="FFC00000"/>
        <rFont val="Calibri"/>
        <family val="2"/>
        <scheme val="minor"/>
      </rPr>
      <t>2</t>
    </r>
    <r>
      <rPr>
        <sz val="11"/>
        <color rgb="FFC00000"/>
        <rFont val="Calibri"/>
        <family val="2"/>
        <scheme val="minor"/>
      </rPr>
      <t>)</t>
    </r>
  </si>
  <si>
    <r>
      <t>(3-4v)/(x</t>
    </r>
    <r>
      <rPr>
        <vertAlign val="superscript"/>
        <sz val="11"/>
        <color rgb="FFC00000"/>
        <rFont val="Calibri"/>
        <family val="2"/>
        <scheme val="minor"/>
      </rPr>
      <t>2</t>
    </r>
    <r>
      <rPr>
        <sz val="11"/>
        <color rgb="FFC00000"/>
        <rFont val="Calibri"/>
        <family val="2"/>
        <scheme val="minor"/>
      </rPr>
      <t>+(H+z)</t>
    </r>
    <r>
      <rPr>
        <vertAlign val="superscript"/>
        <sz val="11"/>
        <color rgb="FFC00000"/>
        <rFont val="Calibri"/>
        <family val="2"/>
        <scheme val="minor"/>
      </rPr>
      <t>2</t>
    </r>
    <r>
      <rPr>
        <sz val="11"/>
        <color rgb="FFC00000"/>
        <rFont val="Calibri"/>
        <family val="2"/>
        <scheme val="minor"/>
      </rPr>
      <t>)</t>
    </r>
  </si>
  <si>
    <r>
      <t>4z(z+H)/(x</t>
    </r>
    <r>
      <rPr>
        <vertAlign val="superscript"/>
        <sz val="11"/>
        <color rgb="FFC00000"/>
        <rFont val="Calibri"/>
        <family val="2"/>
        <scheme val="minor"/>
      </rPr>
      <t>2</t>
    </r>
    <r>
      <rPr>
        <sz val="11"/>
        <color rgb="FFC00000"/>
        <rFont val="Calibri"/>
        <family val="2"/>
        <scheme val="minor"/>
      </rPr>
      <t>+(H+z)</t>
    </r>
    <r>
      <rPr>
        <vertAlign val="superscript"/>
        <sz val="11"/>
        <color rgb="FFC00000"/>
        <rFont val="Calibri"/>
        <family val="2"/>
        <scheme val="minor"/>
      </rPr>
      <t>2</t>
    </r>
    <r>
      <rPr>
        <sz val="11"/>
        <color rgb="FFC00000"/>
        <rFont val="Calibri"/>
        <family val="2"/>
        <scheme val="minor"/>
      </rPr>
      <t>)</t>
    </r>
    <r>
      <rPr>
        <vertAlign val="superscript"/>
        <sz val="11"/>
        <color rgb="FFC00000"/>
        <rFont val="Calibri"/>
        <family val="2"/>
        <scheme val="minor"/>
      </rPr>
      <t>2</t>
    </r>
  </si>
  <si>
    <t>Tunneling-Induced Surface Settlement (Settlement Trough)</t>
  </si>
  <si>
    <t>Tunneling-Induced Subsurface Settlements</t>
  </si>
  <si>
    <t>Tunneling-Induced Lateral Movements</t>
  </si>
  <si>
    <t>%</t>
  </si>
  <si>
    <t>(-)</t>
  </si>
  <si>
    <t>Input Parameters</t>
  </si>
  <si>
    <t>Outputs</t>
  </si>
  <si>
    <t>Remark:</t>
  </si>
  <si>
    <t>degree</t>
  </si>
  <si>
    <t>m from tunnel centre</t>
  </si>
  <si>
    <r>
      <t>exp[-[1.38x</t>
    </r>
    <r>
      <rPr>
        <vertAlign val="superscript"/>
        <sz val="11"/>
        <color rgb="FFC00000"/>
        <rFont val="Calibri"/>
        <family val="2"/>
        <scheme val="minor"/>
      </rPr>
      <t>2</t>
    </r>
    <r>
      <rPr>
        <sz val="11"/>
        <color rgb="FFC00000"/>
        <rFont val="Calibri"/>
        <family val="2"/>
        <scheme val="minor"/>
      </rPr>
      <t>/(Hcot(45+φ/2)+R)</t>
    </r>
    <r>
      <rPr>
        <vertAlign val="superscript"/>
        <sz val="11"/>
        <color rgb="FFC00000"/>
        <rFont val="Calibri"/>
        <family val="2"/>
        <scheme val="minor"/>
      </rPr>
      <t>2</t>
    </r>
    <r>
      <rPr>
        <sz val="11"/>
        <color rgb="FFC00000"/>
        <rFont val="Calibri"/>
        <family val="2"/>
        <scheme val="minor"/>
      </rPr>
      <t>+0.69z</t>
    </r>
    <r>
      <rPr>
        <vertAlign val="superscript"/>
        <sz val="11"/>
        <color rgb="FFC00000"/>
        <rFont val="Calibri"/>
        <family val="2"/>
        <scheme val="minor"/>
      </rPr>
      <t>2</t>
    </r>
    <r>
      <rPr>
        <sz val="11"/>
        <color rgb="FFC00000"/>
        <rFont val="Calibri"/>
        <family val="2"/>
        <scheme val="minor"/>
      </rPr>
      <t>/H</t>
    </r>
    <r>
      <rPr>
        <vertAlign val="superscript"/>
        <sz val="11"/>
        <color rgb="FFC00000"/>
        <rFont val="Calibri"/>
        <family val="2"/>
        <scheme val="minor"/>
      </rPr>
      <t>2</t>
    </r>
    <r>
      <rPr>
        <sz val="11"/>
        <color rgb="FFC00000"/>
        <rFont val="Calibri"/>
        <family val="2"/>
        <scheme val="minor"/>
      </rPr>
      <t>]]</t>
    </r>
  </si>
  <si>
    <t>Reference:</t>
  </si>
  <si>
    <t>Loganathan, N. and Poulos, H.G. (1998). "Analytical prediction for tunneling-induced ground movements in clays." J. Geotech Geoenviron., ASCE, Vol.124(9), 846-856.</t>
  </si>
  <si>
    <t>This method can be used to compare with Peck's method</t>
  </si>
  <si>
    <t>หมายเหตุ</t>
  </si>
  <si>
    <t>1)</t>
  </si>
  <si>
    <r>
      <t xml:space="preserve">ตารางคำนวณนี้เขียนขึ้นโดย </t>
    </r>
    <r>
      <rPr>
        <i/>
        <sz val="11"/>
        <color theme="1"/>
        <rFont val="Calibri"/>
        <family val="2"/>
        <scheme val="minor"/>
      </rPr>
      <t>พัลลภ วิสุทธิ์เมธานุกูล</t>
    </r>
    <r>
      <rPr>
        <sz val="11"/>
        <color theme="1"/>
        <rFont val="Calibri"/>
        <family val="2"/>
        <scheme val="minor"/>
      </rPr>
      <t xml:space="preserve">  โดยมีวัตถุประสงค์ด้านวิชาการเพื่อใช้ประกอบหนังสือ </t>
    </r>
    <r>
      <rPr>
        <i/>
        <sz val="11"/>
        <color theme="1"/>
        <rFont val="Calibri"/>
        <family val="2"/>
        <scheme val="minor"/>
      </rPr>
      <t>คู่มือวิศวกรรมฐานราก</t>
    </r>
    <r>
      <rPr>
        <sz val="11"/>
        <color theme="1"/>
        <rFont val="Calibri"/>
        <family val="2"/>
        <scheme val="minor"/>
      </rPr>
      <t xml:space="preserve">  ของผู้เขียนเดียวกัน</t>
    </r>
  </si>
  <si>
    <t>2)</t>
  </si>
  <si>
    <t>ถึงแม้ว่าผู้เขียนจะพัฒนาตารางคำนวณขึ้นมาอย่างระมัดระวัง แต่ก็อาจจะมีความผิดพลาด รวมทั้งไม่สามารถใช้ครอบคลุมและแก้ปัญหาทุกสิ่งทุกอย่างได้</t>
  </si>
  <si>
    <t>3)</t>
  </si>
  <si>
    <t>ผู้เขียนตารางคำนวณไม่จำเป็นต้องรับผิดชอบความผิดพลาดในตารางคำนวณ หรือรับผิดชอบความเสียหายที่เกิดจากผู้อื่นนำไปใช้</t>
  </si>
  <si>
    <t>GLR =</t>
  </si>
  <si>
    <t>GLR</t>
  </si>
  <si>
    <t>ver 2014.07.18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</si>
</sst>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vertAlign val="superscript"/>
      <sz val="11"/>
      <color rgb="FFC00000"/>
      <name val="Calibri"/>
      <family val="2"/>
      <scheme val="minor"/>
    </font>
    <font>
      <vertAlign val="subscript"/>
      <sz val="11"/>
      <color rgb="FFC00000"/>
      <name val="Calibri"/>
      <family val="2"/>
      <scheme val="minor"/>
    </font>
    <font>
      <b/>
      <sz val="11"/>
      <color rgb="FF3333FF"/>
      <name val="Calibri"/>
      <family val="2"/>
      <scheme val="minor"/>
    </font>
    <font>
      <sz val="11"/>
      <color rgb="FFC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3333FF"/>
      <name val="Calibri"/>
      <family val="2"/>
      <scheme val="minor"/>
    </font>
    <font>
      <b/>
      <sz val="11"/>
      <color rgb="FFFF00FF"/>
      <name val="Calibri"/>
      <family val="2"/>
      <scheme val="minor"/>
    </font>
    <font>
      <sz val="14"/>
      <color rgb="FFC0000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 applyBorder="1" applyAlignment="1">
      <alignment horizontal="righ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11" xfId="0" applyBorder="1"/>
    <xf numFmtId="0" fontId="9" fillId="0" borderId="10" xfId="0" applyFont="1" applyBorder="1"/>
    <xf numFmtId="0" fontId="4" fillId="0" borderId="10" xfId="0" applyFont="1" applyBorder="1"/>
    <xf numFmtId="0" fontId="0" fillId="0" borderId="10" xfId="0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0" fontId="6" fillId="0" borderId="0" xfId="0" applyFont="1" applyBorder="1"/>
    <xf numFmtId="0" fontId="7" fillId="0" borderId="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3" xfId="0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0" fillId="0" borderId="19" xfId="0" applyBorder="1" applyAlignment="1">
      <alignment horizontal="center"/>
    </xf>
    <xf numFmtId="2" fontId="10" fillId="0" borderId="19" xfId="0" applyNumberFormat="1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9" xfId="0" applyBorder="1"/>
    <xf numFmtId="0" fontId="0" fillId="0" borderId="0" xfId="0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0" fillId="0" borderId="20" xfId="0" applyBorder="1" applyAlignment="1">
      <alignment horizontal="center"/>
    </xf>
    <xf numFmtId="2" fontId="10" fillId="0" borderId="19" xfId="0" applyNumberFormat="1" applyFont="1" applyFill="1" applyBorder="1" applyAlignment="1">
      <alignment horizontal="center" vertical="center"/>
    </xf>
    <xf numFmtId="0" fontId="8" fillId="0" borderId="0" xfId="0" applyFont="1"/>
    <xf numFmtId="0" fontId="0" fillId="0" borderId="0" xfId="0" applyFill="1" applyBorder="1" applyAlignment="1">
      <alignment horizontal="left"/>
    </xf>
    <xf numFmtId="0" fontId="0" fillId="0" borderId="11" xfId="0" applyFill="1" applyBorder="1"/>
    <xf numFmtId="0" fontId="14" fillId="0" borderId="8" xfId="0" applyFont="1" applyBorder="1"/>
    <xf numFmtId="0" fontId="16" fillId="0" borderId="9" xfId="0" applyFont="1" applyBorder="1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FF"/>
      <color rgb="FF3333FF"/>
      <color rgb="FFFF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xVal>
            <c:numRef>
              <c:f>Surface!$A$18:$A$48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Surface!$F$18:$F$48</c:f>
              <c:numCache>
                <c:formatCode>0.00</c:formatCode>
                <c:ptCount val="31"/>
                <c:pt idx="0">
                  <c:v>11.856410810810813</c:v>
                </c:pt>
                <c:pt idx="1">
                  <c:v>11.78045416229026</c:v>
                </c:pt>
                <c:pt idx="2">
                  <c:v>11.556077617723718</c:v>
                </c:pt>
                <c:pt idx="3">
                  <c:v>11.193433417256086</c:v>
                </c:pt>
                <c:pt idx="4">
                  <c:v>10.708401430483327</c:v>
                </c:pt>
                <c:pt idx="5">
                  <c:v>10.121199740522524</c:v>
                </c:pt>
                <c:pt idx="6">
                  <c:v>9.4547399783622961</c:v>
                </c:pt>
                <c:pt idx="7">
                  <c:v>8.7329438954945555</c:v>
                </c:pt>
                <c:pt idx="8">
                  <c:v>7.9792102619396461</c:v>
                </c:pt>
                <c:pt idx="9">
                  <c:v>7.2151663386360854</c:v>
                </c:pt>
                <c:pt idx="10">
                  <c:v>6.4597732320263113</c:v>
                </c:pt>
                <c:pt idx="11">
                  <c:v>5.7287946350920533</c:v>
                </c:pt>
                <c:pt idx="12">
                  <c:v>5.034593420852576</c:v>
                </c:pt>
                <c:pt idx="13">
                  <c:v>4.386193650909803</c:v>
                </c:pt>
                <c:pt idx="14">
                  <c:v>3.7895353045715652</c:v>
                </c:pt>
                <c:pt idx="15">
                  <c:v>3.2478512667104145</c:v>
                </c:pt>
                <c:pt idx="16">
                  <c:v>2.762105990775753</c:v>
                </c:pt>
                <c:pt idx="17">
                  <c:v>2.3314485400929907</c:v>
                </c:pt>
                <c:pt idx="18">
                  <c:v>1.9536463473675769</c:v>
                </c:pt>
                <c:pt idx="19">
                  <c:v>1.6254781866644332</c:v>
                </c:pt>
                <c:pt idx="20">
                  <c:v>1.3430746857857543</c:v>
                </c:pt>
                <c:pt idx="21">
                  <c:v>1.1022020589208874</c:v>
                </c:pt>
                <c:pt idx="22">
                  <c:v>0.89848983685827166</c:v>
                </c:pt>
                <c:pt idx="23">
                  <c:v>0.72760661498520018</c:v>
                </c:pt>
                <c:pt idx="24">
                  <c:v>0.58538966346307864</c:v>
                </c:pt>
                <c:pt idx="25">
                  <c:v>0.46793504646648043</c:v>
                </c:pt>
                <c:pt idx="26">
                  <c:v>0.37165500561712156</c:v>
                </c:pt>
                <c:pt idx="27">
                  <c:v>0.29330902897345612</c:v>
                </c:pt>
                <c:pt idx="28">
                  <c:v>0.2300144357655424</c:v>
                </c:pt>
                <c:pt idx="29">
                  <c:v>0.17924158793472644</c:v>
                </c:pt>
                <c:pt idx="30">
                  <c:v>0.1387980796493232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269888"/>
        <c:axId val="197269496"/>
      </c:scatterChart>
      <c:valAx>
        <c:axId val="197269888"/>
        <c:scaling>
          <c:orientation val="minMax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lang="en-SG" sz="1400"/>
                </a:pPr>
                <a:r>
                  <a:rPr lang="en-US" sz="1400"/>
                  <a:t>Distance (x)</a:t>
                </a:r>
                <a:r>
                  <a:rPr lang="en-US" sz="1400" baseline="0"/>
                  <a:t> from Tunnel Centre (m)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in"/>
        <c:tickLblPos val="nextTo"/>
        <c:txPr>
          <a:bodyPr/>
          <a:lstStyle/>
          <a:p>
            <a:pPr>
              <a:defRPr lang="en-SG"/>
            </a:pPr>
            <a:endParaRPr lang="en-US"/>
          </a:p>
        </c:txPr>
        <c:crossAx val="197269496"/>
        <c:crosses val="autoZero"/>
        <c:crossBetween val="midCat"/>
      </c:valAx>
      <c:valAx>
        <c:axId val="197269496"/>
        <c:scaling>
          <c:orientation val="maxMin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SG" sz="1400"/>
                </a:pPr>
                <a:r>
                  <a:rPr lang="en-US" sz="1400"/>
                  <a:t>Surface Settlement (mm)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in"/>
        <c:tickLblPos val="nextTo"/>
        <c:txPr>
          <a:bodyPr/>
          <a:lstStyle/>
          <a:p>
            <a:pPr>
              <a:defRPr lang="en-SG"/>
            </a:pPr>
            <a:endParaRPr lang="en-US"/>
          </a:p>
        </c:txPr>
        <c:crossAx val="1972698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xVal>
            <c:numRef>
              <c:f>Subsurface!$I$18:$I$48</c:f>
              <c:numCache>
                <c:formatCode>0.00</c:formatCode>
                <c:ptCount val="31"/>
                <c:pt idx="0">
                  <c:v>11.856410810810813</c:v>
                </c:pt>
                <c:pt idx="1">
                  <c:v>12.162745995437342</c:v>
                </c:pt>
                <c:pt idx="2">
                  <c:v>12.442884339795103</c:v>
                </c:pt>
                <c:pt idx="3">
                  <c:v>12.699672279101915</c:v>
                </c:pt>
                <c:pt idx="4">
                  <c:v>12.935752349704464</c:v>
                </c:pt>
                <c:pt idx="5">
                  <c:v>13.153608769925317</c:v>
                </c:pt>
                <c:pt idx="6">
                  <c:v>13.355608270467355</c:v>
                </c:pt>
                <c:pt idx="7">
                  <c:v>13.54403765504382</c:v>
                </c:pt>
                <c:pt idx="8">
                  <c:v>13.721139448800173</c:v>
                </c:pt>
                <c:pt idx="9">
                  <c:v>13.889146948243907</c:v>
                </c:pt>
                <c:pt idx="10">
                  <c:v>14.050320022441698</c:v>
                </c:pt>
                <c:pt idx="11">
                  <c:v>14.206983139506344</c:v>
                </c:pt>
                <c:pt idx="12">
                  <c:v>14.36156732254895</c:v>
                </c:pt>
                <c:pt idx="13">
                  <c:v>14.516658105469242</c:v>
                </c:pt>
                <c:pt idx="14">
                  <c:v>14.675052109193846</c:v>
                </c:pt>
                <c:pt idx="15">
                  <c:v>14.839825667925103</c:v>
                </c:pt>
                <c:pt idx="16">
                  <c:v>15.014420118550076</c:v>
                </c:pt>
                <c:pt idx="17">
                  <c:v>15.202750105952241</c:v>
                </c:pt>
                <c:pt idx="18">
                  <c:v>15.409343840307908</c:v>
                </c:pt>
                <c:pt idx="19">
                  <c:v>15.639528134227799</c:v>
                </c:pt>
                <c:pt idx="20">
                  <c:v>15.899677014101421</c:v>
                </c:pt>
                <c:pt idx="21">
                  <c:v>16.197552035064405</c:v>
                </c:pt>
                <c:pt idx="22">
                  <c:v>16.542777375925063</c:v>
                </c:pt>
                <c:pt idx="23">
                  <c:v>16.947517355548612</c:v>
                </c:pt>
                <c:pt idx="24">
                  <c:v>17.427465592466717</c:v>
                </c:pt>
                <c:pt idx="25">
                  <c:v>18.003327802547684</c:v>
                </c:pt>
                <c:pt idx="26">
                  <c:v>18.703112551140446</c:v>
                </c:pt>
                <c:pt idx="27">
                  <c:v>19.565795693471053</c:v>
                </c:pt>
                <c:pt idx="28">
                  <c:v>20.647427077762305</c:v>
                </c:pt>
                <c:pt idx="29">
                  <c:v>22.031816627694241</c:v>
                </c:pt>
                <c:pt idx="30">
                  <c:v>23.850379308395159</c:v>
                </c:pt>
              </c:numCache>
            </c:numRef>
          </c:xVal>
          <c:yVal>
            <c:numRef>
              <c:f>Subsurface!$A$18:$A$48</c:f>
              <c:numCache>
                <c:formatCode>General</c:formatCode>
                <c:ptCount val="3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271064"/>
        <c:axId val="197272240"/>
      </c:scatterChart>
      <c:valAx>
        <c:axId val="197271064"/>
        <c:scaling>
          <c:orientation val="minMax"/>
          <c:max val="7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lang="en-SG" sz="1400"/>
                </a:pPr>
                <a:r>
                  <a:rPr lang="en-US" sz="1400"/>
                  <a:t>Subsurface Settlement (mm) at Distance x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lang="en-SG"/>
            </a:pPr>
            <a:endParaRPr lang="en-US"/>
          </a:p>
        </c:txPr>
        <c:crossAx val="197272240"/>
        <c:crosses val="autoZero"/>
        <c:crossBetween val="midCat"/>
      </c:valAx>
      <c:valAx>
        <c:axId val="197272240"/>
        <c:scaling>
          <c:orientation val="maxMin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SG" sz="1200"/>
                </a:pPr>
                <a:r>
                  <a:rPr lang="en-US" sz="1200"/>
                  <a:t>Depth (m)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in"/>
        <c:tickLblPos val="nextTo"/>
        <c:txPr>
          <a:bodyPr/>
          <a:lstStyle/>
          <a:p>
            <a:pPr>
              <a:defRPr lang="en-SG"/>
            </a:pPr>
            <a:endParaRPr lang="en-US"/>
          </a:p>
        </c:txPr>
        <c:crossAx val="1972710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xVal>
            <c:numRef>
              <c:f>Lateral!$I$18:$I$48</c:f>
              <c:numCache>
                <c:formatCode>0.00</c:formatCode>
                <c:ptCount val="31"/>
                <c:pt idx="0">
                  <c:v>2.3153300390234222</c:v>
                </c:pt>
                <c:pt idx="1">
                  <c:v>2.1233264580581954</c:v>
                </c:pt>
                <c:pt idx="2">
                  <c:v>2.0157652337271377</c:v>
                </c:pt>
                <c:pt idx="3">
                  <c:v>1.9815589986125972</c:v>
                </c:pt>
                <c:pt idx="4">
                  <c:v>2.0137743770123668</c:v>
                </c:pt>
                <c:pt idx="5">
                  <c:v>2.1091330568836968</c:v>
                </c:pt>
                <c:pt idx="6">
                  <c:v>2.2678736651160292</c:v>
                </c:pt>
                <c:pt idx="7">
                  <c:v>2.4939619415676741</c:v>
                </c:pt>
                <c:pt idx="8">
                  <c:v>2.7956798318779081</c:v>
                </c:pt>
                <c:pt idx="9">
                  <c:v>3.1866572547982477</c:v>
                </c:pt>
                <c:pt idx="10">
                  <c:v>3.6874090896770757</c:v>
                </c:pt>
                <c:pt idx="11">
                  <c:v>4.3273175424582284</c:v>
                </c:pt>
                <c:pt idx="12">
                  <c:v>5.1464909841459079</c:v>
                </c:pt>
                <c:pt idx="13">
                  <c:v>6.1952886806562866</c:v>
                </c:pt>
                <c:pt idx="14">
                  <c:v>7.5246817723605304</c:v>
                </c:pt>
                <c:pt idx="15">
                  <c:v>9.1498362095034373</c:v>
                </c:pt>
                <c:pt idx="16">
                  <c:v>10.954421699510965</c:v>
                </c:pt>
                <c:pt idx="17">
                  <c:v>12.5283859354269</c:v>
                </c:pt>
                <c:pt idx="18">
                  <c:v>13.129088308102805</c:v>
                </c:pt>
                <c:pt idx="19">
                  <c:v>12.185002332998501</c:v>
                </c:pt>
                <c:pt idx="20">
                  <c:v>10.015159133377976</c:v>
                </c:pt>
                <c:pt idx="21">
                  <c:v>7.5419923651412279</c:v>
                </c:pt>
                <c:pt idx="22">
                  <c:v>5.4244826866463542</c:v>
                </c:pt>
                <c:pt idx="23">
                  <c:v>3.8398284982522957</c:v>
                </c:pt>
                <c:pt idx="24">
                  <c:v>2.7192789795753787</c:v>
                </c:pt>
                <c:pt idx="25">
                  <c:v>1.9406159666611968</c:v>
                </c:pt>
                <c:pt idx="26">
                  <c:v>1.3989888764049225</c:v>
                </c:pt>
                <c:pt idx="27">
                  <c:v>1.0188785427708686</c:v>
                </c:pt>
                <c:pt idx="28">
                  <c:v>0.74900154379779782</c:v>
                </c:pt>
                <c:pt idx="29">
                  <c:v>0.55509105391845925</c:v>
                </c:pt>
                <c:pt idx="30">
                  <c:v>0.41420270363643835</c:v>
                </c:pt>
              </c:numCache>
            </c:numRef>
          </c:xVal>
          <c:yVal>
            <c:numRef>
              <c:f>Lateral!$A$18:$A$48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273024"/>
        <c:axId val="197274592"/>
      </c:scatterChart>
      <c:valAx>
        <c:axId val="197273024"/>
        <c:scaling>
          <c:orientation val="minMax"/>
          <c:max val="25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lang="en-SG" sz="1400"/>
                </a:pPr>
                <a:r>
                  <a:rPr lang="en-US" sz="1400"/>
                  <a:t>Lateral Deformation (mm) at Distance x </a:t>
                </a:r>
              </a:p>
            </c:rich>
          </c:tx>
          <c:layout>
            <c:manualLayout>
              <c:xMode val="edge"/>
              <c:yMode val="edge"/>
              <c:x val="0.11787450051593157"/>
              <c:y val="2.2080955389357428E-2"/>
            </c:manualLayout>
          </c:layout>
          <c:overlay val="0"/>
        </c:title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lang="en-SG"/>
            </a:pPr>
            <a:endParaRPr lang="en-US"/>
          </a:p>
        </c:txPr>
        <c:crossAx val="197274592"/>
        <c:crosses val="autoZero"/>
        <c:crossBetween val="midCat"/>
      </c:valAx>
      <c:valAx>
        <c:axId val="197274592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SG" sz="1400"/>
                </a:pPr>
                <a:r>
                  <a:rPr lang="en-US" sz="1400"/>
                  <a:t>Depth (m)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in"/>
        <c:tickLblPos val="nextTo"/>
        <c:txPr>
          <a:bodyPr/>
          <a:lstStyle/>
          <a:p>
            <a:pPr>
              <a:defRPr lang="en-SG"/>
            </a:pPr>
            <a:endParaRPr lang="en-US"/>
          </a:p>
        </c:txPr>
        <c:crossAx val="1972730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332317</xdr:colOff>
      <xdr:row>29</xdr:row>
      <xdr:rowOff>4233</xdr:rowOff>
    </xdr:from>
    <xdr:to>
      <xdr:col>15</xdr:col>
      <xdr:colOff>476250</xdr:colOff>
      <xdr:row>48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342900</xdr:colOff>
      <xdr:row>8</xdr:row>
      <xdr:rowOff>55887</xdr:rowOff>
    </xdr:from>
    <xdr:to>
      <xdr:col>15</xdr:col>
      <xdr:colOff>476250</xdr:colOff>
      <xdr:row>28</xdr:row>
      <xdr:rowOff>9524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72250" y="1637037"/>
          <a:ext cx="5114925" cy="3820787"/>
        </a:xfrm>
        <a:prstGeom prst="rect">
          <a:avLst/>
        </a:prstGeom>
        <a:noFill/>
        <a:ln w="1">
          <a:solidFill>
            <a:srgbClr val="0070C0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15</xdr:row>
      <xdr:rowOff>104775</xdr:rowOff>
    </xdr:from>
    <xdr:to>
      <xdr:col>14</xdr:col>
      <xdr:colOff>476249</xdr:colOff>
      <xdr:row>47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85724</xdr:colOff>
      <xdr:row>14</xdr:row>
      <xdr:rowOff>150281</xdr:rowOff>
    </xdr:from>
    <xdr:to>
      <xdr:col>14</xdr:col>
      <xdr:colOff>523874</xdr:colOff>
      <xdr:row>47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P53"/>
  <sheetViews>
    <sheetView zoomScale="90" zoomScaleNormal="90" workbookViewId="0">
      <selection activeCell="B50" activeCellId="2" sqref="B9:B13 A19:A48 B50:O50"/>
    </sheetView>
  </sheetViews>
  <sheetFormatPr defaultRowHeight="15" x14ac:dyDescent="0.25"/>
  <cols>
    <col min="2" max="2" width="10" customWidth="1"/>
    <col min="3" max="3" width="14" customWidth="1"/>
    <col min="4" max="4" width="11.7109375" customWidth="1"/>
    <col min="5" max="5" width="31.85546875" customWidth="1"/>
    <col min="6" max="6" width="12.85546875" customWidth="1"/>
    <col min="11" max="11" width="10.7109375" bestFit="1" customWidth="1"/>
  </cols>
  <sheetData>
    <row r="1" spans="1:16" ht="15.75" thickTop="1" x14ac:dyDescent="0.25">
      <c r="A1" s="4"/>
      <c r="B1" s="47" t="s">
        <v>38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8" t="s">
        <v>47</v>
      </c>
    </row>
    <row r="2" spans="1:16" x14ac:dyDescent="0.25">
      <c r="A2" s="6"/>
      <c r="B2" s="8" t="s">
        <v>39</v>
      </c>
      <c r="C2" s="7" t="s">
        <v>40</v>
      </c>
      <c r="D2" s="7"/>
      <c r="E2" s="7"/>
      <c r="F2" s="7"/>
      <c r="G2" s="7"/>
      <c r="H2" s="7"/>
      <c r="I2" s="7"/>
      <c r="J2" s="1"/>
      <c r="K2" s="3"/>
      <c r="L2" s="3"/>
      <c r="M2" s="3"/>
      <c r="N2" s="3"/>
      <c r="O2" s="3"/>
      <c r="P2" s="46"/>
    </row>
    <row r="3" spans="1:16" x14ac:dyDescent="0.25">
      <c r="A3" s="6"/>
      <c r="B3" s="8" t="s">
        <v>41</v>
      </c>
      <c r="C3" s="7" t="s">
        <v>42</v>
      </c>
      <c r="D3" s="7"/>
      <c r="E3" s="7"/>
      <c r="F3" s="7"/>
      <c r="G3" s="7"/>
      <c r="H3" s="7"/>
      <c r="I3" s="7"/>
      <c r="J3" s="1"/>
      <c r="K3" s="3"/>
      <c r="L3" s="3"/>
      <c r="M3" s="3"/>
      <c r="N3" s="3"/>
      <c r="O3" s="3"/>
      <c r="P3" s="46"/>
    </row>
    <row r="4" spans="1:16" x14ac:dyDescent="0.25">
      <c r="A4" s="6"/>
      <c r="B4" s="8" t="s">
        <v>43</v>
      </c>
      <c r="C4" s="7" t="s">
        <v>44</v>
      </c>
      <c r="D4" s="7"/>
      <c r="E4" s="7"/>
      <c r="F4" s="7"/>
      <c r="G4" s="7"/>
      <c r="H4" s="7"/>
      <c r="I4" s="7"/>
      <c r="J4" s="1"/>
      <c r="K4" s="3"/>
      <c r="L4" s="3"/>
      <c r="M4" s="3"/>
      <c r="N4" s="3"/>
      <c r="O4" s="3"/>
      <c r="P4" s="46"/>
    </row>
    <row r="5" spans="1:16" x14ac:dyDescent="0.25">
      <c r="A5" s="6"/>
      <c r="B5" s="7"/>
      <c r="C5" s="7"/>
      <c r="D5" s="7"/>
      <c r="E5" s="7"/>
      <c r="F5" s="7"/>
      <c r="G5" s="7"/>
      <c r="H5" s="7"/>
      <c r="I5" s="7"/>
      <c r="J5" s="1"/>
      <c r="K5" s="3"/>
      <c r="L5" s="3"/>
      <c r="M5" s="3"/>
      <c r="N5" s="3"/>
      <c r="O5" s="3"/>
      <c r="P5" s="46"/>
    </row>
    <row r="6" spans="1:16" ht="18.75" x14ac:dyDescent="0.3">
      <c r="A6" s="10" t="s">
        <v>24</v>
      </c>
      <c r="B6" s="7"/>
      <c r="C6" s="7"/>
      <c r="D6" s="7"/>
      <c r="E6" s="7"/>
      <c r="F6" s="7"/>
      <c r="G6" s="7"/>
      <c r="H6" s="7"/>
      <c r="I6" s="7"/>
      <c r="J6" s="1"/>
      <c r="K6" s="3"/>
      <c r="L6" s="3"/>
      <c r="M6" s="3"/>
      <c r="N6" s="3"/>
      <c r="O6" s="3"/>
      <c r="P6" s="46"/>
    </row>
    <row r="7" spans="1:16" ht="15.75" customHeight="1" x14ac:dyDescent="0.3">
      <c r="A7" s="10"/>
      <c r="B7" s="7"/>
      <c r="C7" s="7"/>
      <c r="D7" s="7"/>
      <c r="E7" s="7"/>
      <c r="F7" s="7"/>
      <c r="G7" s="7"/>
      <c r="H7" s="7"/>
      <c r="I7" s="7"/>
      <c r="J7" s="1"/>
      <c r="K7" s="2"/>
      <c r="L7" s="3"/>
      <c r="M7" s="3"/>
      <c r="N7" s="3"/>
      <c r="O7" s="3"/>
      <c r="P7" s="46"/>
    </row>
    <row r="8" spans="1:16" x14ac:dyDescent="0.25">
      <c r="A8" s="11" t="s">
        <v>29</v>
      </c>
      <c r="B8" s="7"/>
      <c r="C8" s="7"/>
      <c r="D8" s="7"/>
      <c r="E8" s="7"/>
      <c r="F8" s="7"/>
      <c r="G8" s="7"/>
      <c r="H8" s="7"/>
      <c r="I8" s="7"/>
      <c r="J8" s="1"/>
      <c r="K8" s="2"/>
      <c r="L8" s="3"/>
      <c r="M8" s="7"/>
      <c r="N8" s="7"/>
      <c r="O8" s="7"/>
      <c r="P8" s="9"/>
    </row>
    <row r="9" spans="1:16" x14ac:dyDescent="0.25">
      <c r="A9" s="12" t="s">
        <v>45</v>
      </c>
      <c r="B9" s="49">
        <v>6.2</v>
      </c>
      <c r="C9" s="7" t="s">
        <v>27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9"/>
    </row>
    <row r="10" spans="1:16" x14ac:dyDescent="0.25">
      <c r="A10" s="12" t="s">
        <v>0</v>
      </c>
      <c r="B10" s="49">
        <v>0.5</v>
      </c>
      <c r="C10" s="7" t="s">
        <v>28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9"/>
    </row>
    <row r="11" spans="1:16" x14ac:dyDescent="0.25">
      <c r="A11" s="12" t="s">
        <v>1</v>
      </c>
      <c r="B11" s="49">
        <v>1.33</v>
      </c>
      <c r="C11" s="7" t="s">
        <v>3</v>
      </c>
      <c r="D11" s="3"/>
      <c r="E11" s="13"/>
      <c r="F11" s="3"/>
      <c r="G11" s="7"/>
      <c r="H11" s="7"/>
      <c r="I11" s="7"/>
      <c r="J11" s="7"/>
      <c r="K11" s="7"/>
      <c r="L11" s="7"/>
      <c r="M11" s="7"/>
      <c r="N11" s="7"/>
      <c r="O11" s="7"/>
      <c r="P11" s="9"/>
    </row>
    <row r="12" spans="1:16" x14ac:dyDescent="0.25">
      <c r="A12" s="12" t="s">
        <v>2</v>
      </c>
      <c r="B12" s="49">
        <v>18.5</v>
      </c>
      <c r="C12" s="7" t="s">
        <v>3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9"/>
    </row>
    <row r="13" spans="1:16" x14ac:dyDescent="0.25">
      <c r="A13" s="12" t="s">
        <v>19</v>
      </c>
      <c r="B13" s="49">
        <v>0</v>
      </c>
      <c r="C13" s="14" t="s">
        <v>32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9"/>
    </row>
    <row r="14" spans="1:16" x14ac:dyDescent="0.25">
      <c r="A14" s="12" t="s">
        <v>18</v>
      </c>
      <c r="B14" s="15">
        <f>45+B13/2</f>
        <v>45</v>
      </c>
      <c r="C14" s="14" t="s">
        <v>32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9"/>
    </row>
    <row r="15" spans="1:16" x14ac:dyDescent="0.25">
      <c r="A15" s="12"/>
      <c r="B15" s="15"/>
      <c r="C15" s="14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9"/>
    </row>
    <row r="16" spans="1:16" x14ac:dyDescent="0.25">
      <c r="A16" s="16" t="s">
        <v>30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9"/>
    </row>
    <row r="17" spans="1:16" ht="19.5" x14ac:dyDescent="0.35">
      <c r="A17" s="41" t="s">
        <v>4</v>
      </c>
      <c r="B17" s="23" t="s">
        <v>8</v>
      </c>
      <c r="C17" s="23" t="s">
        <v>17</v>
      </c>
      <c r="D17" s="23" t="s">
        <v>46</v>
      </c>
      <c r="E17" s="23" t="s">
        <v>16</v>
      </c>
      <c r="F17" s="23" t="s">
        <v>9</v>
      </c>
      <c r="G17" s="7"/>
      <c r="H17" s="7"/>
      <c r="I17" s="7"/>
      <c r="J17" s="7"/>
      <c r="K17" s="7"/>
      <c r="L17" s="7"/>
      <c r="M17" s="7"/>
      <c r="N17" s="7"/>
      <c r="O17" s="7"/>
      <c r="P17" s="9"/>
    </row>
    <row r="18" spans="1:16" x14ac:dyDescent="0.25">
      <c r="A18" s="31">
        <v>0</v>
      </c>
      <c r="B18" s="24">
        <f>4*(1-$B$10)*$B$11^2</f>
        <v>3.5378000000000003</v>
      </c>
      <c r="C18" s="24">
        <f>$B$12/($B$12^2+A18^2)</f>
        <v>5.4054054054054057E-2</v>
      </c>
      <c r="D18" s="24">
        <f>$B$9/100</f>
        <v>6.2E-2</v>
      </c>
      <c r="E18" s="24">
        <f>EXP((-1.38*A18^2)/($B$12*(1/TAN(PI()*$B$14/180))+$B$11)^2)</f>
        <v>1</v>
      </c>
      <c r="F18" s="26">
        <f>B18*C18*D18*E18*1000</f>
        <v>11.856410810810813</v>
      </c>
      <c r="G18" s="7"/>
      <c r="H18" s="7"/>
      <c r="I18" s="7"/>
      <c r="J18" s="7"/>
      <c r="K18" s="7"/>
      <c r="L18" s="7"/>
      <c r="M18" s="7"/>
      <c r="N18" s="7"/>
      <c r="O18" s="7"/>
      <c r="P18" s="9"/>
    </row>
    <row r="19" spans="1:16" x14ac:dyDescent="0.25">
      <c r="A19" s="50">
        <v>1</v>
      </c>
      <c r="B19" s="29">
        <f t="shared" ref="B19:B48" si="0">4*(1-$B$10)*$B$11^2</f>
        <v>3.5378000000000003</v>
      </c>
      <c r="C19" s="29">
        <f>$B$12/($B$12^2+A19^2)</f>
        <v>5.3896576839038604E-2</v>
      </c>
      <c r="D19" s="29">
        <f t="shared" ref="D19:D48" si="1">$B$9/100</f>
        <v>6.2E-2</v>
      </c>
      <c r="E19" s="29">
        <f>EXP((-1.38*A19^2)/($B$12*(1/TAN(PI()*$B$14/180))+$B$11)^2)</f>
        <v>0.99649674441579128</v>
      </c>
      <c r="F19" s="30">
        <f t="shared" ref="F19:F48" si="2">B19*C19*D19*E19*1000</f>
        <v>11.78045416229026</v>
      </c>
      <c r="G19" s="7"/>
      <c r="H19" s="7"/>
      <c r="I19" s="7"/>
      <c r="J19" s="7"/>
      <c r="K19" s="7"/>
      <c r="L19" s="7"/>
      <c r="M19" s="7"/>
      <c r="N19" s="7"/>
      <c r="O19" s="7"/>
      <c r="P19" s="9"/>
    </row>
    <row r="20" spans="1:16" x14ac:dyDescent="0.25">
      <c r="A20" s="50">
        <v>2</v>
      </c>
      <c r="B20" s="29">
        <f t="shared" si="0"/>
        <v>3.5378000000000003</v>
      </c>
      <c r="C20" s="29">
        <f t="shared" ref="C20:C48" si="3">$B$12/($B$12^2+A20^2)</f>
        <v>5.3429602888086646E-2</v>
      </c>
      <c r="D20" s="29">
        <f t="shared" si="1"/>
        <v>6.2E-2</v>
      </c>
      <c r="E20" s="29">
        <f t="shared" ref="E20:E48" si="4">EXP((-1.38*A20^2)/($B$12*(1/TAN(PI()*$B$14/180))+$B$11)^2)</f>
        <v>0.98606044263290049</v>
      </c>
      <c r="F20" s="30">
        <f t="shared" si="2"/>
        <v>11.556077617723718</v>
      </c>
      <c r="G20" s="7"/>
      <c r="H20" s="7"/>
      <c r="I20" s="7"/>
      <c r="J20" s="7"/>
      <c r="K20" s="7"/>
      <c r="L20" s="7"/>
      <c r="M20" s="7"/>
      <c r="N20" s="7"/>
      <c r="O20" s="7"/>
      <c r="P20" s="9"/>
    </row>
    <row r="21" spans="1:16" x14ac:dyDescent="0.25">
      <c r="A21" s="50">
        <v>3</v>
      </c>
      <c r="B21" s="29">
        <f t="shared" si="0"/>
        <v>3.5378000000000003</v>
      </c>
      <c r="C21" s="29">
        <f t="shared" si="3"/>
        <v>5.2669039145907474E-2</v>
      </c>
      <c r="D21" s="29">
        <f t="shared" si="1"/>
        <v>6.2E-2</v>
      </c>
      <c r="E21" s="29">
        <f t="shared" si="4"/>
        <v>0.96890892788355309</v>
      </c>
      <c r="F21" s="30">
        <f t="shared" si="2"/>
        <v>11.193433417256086</v>
      </c>
      <c r="G21" s="7"/>
      <c r="H21" s="7"/>
      <c r="I21" s="7"/>
      <c r="J21" s="7"/>
      <c r="K21" s="7"/>
      <c r="L21" s="7"/>
      <c r="M21" s="7"/>
      <c r="N21" s="7"/>
      <c r="O21" s="7"/>
      <c r="P21" s="9"/>
    </row>
    <row r="22" spans="1:16" x14ac:dyDescent="0.25">
      <c r="A22" s="50">
        <v>4</v>
      </c>
      <c r="B22" s="29">
        <f t="shared" si="0"/>
        <v>3.5378000000000003</v>
      </c>
      <c r="C22" s="29">
        <f t="shared" si="3"/>
        <v>5.1639916259595256E-2</v>
      </c>
      <c r="D22" s="29">
        <f t="shared" si="1"/>
        <v>6.2E-2</v>
      </c>
      <c r="E22" s="29">
        <f t="shared" si="4"/>
        <v>0.94539684139421098</v>
      </c>
      <c r="F22" s="30">
        <f t="shared" si="2"/>
        <v>10.708401430483327</v>
      </c>
      <c r="G22" s="7"/>
      <c r="H22" s="7"/>
      <c r="I22" s="7"/>
      <c r="J22" s="7"/>
      <c r="K22" s="7"/>
      <c r="L22" s="7"/>
      <c r="M22" s="7"/>
      <c r="N22" s="7"/>
      <c r="O22" s="7"/>
      <c r="P22" s="9"/>
    </row>
    <row r="23" spans="1:16" x14ac:dyDescent="0.25">
      <c r="A23" s="50">
        <v>5</v>
      </c>
      <c r="B23" s="29">
        <f t="shared" si="0"/>
        <v>3.5378000000000003</v>
      </c>
      <c r="C23" s="29">
        <f t="shared" si="3"/>
        <v>5.0374404356705239E-2</v>
      </c>
      <c r="D23" s="29">
        <f t="shared" si="1"/>
        <v>6.2E-2</v>
      </c>
      <c r="E23" s="29">
        <f t="shared" si="4"/>
        <v>0.91600344001976242</v>
      </c>
      <c r="F23" s="30">
        <f t="shared" si="2"/>
        <v>10.121199740522524</v>
      </c>
      <c r="G23" s="7"/>
      <c r="H23" s="7"/>
      <c r="I23" s="7"/>
      <c r="J23" s="7"/>
      <c r="K23" s="7"/>
      <c r="L23" s="7"/>
      <c r="M23" s="7"/>
      <c r="N23" s="7"/>
      <c r="O23" s="7"/>
      <c r="P23" s="9"/>
    </row>
    <row r="24" spans="1:16" x14ac:dyDescent="0.25">
      <c r="A24" s="50">
        <v>6</v>
      </c>
      <c r="B24" s="29">
        <f t="shared" si="0"/>
        <v>3.5378000000000003</v>
      </c>
      <c r="C24" s="29">
        <f t="shared" si="3"/>
        <v>4.8909451421017845E-2</v>
      </c>
      <c r="D24" s="29">
        <f t="shared" si="1"/>
        <v>6.2E-2</v>
      </c>
      <c r="E24" s="29">
        <f t="shared" si="4"/>
        <v>0.88131635721566359</v>
      </c>
      <c r="F24" s="30">
        <f t="shared" si="2"/>
        <v>9.4547399783622961</v>
      </c>
      <c r="G24" s="7"/>
      <c r="H24" s="7"/>
      <c r="I24" s="7"/>
      <c r="J24" s="7"/>
      <c r="K24" s="7"/>
      <c r="L24" s="7"/>
      <c r="M24" s="7"/>
      <c r="N24" s="7"/>
      <c r="O24" s="7"/>
      <c r="P24" s="9"/>
    </row>
    <row r="25" spans="1:16" x14ac:dyDescent="0.25">
      <c r="A25" s="50">
        <v>7</v>
      </c>
      <c r="B25" s="29">
        <f t="shared" si="0"/>
        <v>3.5378000000000003</v>
      </c>
      <c r="C25" s="29">
        <f t="shared" si="3"/>
        <v>4.7284345047923323E-2</v>
      </c>
      <c r="D25" s="29">
        <f t="shared" si="1"/>
        <v>6.2E-2</v>
      </c>
      <c r="E25" s="29">
        <f t="shared" si="4"/>
        <v>0.84201208566913011</v>
      </c>
      <c r="F25" s="30">
        <f t="shared" si="2"/>
        <v>8.7329438954945555</v>
      </c>
      <c r="G25" s="7"/>
      <c r="H25" s="7"/>
      <c r="I25" s="7"/>
      <c r="J25" s="7"/>
      <c r="K25" s="7"/>
      <c r="L25" s="7"/>
      <c r="M25" s="7"/>
      <c r="N25" s="7"/>
      <c r="O25" s="7"/>
      <c r="P25" s="9"/>
    </row>
    <row r="26" spans="1:16" x14ac:dyDescent="0.25">
      <c r="A26" s="50">
        <v>8</v>
      </c>
      <c r="B26" s="29">
        <f t="shared" si="0"/>
        <v>3.5378000000000003</v>
      </c>
      <c r="C26" s="29">
        <f t="shared" si="3"/>
        <v>4.5538461538461542E-2</v>
      </c>
      <c r="D26" s="29">
        <f t="shared" si="1"/>
        <v>6.2E-2</v>
      </c>
      <c r="E26" s="29">
        <f t="shared" si="4"/>
        <v>0.7988340861806158</v>
      </c>
      <c r="F26" s="30">
        <f t="shared" si="2"/>
        <v>7.9792102619396461</v>
      </c>
      <c r="G26" s="7"/>
      <c r="H26" s="7"/>
      <c r="I26" s="7"/>
      <c r="J26" s="7"/>
      <c r="K26" s="7"/>
      <c r="L26" s="7"/>
      <c r="M26" s="7"/>
      <c r="N26" s="7"/>
      <c r="O26" s="7"/>
      <c r="P26" s="9"/>
    </row>
    <row r="27" spans="1:16" x14ac:dyDescent="0.25">
      <c r="A27" s="50">
        <v>9</v>
      </c>
      <c r="B27" s="29">
        <f t="shared" si="0"/>
        <v>3.5378000000000003</v>
      </c>
      <c r="C27" s="29">
        <f t="shared" si="3"/>
        <v>4.3709391612522151E-2</v>
      </c>
      <c r="D27" s="29">
        <f t="shared" si="1"/>
        <v>6.2E-2</v>
      </c>
      <c r="E27" s="29">
        <f t="shared" si="4"/>
        <v>0.75256950992987848</v>
      </c>
      <c r="F27" s="30">
        <f t="shared" si="2"/>
        <v>7.2151663386360854</v>
      </c>
      <c r="G27" s="7"/>
      <c r="H27" s="7"/>
      <c r="I27" s="7"/>
      <c r="J27" s="7"/>
      <c r="K27" s="7"/>
      <c r="L27" s="7"/>
      <c r="M27" s="7"/>
      <c r="N27" s="7"/>
      <c r="O27" s="7"/>
      <c r="P27" s="9"/>
    </row>
    <row r="28" spans="1:16" x14ac:dyDescent="0.25">
      <c r="A28" s="50">
        <v>10</v>
      </c>
      <c r="B28" s="29">
        <f t="shared" si="0"/>
        <v>3.5378000000000003</v>
      </c>
      <c r="C28" s="29">
        <f t="shared" si="3"/>
        <v>4.1831543244771056E-2</v>
      </c>
      <c r="D28" s="29">
        <f t="shared" si="1"/>
        <v>6.2E-2</v>
      </c>
      <c r="E28" s="29">
        <f t="shared" si="4"/>
        <v>0.70402554685240382</v>
      </c>
      <c r="F28" s="30">
        <f t="shared" si="2"/>
        <v>6.4597732320263113</v>
      </c>
      <c r="G28" s="7"/>
      <c r="H28" s="7"/>
      <c r="I28" s="7"/>
      <c r="J28" s="7"/>
      <c r="K28" s="7"/>
      <c r="L28" s="7"/>
      <c r="M28" s="7"/>
      <c r="N28" s="7"/>
      <c r="O28" s="7"/>
      <c r="P28" s="9"/>
    </row>
    <row r="29" spans="1:16" x14ac:dyDescent="0.25">
      <c r="A29" s="50">
        <v>11</v>
      </c>
      <c r="B29" s="29">
        <f t="shared" si="0"/>
        <v>3.5378000000000003</v>
      </c>
      <c r="C29" s="29">
        <f t="shared" si="3"/>
        <v>3.9935240151106312E-2</v>
      </c>
      <c r="D29" s="29">
        <f t="shared" si="1"/>
        <v>6.2E-2</v>
      </c>
      <c r="E29" s="29">
        <f t="shared" si="4"/>
        <v>0.654006382262595</v>
      </c>
      <c r="F29" s="30">
        <f t="shared" si="2"/>
        <v>5.7287946350920533</v>
      </c>
      <c r="G29" s="7"/>
      <c r="H29" s="7"/>
      <c r="I29" s="7"/>
      <c r="J29" s="7"/>
      <c r="K29" s="7"/>
      <c r="L29" s="7"/>
      <c r="M29" s="7"/>
      <c r="N29" s="7"/>
      <c r="O29" s="7"/>
      <c r="P29" s="9"/>
    </row>
    <row r="30" spans="1:16" x14ac:dyDescent="0.25">
      <c r="A30" s="50">
        <v>12</v>
      </c>
      <c r="B30" s="29">
        <f t="shared" si="0"/>
        <v>3.5378000000000003</v>
      </c>
      <c r="C30" s="29">
        <f t="shared" si="3"/>
        <v>3.8046272493573265E-2</v>
      </c>
      <c r="D30" s="29">
        <f t="shared" si="1"/>
        <v>6.2E-2</v>
      </c>
      <c r="E30" s="29">
        <f t="shared" si="4"/>
        <v>0.60329166163475689</v>
      </c>
      <c r="F30" s="30">
        <f t="shared" si="2"/>
        <v>5.034593420852576</v>
      </c>
      <c r="G30" s="7"/>
      <c r="H30" s="7"/>
      <c r="I30" s="7"/>
      <c r="J30" s="7"/>
      <c r="K30" s="7"/>
      <c r="L30" s="7"/>
      <c r="M30" s="7"/>
      <c r="N30" s="7"/>
      <c r="O30" s="7"/>
      <c r="P30" s="9"/>
    </row>
    <row r="31" spans="1:16" x14ac:dyDescent="0.25">
      <c r="A31" s="50">
        <v>13</v>
      </c>
      <c r="B31" s="29">
        <f t="shared" si="0"/>
        <v>3.5378000000000003</v>
      </c>
      <c r="C31" s="29">
        <f t="shared" si="3"/>
        <v>3.6185819070904644E-2</v>
      </c>
      <c r="D31" s="29">
        <f t="shared" si="1"/>
        <v>6.2E-2</v>
      </c>
      <c r="E31" s="29">
        <f t="shared" si="4"/>
        <v>0.55261723739267588</v>
      </c>
      <c r="F31" s="30">
        <f t="shared" si="2"/>
        <v>4.386193650909803</v>
      </c>
      <c r="G31" s="7"/>
      <c r="H31" s="7"/>
      <c r="I31" s="7"/>
      <c r="J31" s="7"/>
      <c r="K31" s="7"/>
      <c r="L31" s="7"/>
      <c r="M31" s="7"/>
      <c r="N31" s="7"/>
      <c r="O31" s="7"/>
      <c r="P31" s="9"/>
    </row>
    <row r="32" spans="1:16" x14ac:dyDescent="0.25">
      <c r="A32" s="50">
        <v>14</v>
      </c>
      <c r="B32" s="29">
        <f t="shared" si="0"/>
        <v>3.5378000000000003</v>
      </c>
      <c r="C32" s="29">
        <f t="shared" si="3"/>
        <v>3.4370645610775664E-2</v>
      </c>
      <c r="D32" s="29">
        <f t="shared" si="1"/>
        <v>6.2E-2</v>
      </c>
      <c r="E32" s="29">
        <f t="shared" si="4"/>
        <v>0.50265881196630868</v>
      </c>
      <c r="F32" s="30">
        <f t="shared" si="2"/>
        <v>3.7895353045715652</v>
      </c>
      <c r="G32" s="7"/>
      <c r="H32" s="7"/>
      <c r="I32" s="7"/>
      <c r="J32" s="7"/>
      <c r="K32" s="7"/>
      <c r="L32" s="7"/>
      <c r="M32" s="7"/>
      <c r="N32" s="7"/>
      <c r="O32" s="7"/>
      <c r="P32" s="9"/>
    </row>
    <row r="33" spans="1:16" x14ac:dyDescent="0.25">
      <c r="A33" s="50">
        <v>15</v>
      </c>
      <c r="B33" s="29">
        <f t="shared" si="0"/>
        <v>3.5378000000000003</v>
      </c>
      <c r="C33" s="29">
        <f t="shared" si="3"/>
        <v>3.2613486117232263E-2</v>
      </c>
      <c r="D33" s="29">
        <f t="shared" si="1"/>
        <v>6.2E-2</v>
      </c>
      <c r="E33" s="29">
        <f t="shared" si="4"/>
        <v>0.45401891014125101</v>
      </c>
      <c r="F33" s="30">
        <f t="shared" si="2"/>
        <v>3.2478512667104145</v>
      </c>
      <c r="G33" s="7"/>
      <c r="H33" s="7"/>
      <c r="I33" s="7"/>
      <c r="J33" s="7"/>
      <c r="K33" s="7"/>
      <c r="L33" s="7"/>
      <c r="M33" s="7"/>
      <c r="N33" s="7"/>
      <c r="O33" s="7"/>
      <c r="P33" s="9"/>
    </row>
    <row r="34" spans="1:16" x14ac:dyDescent="0.25">
      <c r="A34" s="50">
        <v>16</v>
      </c>
      <c r="B34" s="29">
        <f t="shared" si="0"/>
        <v>3.5378000000000003</v>
      </c>
      <c r="C34" s="29">
        <f t="shared" si="3"/>
        <v>3.0923526953614711E-2</v>
      </c>
      <c r="D34" s="29">
        <f t="shared" si="1"/>
        <v>6.2E-2</v>
      </c>
      <c r="E34" s="29">
        <f t="shared" si="4"/>
        <v>0.40721742335142991</v>
      </c>
      <c r="F34" s="30">
        <f t="shared" si="2"/>
        <v>2.762105990775753</v>
      </c>
      <c r="G34" s="7"/>
      <c r="H34" s="7"/>
      <c r="I34" s="7"/>
      <c r="J34" s="7"/>
      <c r="K34" s="7"/>
      <c r="L34" s="7"/>
      <c r="M34" s="7"/>
      <c r="N34" s="7"/>
      <c r="O34" s="7"/>
      <c r="P34" s="9"/>
    </row>
    <row r="35" spans="1:16" x14ac:dyDescent="0.25">
      <c r="A35" s="50">
        <v>17</v>
      </c>
      <c r="B35" s="29">
        <f t="shared" si="0"/>
        <v>3.5378000000000003</v>
      </c>
      <c r="C35" s="29">
        <f t="shared" si="3"/>
        <v>2.9306930693069305E-2</v>
      </c>
      <c r="D35" s="29">
        <f t="shared" si="1"/>
        <v>6.2E-2</v>
      </c>
      <c r="E35" s="29">
        <f t="shared" si="4"/>
        <v>0.36268578119140543</v>
      </c>
      <c r="F35" s="30">
        <f t="shared" si="2"/>
        <v>2.3314485400929907</v>
      </c>
      <c r="G35" s="7"/>
      <c r="H35" s="7"/>
      <c r="I35" s="7"/>
      <c r="J35" s="7"/>
      <c r="K35" s="7"/>
      <c r="L35" s="7"/>
      <c r="M35" s="7"/>
      <c r="N35" s="7"/>
      <c r="O35" s="7"/>
      <c r="P35" s="9"/>
    </row>
    <row r="36" spans="1:16" x14ac:dyDescent="0.25">
      <c r="A36" s="50">
        <v>18</v>
      </c>
      <c r="B36" s="29">
        <f t="shared" si="0"/>
        <v>3.5378000000000003</v>
      </c>
      <c r="C36" s="29">
        <f t="shared" si="3"/>
        <v>2.7767354596622891E-2</v>
      </c>
      <c r="D36" s="29">
        <f t="shared" si="1"/>
        <v>6.2E-2</v>
      </c>
      <c r="E36" s="29">
        <f t="shared" si="4"/>
        <v>0.32076463198173333</v>
      </c>
      <c r="F36" s="30">
        <f t="shared" si="2"/>
        <v>1.9536463473675769</v>
      </c>
      <c r="G36" s="7"/>
      <c r="H36" s="7"/>
      <c r="I36" s="7"/>
      <c r="J36" s="7"/>
      <c r="K36" s="7"/>
      <c r="L36" s="7"/>
      <c r="M36" s="7"/>
      <c r="N36" s="7"/>
      <c r="O36" s="7"/>
      <c r="P36" s="9"/>
    </row>
    <row r="37" spans="1:16" x14ac:dyDescent="0.25">
      <c r="A37" s="50">
        <v>19</v>
      </c>
      <c r="B37" s="29">
        <f t="shared" si="0"/>
        <v>3.5378000000000003</v>
      </c>
      <c r="C37" s="29">
        <f t="shared" si="3"/>
        <v>2.630643441166015E-2</v>
      </c>
      <c r="D37" s="29">
        <f t="shared" si="1"/>
        <v>6.2E-2</v>
      </c>
      <c r="E37" s="29">
        <f t="shared" si="4"/>
        <v>0.28170476373456926</v>
      </c>
      <c r="F37" s="30">
        <f t="shared" si="2"/>
        <v>1.6254781866644332</v>
      </c>
      <c r="G37" s="7"/>
      <c r="H37" s="7"/>
      <c r="I37" s="7"/>
      <c r="J37" s="7"/>
      <c r="K37" s="7"/>
      <c r="L37" s="7"/>
      <c r="M37" s="7"/>
      <c r="N37" s="7"/>
      <c r="O37" s="7"/>
      <c r="P37" s="9"/>
    </row>
    <row r="38" spans="1:16" x14ac:dyDescent="0.25">
      <c r="A38" s="50">
        <v>20</v>
      </c>
      <c r="B38" s="29">
        <f t="shared" si="0"/>
        <v>3.5378000000000003</v>
      </c>
      <c r="C38" s="29">
        <f t="shared" si="3"/>
        <v>2.492421690804985E-2</v>
      </c>
      <c r="D38" s="29">
        <f t="shared" si="1"/>
        <v>6.2E-2</v>
      </c>
      <c r="E38" s="29">
        <f t="shared" si="4"/>
        <v>0.24567087598030837</v>
      </c>
      <c r="F38" s="30">
        <f t="shared" si="2"/>
        <v>1.3430746857857543</v>
      </c>
      <c r="G38" s="7"/>
      <c r="H38" s="7"/>
      <c r="I38" s="7"/>
      <c r="J38" s="7"/>
      <c r="K38" s="7"/>
      <c r="L38" s="7"/>
      <c r="M38" s="7"/>
      <c r="N38" s="7"/>
      <c r="O38" s="7"/>
      <c r="P38" s="9"/>
    </row>
    <row r="39" spans="1:16" x14ac:dyDescent="0.25">
      <c r="A39" s="50">
        <v>21</v>
      </c>
      <c r="B39" s="29">
        <f t="shared" si="0"/>
        <v>3.5378000000000003</v>
      </c>
      <c r="C39" s="29">
        <f t="shared" si="3"/>
        <v>2.3619533992977976E-2</v>
      </c>
      <c r="D39" s="29">
        <f t="shared" si="1"/>
        <v>6.2E-2</v>
      </c>
      <c r="E39" s="29">
        <f t="shared" si="4"/>
        <v>0.21274772564653591</v>
      </c>
      <c r="F39" s="30">
        <f t="shared" si="2"/>
        <v>1.1022020589208874</v>
      </c>
      <c r="G39" s="7"/>
      <c r="H39" s="7"/>
      <c r="I39" s="7"/>
      <c r="J39" s="7"/>
      <c r="K39" s="7"/>
      <c r="L39" s="7"/>
      <c r="M39" s="7"/>
      <c r="N39" s="7"/>
      <c r="O39" s="7"/>
      <c r="P39" s="9"/>
    </row>
    <row r="40" spans="1:16" x14ac:dyDescent="0.25">
      <c r="A40" s="50">
        <v>22</v>
      </c>
      <c r="B40" s="29">
        <f t="shared" si="0"/>
        <v>3.5378000000000003</v>
      </c>
      <c r="C40" s="29">
        <f t="shared" si="3"/>
        <v>2.2390317700453858E-2</v>
      </c>
      <c r="D40" s="29">
        <f t="shared" si="1"/>
        <v>6.2E-2</v>
      </c>
      <c r="E40" s="29">
        <f t="shared" si="4"/>
        <v>0.18294811790642057</v>
      </c>
      <c r="F40" s="30">
        <f t="shared" si="2"/>
        <v>0.89848983685827166</v>
      </c>
      <c r="G40" s="7"/>
      <c r="H40" s="7"/>
      <c r="I40" s="7"/>
      <c r="J40" s="7"/>
      <c r="K40" s="7"/>
      <c r="L40" s="7"/>
      <c r="M40" s="7"/>
      <c r="N40" s="7"/>
      <c r="O40" s="7"/>
      <c r="P40" s="9"/>
    </row>
    <row r="41" spans="1:16" x14ac:dyDescent="0.25">
      <c r="A41" s="50">
        <v>23</v>
      </c>
      <c r="B41" s="29">
        <f t="shared" si="0"/>
        <v>3.5378000000000003</v>
      </c>
      <c r="C41" s="29">
        <f t="shared" si="3"/>
        <v>2.1233859397417502E-2</v>
      </c>
      <c r="D41" s="29">
        <f t="shared" si="1"/>
        <v>6.2E-2</v>
      </c>
      <c r="E41" s="29">
        <f t="shared" si="4"/>
        <v>0.15622219457086178</v>
      </c>
      <c r="F41" s="30">
        <f t="shared" si="2"/>
        <v>0.72760661498520018</v>
      </c>
      <c r="G41" s="7"/>
      <c r="H41" s="7"/>
      <c r="I41" s="7"/>
      <c r="J41" s="7"/>
      <c r="K41" s="7"/>
      <c r="L41" s="7"/>
      <c r="M41" s="7"/>
      <c r="N41" s="7"/>
      <c r="O41" s="7"/>
      <c r="P41" s="9"/>
    </row>
    <row r="42" spans="1:16" x14ac:dyDescent="0.25">
      <c r="A42" s="50">
        <v>24</v>
      </c>
      <c r="B42" s="29">
        <f t="shared" si="0"/>
        <v>3.5378000000000003</v>
      </c>
      <c r="C42" s="29">
        <f t="shared" si="3"/>
        <v>2.0147018785733734E-2</v>
      </c>
      <c r="D42" s="29">
        <f t="shared" si="1"/>
        <v>6.2E-2</v>
      </c>
      <c r="E42" s="29">
        <f t="shared" si="4"/>
        <v>0.13246748504493033</v>
      </c>
      <c r="F42" s="30">
        <f t="shared" si="2"/>
        <v>0.58538966346307864</v>
      </c>
      <c r="G42" s="7"/>
      <c r="H42" s="7"/>
      <c r="I42" s="7"/>
      <c r="J42" s="7"/>
      <c r="K42" s="7"/>
      <c r="L42" s="7"/>
      <c r="M42" s="7"/>
      <c r="N42" s="7"/>
      <c r="O42" s="7"/>
      <c r="P42" s="9"/>
    </row>
    <row r="43" spans="1:16" x14ac:dyDescent="0.25">
      <c r="A43" s="50">
        <v>25</v>
      </c>
      <c r="B43" s="29">
        <f t="shared" si="0"/>
        <v>3.5378000000000003</v>
      </c>
      <c r="C43" s="29">
        <f t="shared" si="3"/>
        <v>1.9126389247867664E-2</v>
      </c>
      <c r="D43" s="29">
        <f t="shared" si="1"/>
        <v>6.2E-2</v>
      </c>
      <c r="E43" s="29">
        <f t="shared" si="4"/>
        <v>0.11153922336602608</v>
      </c>
      <c r="F43" s="30">
        <f t="shared" si="2"/>
        <v>0.46793504646648043</v>
      </c>
      <c r="G43" s="7"/>
      <c r="H43" s="7"/>
      <c r="I43" s="7"/>
      <c r="J43" s="7"/>
      <c r="K43" s="7"/>
      <c r="L43" s="7"/>
      <c r="M43" s="7"/>
      <c r="N43" s="7"/>
      <c r="O43" s="7"/>
      <c r="P43" s="9"/>
    </row>
    <row r="44" spans="1:16" x14ac:dyDescent="0.25">
      <c r="A44" s="50">
        <v>26</v>
      </c>
      <c r="B44" s="29">
        <f t="shared" si="0"/>
        <v>3.5378000000000003</v>
      </c>
      <c r="C44" s="29">
        <f t="shared" si="3"/>
        <v>1.8168426221458384E-2</v>
      </c>
      <c r="D44" s="29">
        <f t="shared" si="1"/>
        <v>6.2E-2</v>
      </c>
      <c r="E44" s="29">
        <f t="shared" si="4"/>
        <v>9.3260493598919691E-2</v>
      </c>
      <c r="F44" s="30">
        <f t="shared" si="2"/>
        <v>0.37165500561712156</v>
      </c>
      <c r="G44" s="7"/>
      <c r="H44" s="7"/>
      <c r="I44" s="7"/>
      <c r="J44" s="7"/>
      <c r="K44" s="7"/>
      <c r="L44" s="7"/>
      <c r="M44" s="7"/>
      <c r="N44" s="7"/>
      <c r="O44" s="7"/>
      <c r="P44" s="9"/>
    </row>
    <row r="45" spans="1:16" x14ac:dyDescent="0.25">
      <c r="A45" s="50">
        <v>27</v>
      </c>
      <c r="B45" s="29">
        <f t="shared" si="0"/>
        <v>3.5378000000000003</v>
      </c>
      <c r="C45" s="29">
        <f t="shared" si="3"/>
        <v>1.7269544924154025E-2</v>
      </c>
      <c r="D45" s="29">
        <f t="shared" si="1"/>
        <v>6.2E-2</v>
      </c>
      <c r="E45" s="29">
        <f t="shared" si="4"/>
        <v>7.743183859375781E-2</v>
      </c>
      <c r="F45" s="30">
        <f t="shared" si="2"/>
        <v>0.29330902897345612</v>
      </c>
      <c r="G45" s="7"/>
      <c r="H45" s="7"/>
      <c r="I45" s="7"/>
      <c r="J45" s="7"/>
      <c r="K45" s="7"/>
      <c r="L45" s="7"/>
      <c r="M45" s="7"/>
      <c r="N45" s="7"/>
      <c r="O45" s="7"/>
      <c r="P45" s="9"/>
    </row>
    <row r="46" spans="1:16" x14ac:dyDescent="0.25">
      <c r="A46" s="50">
        <v>28</v>
      </c>
      <c r="B46" s="29">
        <f t="shared" si="0"/>
        <v>3.5378000000000003</v>
      </c>
      <c r="C46" s="29">
        <f t="shared" si="3"/>
        <v>1.6426193118756937E-2</v>
      </c>
      <c r="D46" s="29">
        <f t="shared" si="1"/>
        <v>6.2E-2</v>
      </c>
      <c r="E46" s="29">
        <f t="shared" si="4"/>
        <v>6.3840047546515594E-2</v>
      </c>
      <c r="F46" s="30">
        <f t="shared" si="2"/>
        <v>0.2300144357655424</v>
      </c>
      <c r="G46" s="7"/>
      <c r="H46" s="7"/>
      <c r="I46" s="7"/>
      <c r="J46" s="7"/>
      <c r="K46" s="7"/>
      <c r="L46" s="7"/>
      <c r="M46" s="7"/>
      <c r="N46" s="7"/>
      <c r="O46" s="7"/>
      <c r="P46" s="9"/>
    </row>
    <row r="47" spans="1:16" x14ac:dyDescent="0.25">
      <c r="A47" s="50">
        <v>29</v>
      </c>
      <c r="B47" s="29">
        <f t="shared" si="0"/>
        <v>3.5378000000000003</v>
      </c>
      <c r="C47" s="29">
        <f t="shared" si="3"/>
        <v>1.5634903866469471E-2</v>
      </c>
      <c r="D47" s="29">
        <f t="shared" si="1"/>
        <v>6.2E-2</v>
      </c>
      <c r="E47" s="29">
        <f t="shared" si="4"/>
        <v>5.2265920122402804E-2</v>
      </c>
      <c r="F47" s="30">
        <f t="shared" si="2"/>
        <v>0.17924158793472644</v>
      </c>
      <c r="G47" s="7"/>
      <c r="H47" s="7"/>
      <c r="I47" s="7"/>
      <c r="J47" s="7"/>
      <c r="K47" s="7"/>
      <c r="L47" s="7"/>
      <c r="M47" s="7"/>
      <c r="N47" s="7"/>
      <c r="O47" s="7"/>
      <c r="P47" s="9"/>
    </row>
    <row r="48" spans="1:16" x14ac:dyDescent="0.25">
      <c r="A48" s="51">
        <v>30</v>
      </c>
      <c r="B48" s="25">
        <f t="shared" si="0"/>
        <v>3.5378000000000003</v>
      </c>
      <c r="C48" s="25">
        <f t="shared" si="3"/>
        <v>1.4892332461259811E-2</v>
      </c>
      <c r="D48" s="25">
        <f t="shared" si="1"/>
        <v>6.2E-2</v>
      </c>
      <c r="E48" s="25">
        <f t="shared" si="4"/>
        <v>4.2490884089982812E-2</v>
      </c>
      <c r="F48" s="27">
        <f t="shared" si="2"/>
        <v>0.1387980796493232</v>
      </c>
      <c r="G48" s="7"/>
      <c r="H48" s="7"/>
      <c r="I48" s="7"/>
      <c r="J48" s="7"/>
      <c r="K48" s="7"/>
      <c r="L48" s="7"/>
      <c r="M48" s="7"/>
      <c r="N48" s="7"/>
      <c r="O48" s="7"/>
      <c r="P48" s="9"/>
    </row>
    <row r="49" spans="1:16" x14ac:dyDescent="0.25">
      <c r="A49" s="6"/>
      <c r="B49" s="7"/>
      <c r="C49" s="7"/>
      <c r="D49" s="7"/>
      <c r="E49" s="7"/>
      <c r="F49" s="19"/>
      <c r="G49" s="7"/>
      <c r="H49" s="7"/>
      <c r="I49" s="7"/>
      <c r="J49" s="7"/>
      <c r="K49" s="7"/>
      <c r="L49" s="7"/>
      <c r="M49" s="7"/>
      <c r="N49" s="7"/>
      <c r="O49" s="7"/>
      <c r="P49" s="9"/>
    </row>
    <row r="50" spans="1:16" x14ac:dyDescent="0.25">
      <c r="A50" s="28" t="s">
        <v>31</v>
      </c>
      <c r="B50" s="52" t="s">
        <v>37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4"/>
      <c r="P50" s="9"/>
    </row>
    <row r="51" spans="1:16" ht="15.75" thickBot="1" x14ac:dyDescent="0.3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2"/>
    </row>
    <row r="52" spans="1:16" ht="15.75" thickTop="1" x14ac:dyDescent="0.25">
      <c r="A52" s="44" t="s">
        <v>35</v>
      </c>
    </row>
    <row r="53" spans="1:16" x14ac:dyDescent="0.25">
      <c r="A53" t="s">
        <v>36</v>
      </c>
    </row>
  </sheetData>
  <sheetProtection algorithmName="SHA-512" hashValue="ovDdQOqwM+hiU4dgwcipS1D4oBR8LkYxBDN8PWW21YMf28QMQ85wj2cZVBFW4Glev2fA8U6kKfd/M0FZTEt5HA==" saltValue="dhIUnqc2egnz4OksjuU8Gg==" spinCount="100000" sheet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53"/>
  <sheetViews>
    <sheetView topLeftCell="A37" workbookViewId="0">
      <selection activeCell="E56" sqref="E56"/>
    </sheetView>
  </sheetViews>
  <sheetFormatPr defaultRowHeight="15" x14ac:dyDescent="0.25"/>
  <cols>
    <col min="2" max="2" width="9.140625" customWidth="1"/>
    <col min="3" max="3" width="16.5703125" customWidth="1"/>
    <col min="4" max="4" width="5.28515625" customWidth="1"/>
    <col min="5" max="5" width="17.140625" customWidth="1"/>
    <col min="6" max="6" width="23.28515625" customWidth="1"/>
    <col min="7" max="7" width="6.5703125" customWidth="1"/>
    <col min="8" max="8" width="40.42578125" customWidth="1"/>
    <col min="9" max="9" width="8.28515625" customWidth="1"/>
    <col min="10" max="10" width="10.7109375" bestFit="1" customWidth="1"/>
  </cols>
  <sheetData>
    <row r="1" spans="1:15" ht="15.75" thickTop="1" x14ac:dyDescent="0.25">
      <c r="A1" s="4"/>
      <c r="B1" s="47" t="s">
        <v>38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48" t="s">
        <v>47</v>
      </c>
    </row>
    <row r="2" spans="1:15" x14ac:dyDescent="0.25">
      <c r="A2" s="6"/>
      <c r="B2" s="8" t="s">
        <v>39</v>
      </c>
      <c r="C2" s="7" t="s">
        <v>40</v>
      </c>
      <c r="D2" s="7"/>
      <c r="E2" s="7"/>
      <c r="F2" s="7"/>
      <c r="G2" s="7"/>
      <c r="H2" s="7"/>
      <c r="I2" s="8"/>
      <c r="J2" s="3"/>
      <c r="K2" s="3"/>
      <c r="L2" s="3"/>
      <c r="M2" s="3"/>
      <c r="N2" s="3"/>
      <c r="O2" s="46"/>
    </row>
    <row r="3" spans="1:15" x14ac:dyDescent="0.25">
      <c r="A3" s="6"/>
      <c r="B3" s="8" t="s">
        <v>41</v>
      </c>
      <c r="C3" s="7" t="s">
        <v>42</v>
      </c>
      <c r="D3" s="7"/>
      <c r="E3" s="7"/>
      <c r="F3" s="7"/>
      <c r="G3" s="7"/>
      <c r="H3" s="7"/>
      <c r="I3" s="8"/>
      <c r="J3" s="3"/>
      <c r="K3" s="3"/>
      <c r="L3" s="3"/>
      <c r="M3" s="3"/>
      <c r="N3" s="3"/>
      <c r="O3" s="46"/>
    </row>
    <row r="4" spans="1:15" x14ac:dyDescent="0.25">
      <c r="A4" s="6"/>
      <c r="B4" s="8" t="s">
        <v>43</v>
      </c>
      <c r="C4" s="7" t="s">
        <v>44</v>
      </c>
      <c r="D4" s="7"/>
      <c r="E4" s="7"/>
      <c r="F4" s="7"/>
      <c r="G4" s="7"/>
      <c r="H4" s="7"/>
      <c r="I4" s="1"/>
      <c r="J4" s="3"/>
      <c r="K4" s="3"/>
      <c r="L4" s="3"/>
      <c r="M4" s="3"/>
      <c r="N4" s="3"/>
      <c r="O4" s="46"/>
    </row>
    <row r="5" spans="1:15" x14ac:dyDescent="0.25">
      <c r="A5" s="6"/>
      <c r="B5" s="7"/>
      <c r="C5" s="7"/>
      <c r="D5" s="7"/>
      <c r="E5" s="7"/>
      <c r="F5" s="7"/>
      <c r="G5" s="7"/>
      <c r="H5" s="7"/>
      <c r="I5" s="8"/>
      <c r="J5" s="3"/>
      <c r="K5" s="7"/>
      <c r="L5" s="7"/>
      <c r="M5" s="7"/>
      <c r="N5" s="7"/>
      <c r="O5" s="9"/>
    </row>
    <row r="6" spans="1:15" ht="18.75" x14ac:dyDescent="0.3">
      <c r="A6" s="10" t="s">
        <v>25</v>
      </c>
      <c r="B6" s="7"/>
      <c r="C6" s="7"/>
      <c r="D6" s="7"/>
      <c r="E6" s="7"/>
      <c r="F6" s="7"/>
      <c r="G6" s="7"/>
      <c r="H6" s="7"/>
      <c r="I6" s="8"/>
      <c r="J6" s="45"/>
      <c r="K6" s="7"/>
      <c r="L6" s="7"/>
      <c r="M6" s="7"/>
      <c r="N6" s="7"/>
      <c r="O6" s="9"/>
    </row>
    <row r="7" spans="1:15" ht="16.5" customHeight="1" x14ac:dyDescent="0.3">
      <c r="A7" s="10"/>
      <c r="B7" s="7"/>
      <c r="C7" s="7"/>
      <c r="D7" s="7"/>
      <c r="E7" s="7"/>
      <c r="F7" s="7"/>
      <c r="G7" s="7"/>
      <c r="H7" s="7"/>
      <c r="I7" s="8"/>
      <c r="J7" s="2"/>
      <c r="K7" s="7"/>
      <c r="L7" s="7"/>
      <c r="M7" s="7"/>
      <c r="N7" s="7"/>
      <c r="O7" s="9"/>
    </row>
    <row r="8" spans="1:15" x14ac:dyDescent="0.25">
      <c r="A8" s="11" t="s">
        <v>29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9"/>
    </row>
    <row r="9" spans="1:15" x14ac:dyDescent="0.25">
      <c r="A9" s="12" t="s">
        <v>45</v>
      </c>
      <c r="B9" s="38">
        <f>Surface!B9</f>
        <v>6.2</v>
      </c>
      <c r="C9" s="7" t="s">
        <v>27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9"/>
    </row>
    <row r="10" spans="1:15" x14ac:dyDescent="0.25">
      <c r="A10" s="12" t="s">
        <v>0</v>
      </c>
      <c r="B10" s="38">
        <f>Surface!B10</f>
        <v>0.5</v>
      </c>
      <c r="C10" s="7" t="s">
        <v>28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9"/>
    </row>
    <row r="11" spans="1:15" x14ac:dyDescent="0.25">
      <c r="A11" s="12" t="s">
        <v>1</v>
      </c>
      <c r="B11" s="38">
        <f>Surface!B11</f>
        <v>1.33</v>
      </c>
      <c r="C11" s="7" t="s">
        <v>3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9"/>
    </row>
    <row r="12" spans="1:15" x14ac:dyDescent="0.25">
      <c r="A12" s="12" t="s">
        <v>2</v>
      </c>
      <c r="B12" s="38">
        <f>Surface!B12</f>
        <v>18.5</v>
      </c>
      <c r="C12" s="7" t="s">
        <v>3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9"/>
    </row>
    <row r="13" spans="1:15" x14ac:dyDescent="0.25">
      <c r="A13" s="12" t="s">
        <v>5</v>
      </c>
      <c r="B13" s="49">
        <v>0</v>
      </c>
      <c r="C13" s="7" t="s">
        <v>33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9"/>
    </row>
    <row r="14" spans="1:15" x14ac:dyDescent="0.25">
      <c r="A14" s="12" t="s">
        <v>18</v>
      </c>
      <c r="B14" s="38">
        <f>Surface!B14</f>
        <v>45</v>
      </c>
      <c r="C14" s="7" t="s">
        <v>32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9"/>
    </row>
    <row r="15" spans="1:15" x14ac:dyDescent="0.25">
      <c r="A15" s="12"/>
      <c r="B15" s="3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9"/>
    </row>
    <row r="16" spans="1:15" x14ac:dyDescent="0.25">
      <c r="A16" s="16" t="s">
        <v>30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9"/>
    </row>
    <row r="17" spans="1:15" ht="19.5" x14ac:dyDescent="0.35">
      <c r="A17" s="41" t="s">
        <v>6</v>
      </c>
      <c r="B17" s="23" t="s">
        <v>12</v>
      </c>
      <c r="C17" s="34" t="s">
        <v>13</v>
      </c>
      <c r="D17" s="34" t="s">
        <v>7</v>
      </c>
      <c r="E17" s="34" t="s">
        <v>14</v>
      </c>
      <c r="F17" s="34" t="s">
        <v>15</v>
      </c>
      <c r="G17" s="33" t="s">
        <v>46</v>
      </c>
      <c r="H17" s="23" t="s">
        <v>34</v>
      </c>
      <c r="I17" s="23" t="s">
        <v>10</v>
      </c>
      <c r="J17" s="7"/>
      <c r="K17" s="7"/>
      <c r="L17" s="7"/>
      <c r="M17" s="7"/>
      <c r="N17" s="7"/>
      <c r="O17" s="9"/>
    </row>
    <row r="18" spans="1:15" x14ac:dyDescent="0.25">
      <c r="A18" s="31">
        <v>0</v>
      </c>
      <c r="B18" s="35">
        <f>$B$11^2</f>
        <v>1.7689000000000001</v>
      </c>
      <c r="C18" s="24">
        <f>-(A18-$B$12)/($B$13^2+(A18-$B$12)^2)</f>
        <v>5.4054054054054057E-2</v>
      </c>
      <c r="D18" s="24">
        <f>3-4*$B$10</f>
        <v>1</v>
      </c>
      <c r="E18" s="24">
        <f>(A18+$B$12)/($B$13^2+(A18+$B$12)^2)</f>
        <v>5.4054054054054057E-2</v>
      </c>
      <c r="F18" s="24">
        <f>2*A18*($B$13^2-(A18+$B$12)^2)/($B$13^2+(A18+$B$12)^2)^2</f>
        <v>0</v>
      </c>
      <c r="G18" s="24">
        <f>$B$9/100</f>
        <v>6.2E-2</v>
      </c>
      <c r="H18" s="24">
        <f>EXP(-((1.38*$B$13^2/($B$12*(1/TAN($B$14*PI()/180))+$B$11)^2)+(0.69*A18^2/$B$12^2)))</f>
        <v>1</v>
      </c>
      <c r="I18" s="26">
        <f>1000*B18*(C18+D18*E18-F18)*G18*H18</f>
        <v>11.856410810810813</v>
      </c>
      <c r="J18" s="7"/>
      <c r="K18" s="7"/>
      <c r="L18" s="7"/>
      <c r="M18" s="7"/>
      <c r="N18" s="7"/>
      <c r="O18" s="9"/>
    </row>
    <row r="19" spans="1:15" x14ac:dyDescent="0.25">
      <c r="A19" s="50">
        <v>0.5</v>
      </c>
      <c r="B19" s="37">
        <f t="shared" ref="B19:B48" si="0">$B$11^2</f>
        <v>1.7689000000000001</v>
      </c>
      <c r="C19" s="29">
        <f t="shared" ref="C19:C38" si="1">-(A19-$B$12)/($B$13^2+(A19-$B$12)^2)</f>
        <v>5.5555555555555552E-2</v>
      </c>
      <c r="D19" s="29">
        <f t="shared" ref="D19:D48" si="2">3-4*$B$10</f>
        <v>1</v>
      </c>
      <c r="E19" s="29">
        <f t="shared" ref="E19:E38" si="3">(A19+$B$12)/($B$13^2+(A19+$B$12)^2)</f>
        <v>5.2631578947368418E-2</v>
      </c>
      <c r="F19" s="29">
        <f t="shared" ref="F19:F38" si="4">2*A19*($B$13^2-(A19+$B$12)^2)/($B$13^2+(A19+$B$12)^2)^2</f>
        <v>-2.7700831024930748E-3</v>
      </c>
      <c r="G19" s="29">
        <f t="shared" ref="G19:G48" si="5">$B$9/100</f>
        <v>6.2E-2</v>
      </c>
      <c r="H19" s="29">
        <f>EXP(-((1.38*$B$13^2/($B$12*(1/TAN($B$14*PI()/180))+$B$11)^2)+(0.69*A19^2/$B$12^2)))</f>
        <v>0.99949610946445433</v>
      </c>
      <c r="I19" s="30">
        <f t="shared" ref="I19:I38" si="6">1000*B19*(C19+D19*E19-F19)*G19*H19</f>
        <v>12.162745995437342</v>
      </c>
      <c r="J19" s="7"/>
      <c r="K19" s="7"/>
      <c r="L19" s="7"/>
      <c r="M19" s="7"/>
      <c r="N19" s="7"/>
      <c r="O19" s="9"/>
    </row>
    <row r="20" spans="1:15" x14ac:dyDescent="0.25">
      <c r="A20" s="50">
        <v>1</v>
      </c>
      <c r="B20" s="37">
        <f t="shared" si="0"/>
        <v>1.7689000000000001</v>
      </c>
      <c r="C20" s="29">
        <f t="shared" si="1"/>
        <v>5.7142857142857141E-2</v>
      </c>
      <c r="D20" s="29">
        <f t="shared" si="2"/>
        <v>1</v>
      </c>
      <c r="E20" s="29">
        <f t="shared" si="3"/>
        <v>5.128205128205128E-2</v>
      </c>
      <c r="F20" s="29">
        <f t="shared" si="4"/>
        <v>-5.2596975673898753E-3</v>
      </c>
      <c r="G20" s="29">
        <f t="shared" si="5"/>
        <v>6.2E-2</v>
      </c>
      <c r="H20" s="29">
        <f>EXP(-((1.38*$B$13^2/($B$12*(1/TAN($B$14*PI()/180))+$B$11)^2)+(0.69*A20^2/$B$12^2)))</f>
        <v>0.99798596078015012</v>
      </c>
      <c r="I20" s="30">
        <f t="shared" si="6"/>
        <v>12.442884339795103</v>
      </c>
      <c r="J20" s="7"/>
      <c r="K20" s="7"/>
      <c r="L20" s="7"/>
      <c r="M20" s="7"/>
      <c r="N20" s="7"/>
      <c r="O20" s="9"/>
    </row>
    <row r="21" spans="1:15" x14ac:dyDescent="0.25">
      <c r="A21" s="50">
        <v>1.5</v>
      </c>
      <c r="B21" s="37">
        <f t="shared" si="0"/>
        <v>1.7689000000000001</v>
      </c>
      <c r="C21" s="29">
        <f t="shared" si="1"/>
        <v>5.8823529411764705E-2</v>
      </c>
      <c r="D21" s="29">
        <f t="shared" si="2"/>
        <v>1</v>
      </c>
      <c r="E21" s="29">
        <f t="shared" si="3"/>
        <v>0.05</v>
      </c>
      <c r="F21" s="29">
        <f t="shared" si="4"/>
        <v>-7.4999999999999997E-3</v>
      </c>
      <c r="G21" s="29">
        <f t="shared" si="5"/>
        <v>6.2E-2</v>
      </c>
      <c r="H21" s="29">
        <f t="shared" ref="H21:H43" si="7">EXP(-((1.38*$B$13^2/($B$12*(1/TAN($B$14*PI()/180))+$B$11)^2)+(0.69*A21^2/$B$12^2)))</f>
        <v>0.99547411504537753</v>
      </c>
      <c r="I21" s="30">
        <f t="shared" si="6"/>
        <v>12.699672279101915</v>
      </c>
      <c r="J21" s="7"/>
      <c r="K21" s="7"/>
      <c r="L21" s="7"/>
      <c r="M21" s="7"/>
      <c r="N21" s="7"/>
      <c r="O21" s="9"/>
    </row>
    <row r="22" spans="1:15" x14ac:dyDescent="0.25">
      <c r="A22" s="50">
        <v>2</v>
      </c>
      <c r="B22" s="37">
        <f t="shared" si="0"/>
        <v>1.7689000000000001</v>
      </c>
      <c r="C22" s="29">
        <f t="shared" si="1"/>
        <v>6.0606060606060608E-2</v>
      </c>
      <c r="D22" s="29">
        <f t="shared" si="2"/>
        <v>1</v>
      </c>
      <c r="E22" s="29">
        <f t="shared" si="3"/>
        <v>4.878048780487805E-2</v>
      </c>
      <c r="F22" s="29">
        <f t="shared" si="4"/>
        <v>-9.5181439619274246E-3</v>
      </c>
      <c r="G22" s="29">
        <f t="shared" si="5"/>
        <v>6.2E-2</v>
      </c>
      <c r="H22" s="29">
        <f t="shared" si="7"/>
        <v>0.99196814858230509</v>
      </c>
      <c r="I22" s="30">
        <f t="shared" si="6"/>
        <v>12.935752349704464</v>
      </c>
      <c r="J22" s="7"/>
      <c r="K22" s="7"/>
      <c r="L22" s="7"/>
      <c r="M22" s="7"/>
      <c r="N22" s="7"/>
      <c r="O22" s="9"/>
    </row>
    <row r="23" spans="1:15" x14ac:dyDescent="0.25">
      <c r="A23" s="50">
        <v>2.5</v>
      </c>
      <c r="B23" s="37">
        <f t="shared" si="0"/>
        <v>1.7689000000000001</v>
      </c>
      <c r="C23" s="29">
        <f t="shared" si="1"/>
        <v>6.25E-2</v>
      </c>
      <c r="D23" s="29">
        <f t="shared" si="2"/>
        <v>1</v>
      </c>
      <c r="E23" s="29">
        <f t="shared" si="3"/>
        <v>4.7619047619047616E-2</v>
      </c>
      <c r="F23" s="29">
        <f t="shared" si="4"/>
        <v>-1.1337868480725623E-2</v>
      </c>
      <c r="G23" s="29">
        <f t="shared" si="5"/>
        <v>6.2E-2</v>
      </c>
      <c r="H23" s="29">
        <f t="shared" si="7"/>
        <v>0.98747861486317168</v>
      </c>
      <c r="I23" s="30">
        <f t="shared" si="6"/>
        <v>13.153608769925317</v>
      </c>
      <c r="J23" s="7"/>
      <c r="K23" s="7"/>
      <c r="L23" s="7"/>
      <c r="M23" s="7"/>
      <c r="N23" s="7"/>
      <c r="O23" s="9"/>
    </row>
    <row r="24" spans="1:15" x14ac:dyDescent="0.25">
      <c r="A24" s="50">
        <v>3</v>
      </c>
      <c r="B24" s="37">
        <f t="shared" si="0"/>
        <v>1.7689000000000001</v>
      </c>
      <c r="C24" s="29">
        <f t="shared" si="1"/>
        <v>6.4516129032258063E-2</v>
      </c>
      <c r="D24" s="29">
        <f t="shared" si="2"/>
        <v>1</v>
      </c>
      <c r="E24" s="29">
        <f t="shared" si="3"/>
        <v>4.6511627906976744E-2</v>
      </c>
      <c r="F24" s="29">
        <f t="shared" si="4"/>
        <v>-1.2979989183342347E-2</v>
      </c>
      <c r="G24" s="29">
        <f t="shared" si="5"/>
        <v>6.2E-2</v>
      </c>
      <c r="H24" s="29">
        <f t="shared" si="7"/>
        <v>0.98201899158252925</v>
      </c>
      <c r="I24" s="30">
        <f t="shared" si="6"/>
        <v>13.355608270467355</v>
      </c>
      <c r="J24" s="7"/>
      <c r="K24" s="7"/>
      <c r="L24" s="7"/>
      <c r="M24" s="7"/>
      <c r="N24" s="7"/>
      <c r="O24" s="9"/>
    </row>
    <row r="25" spans="1:15" x14ac:dyDescent="0.25">
      <c r="A25" s="50">
        <v>3.5</v>
      </c>
      <c r="B25" s="37">
        <f t="shared" si="0"/>
        <v>1.7689000000000001</v>
      </c>
      <c r="C25" s="29">
        <f t="shared" si="1"/>
        <v>6.6666666666666666E-2</v>
      </c>
      <c r="D25" s="29">
        <f t="shared" si="2"/>
        <v>1</v>
      </c>
      <c r="E25" s="29">
        <f t="shared" si="3"/>
        <v>4.5454545454545456E-2</v>
      </c>
      <c r="F25" s="29">
        <f t="shared" si="4"/>
        <v>-1.4462809917355372E-2</v>
      </c>
      <c r="G25" s="29">
        <f t="shared" si="5"/>
        <v>6.2E-2</v>
      </c>
      <c r="H25" s="29">
        <f t="shared" si="7"/>
        <v>0.97560561324702855</v>
      </c>
      <c r="I25" s="30">
        <f t="shared" si="6"/>
        <v>13.54403765504382</v>
      </c>
      <c r="J25" s="7"/>
      <c r="K25" s="7"/>
      <c r="L25" s="7"/>
      <c r="M25" s="7"/>
      <c r="N25" s="7"/>
      <c r="O25" s="9"/>
    </row>
    <row r="26" spans="1:15" x14ac:dyDescent="0.25">
      <c r="A26" s="50">
        <v>4</v>
      </c>
      <c r="B26" s="37">
        <f t="shared" si="0"/>
        <v>1.7689000000000001</v>
      </c>
      <c r="C26" s="29">
        <f t="shared" si="1"/>
        <v>6.8965517241379309E-2</v>
      </c>
      <c r="D26" s="29">
        <f t="shared" si="2"/>
        <v>1</v>
      </c>
      <c r="E26" s="29">
        <f t="shared" si="3"/>
        <v>4.4444444444444446E-2</v>
      </c>
      <c r="F26" s="29">
        <f t="shared" si="4"/>
        <v>-1.580246913580247E-2</v>
      </c>
      <c r="G26" s="29">
        <f t="shared" si="5"/>
        <v>6.2E-2</v>
      </c>
      <c r="H26" s="29">
        <f t="shared" si="7"/>
        <v>0.96825758975460685</v>
      </c>
      <c r="I26" s="30">
        <f t="shared" si="6"/>
        <v>13.721139448800173</v>
      </c>
      <c r="J26" s="7"/>
      <c r="K26" s="7"/>
      <c r="L26" s="7"/>
      <c r="M26" s="7"/>
      <c r="N26" s="7"/>
      <c r="O26" s="9"/>
    </row>
    <row r="27" spans="1:15" x14ac:dyDescent="0.25">
      <c r="A27" s="50">
        <v>4.5</v>
      </c>
      <c r="B27" s="37">
        <f t="shared" si="0"/>
        <v>1.7689000000000001</v>
      </c>
      <c r="C27" s="29">
        <f t="shared" si="1"/>
        <v>7.1428571428571425E-2</v>
      </c>
      <c r="D27" s="29">
        <f t="shared" si="2"/>
        <v>1</v>
      </c>
      <c r="E27" s="29">
        <f t="shared" si="3"/>
        <v>4.3478260869565216E-2</v>
      </c>
      <c r="F27" s="29">
        <f t="shared" si="4"/>
        <v>-1.7013232514177693E-2</v>
      </c>
      <c r="G27" s="29">
        <f t="shared" si="5"/>
        <v>6.2E-2</v>
      </c>
      <c r="H27" s="29">
        <f t="shared" si="7"/>
        <v>0.95999671153105237</v>
      </c>
      <c r="I27" s="30">
        <f t="shared" si="6"/>
        <v>13.889146948243907</v>
      </c>
      <c r="J27" s="7"/>
      <c r="K27" s="7"/>
      <c r="L27" s="7"/>
      <c r="M27" s="7"/>
      <c r="N27" s="7"/>
      <c r="O27" s="9"/>
    </row>
    <row r="28" spans="1:15" x14ac:dyDescent="0.25">
      <c r="A28" s="50">
        <v>5</v>
      </c>
      <c r="B28" s="37">
        <f t="shared" si="0"/>
        <v>1.7689000000000001</v>
      </c>
      <c r="C28" s="29">
        <f t="shared" si="1"/>
        <v>7.407407407407407E-2</v>
      </c>
      <c r="D28" s="29">
        <f t="shared" si="2"/>
        <v>1</v>
      </c>
      <c r="E28" s="29">
        <f t="shared" si="3"/>
        <v>4.2553191489361701E-2</v>
      </c>
      <c r="F28" s="29">
        <f t="shared" si="4"/>
        <v>-1.8107741059302851E-2</v>
      </c>
      <c r="G28" s="29">
        <f t="shared" si="5"/>
        <v>6.2E-2</v>
      </c>
      <c r="H28" s="29">
        <f t="shared" si="7"/>
        <v>0.95084734188294928</v>
      </c>
      <c r="I28" s="30">
        <f t="shared" si="6"/>
        <v>14.050320022441698</v>
      </c>
      <c r="J28" s="7"/>
      <c r="K28" s="7"/>
      <c r="L28" s="7"/>
      <c r="M28" s="7"/>
      <c r="N28" s="7"/>
      <c r="O28" s="9"/>
    </row>
    <row r="29" spans="1:15" x14ac:dyDescent="0.25">
      <c r="A29" s="50">
        <v>5.5</v>
      </c>
      <c r="B29" s="37">
        <f t="shared" si="0"/>
        <v>1.7689000000000001</v>
      </c>
      <c r="C29" s="29">
        <f t="shared" si="1"/>
        <v>7.6923076923076927E-2</v>
      </c>
      <c r="D29" s="29">
        <f t="shared" si="2"/>
        <v>1</v>
      </c>
      <c r="E29" s="29">
        <f t="shared" si="3"/>
        <v>4.1666666666666664E-2</v>
      </c>
      <c r="F29" s="29">
        <f t="shared" si="4"/>
        <v>-1.9097222222222224E-2</v>
      </c>
      <c r="G29" s="29">
        <f t="shared" si="5"/>
        <v>6.2E-2</v>
      </c>
      <c r="H29" s="29">
        <f t="shared" si="7"/>
        <v>0.94083629731114637</v>
      </c>
      <c r="I29" s="30">
        <f t="shared" si="6"/>
        <v>14.206983139506344</v>
      </c>
      <c r="J29" s="7"/>
      <c r="K29" s="7"/>
      <c r="L29" s="7"/>
      <c r="M29" s="7"/>
      <c r="N29" s="7"/>
      <c r="O29" s="9"/>
    </row>
    <row r="30" spans="1:15" x14ac:dyDescent="0.25">
      <c r="A30" s="50">
        <v>6</v>
      </c>
      <c r="B30" s="37">
        <f t="shared" si="0"/>
        <v>1.7689000000000001</v>
      </c>
      <c r="C30" s="29">
        <f t="shared" si="1"/>
        <v>0.08</v>
      </c>
      <c r="D30" s="29">
        <f t="shared" si="2"/>
        <v>1</v>
      </c>
      <c r="E30" s="29">
        <f t="shared" si="3"/>
        <v>4.0816326530612242E-2</v>
      </c>
      <c r="F30" s="29">
        <f t="shared" si="4"/>
        <v>-1.9991670137442734E-2</v>
      </c>
      <c r="G30" s="29">
        <f t="shared" si="5"/>
        <v>6.2E-2</v>
      </c>
      <c r="H30" s="29">
        <f t="shared" si="7"/>
        <v>0.92999271660743021</v>
      </c>
      <c r="I30" s="30">
        <f t="shared" si="6"/>
        <v>14.36156732254895</v>
      </c>
      <c r="J30" s="7"/>
      <c r="K30" s="7"/>
      <c r="L30" s="7"/>
      <c r="M30" s="7"/>
      <c r="N30" s="7"/>
      <c r="O30" s="9"/>
    </row>
    <row r="31" spans="1:15" x14ac:dyDescent="0.25">
      <c r="A31" s="50">
        <v>6.5</v>
      </c>
      <c r="B31" s="37">
        <f t="shared" si="0"/>
        <v>1.7689000000000001</v>
      </c>
      <c r="C31" s="29">
        <f t="shared" si="1"/>
        <v>8.3333333333333329E-2</v>
      </c>
      <c r="D31" s="29">
        <f t="shared" si="2"/>
        <v>1</v>
      </c>
      <c r="E31" s="29">
        <f t="shared" si="3"/>
        <v>0.04</v>
      </c>
      <c r="F31" s="29">
        <f t="shared" si="4"/>
        <v>-2.0799999999999999E-2</v>
      </c>
      <c r="G31" s="29">
        <f t="shared" si="5"/>
        <v>6.2E-2</v>
      </c>
      <c r="H31" s="29">
        <f t="shared" si="7"/>
        <v>0.91834791962834339</v>
      </c>
      <c r="I31" s="30">
        <f t="shared" si="6"/>
        <v>14.516658105469242</v>
      </c>
      <c r="J31" s="7"/>
      <c r="K31" s="7"/>
      <c r="L31" s="7"/>
      <c r="M31" s="7"/>
      <c r="N31" s="7"/>
      <c r="O31" s="9"/>
    </row>
    <row r="32" spans="1:15" x14ac:dyDescent="0.25">
      <c r="A32" s="50">
        <v>7</v>
      </c>
      <c r="B32" s="37">
        <f t="shared" si="0"/>
        <v>1.7689000000000001</v>
      </c>
      <c r="C32" s="29">
        <f t="shared" si="1"/>
        <v>8.6956521739130432E-2</v>
      </c>
      <c r="D32" s="29">
        <f t="shared" si="2"/>
        <v>1</v>
      </c>
      <c r="E32" s="29">
        <f t="shared" si="3"/>
        <v>3.9215686274509803E-2</v>
      </c>
      <c r="F32" s="29">
        <f t="shared" si="4"/>
        <v>-2.1530180699730873E-2</v>
      </c>
      <c r="G32" s="29">
        <f t="shared" si="5"/>
        <v>6.2E-2</v>
      </c>
      <c r="H32" s="29">
        <f t="shared" si="7"/>
        <v>0.90593525670351582</v>
      </c>
      <c r="I32" s="30">
        <f t="shared" si="6"/>
        <v>14.675052109193846</v>
      </c>
      <c r="J32" s="7"/>
      <c r="K32" s="7"/>
      <c r="L32" s="7"/>
      <c r="M32" s="7"/>
      <c r="N32" s="7"/>
      <c r="O32" s="9"/>
    </row>
    <row r="33" spans="1:15" x14ac:dyDescent="0.25">
      <c r="A33" s="50">
        <v>7.5</v>
      </c>
      <c r="B33" s="37">
        <f t="shared" si="0"/>
        <v>1.7689000000000001</v>
      </c>
      <c r="C33" s="29">
        <f t="shared" si="1"/>
        <v>9.0909090909090912E-2</v>
      </c>
      <c r="D33" s="29">
        <f t="shared" si="2"/>
        <v>1</v>
      </c>
      <c r="E33" s="29">
        <f t="shared" si="3"/>
        <v>3.8461538461538464E-2</v>
      </c>
      <c r="F33" s="29">
        <f t="shared" si="4"/>
        <v>-2.2189349112426034E-2</v>
      </c>
      <c r="G33" s="29">
        <f t="shared" si="5"/>
        <v>6.2E-2</v>
      </c>
      <c r="H33" s="29">
        <f t="shared" si="7"/>
        <v>0.89278994969096293</v>
      </c>
      <c r="I33" s="30">
        <f t="shared" si="6"/>
        <v>14.839825667925103</v>
      </c>
      <c r="J33" s="7"/>
      <c r="K33" s="7"/>
      <c r="L33" s="7"/>
      <c r="M33" s="7"/>
      <c r="N33" s="7"/>
      <c r="O33" s="9"/>
    </row>
    <row r="34" spans="1:15" x14ac:dyDescent="0.25">
      <c r="A34" s="50">
        <v>8</v>
      </c>
      <c r="B34" s="37">
        <f t="shared" si="0"/>
        <v>1.7689000000000001</v>
      </c>
      <c r="C34" s="29">
        <f t="shared" si="1"/>
        <v>9.5238095238095233E-2</v>
      </c>
      <c r="D34" s="29">
        <f t="shared" si="2"/>
        <v>1</v>
      </c>
      <c r="E34" s="29">
        <f t="shared" si="3"/>
        <v>3.7735849056603772E-2</v>
      </c>
      <c r="F34" s="29">
        <f t="shared" si="4"/>
        <v>-2.2783908864364544E-2</v>
      </c>
      <c r="G34" s="29">
        <f t="shared" si="5"/>
        <v>6.2E-2</v>
      </c>
      <c r="H34" s="29">
        <f t="shared" si="7"/>
        <v>0.87894892573814876</v>
      </c>
      <c r="I34" s="30">
        <f t="shared" si="6"/>
        <v>15.014420118550076</v>
      </c>
      <c r="J34" s="7"/>
      <c r="K34" s="7"/>
      <c r="L34" s="7"/>
      <c r="M34" s="7"/>
      <c r="N34" s="7"/>
      <c r="O34" s="9"/>
    </row>
    <row r="35" spans="1:15" x14ac:dyDescent="0.25">
      <c r="A35" s="50">
        <v>8.5</v>
      </c>
      <c r="B35" s="37">
        <f t="shared" si="0"/>
        <v>1.7689000000000001</v>
      </c>
      <c r="C35" s="29">
        <f t="shared" si="1"/>
        <v>0.1</v>
      </c>
      <c r="D35" s="29">
        <f t="shared" si="2"/>
        <v>1</v>
      </c>
      <c r="E35" s="29">
        <f t="shared" si="3"/>
        <v>3.7037037037037035E-2</v>
      </c>
      <c r="F35" s="29">
        <f t="shared" si="4"/>
        <v>-2.3319615912208505E-2</v>
      </c>
      <c r="G35" s="29">
        <f t="shared" si="5"/>
        <v>6.2E-2</v>
      </c>
      <c r="H35" s="29">
        <f t="shared" si="7"/>
        <v>0.86445064484490841</v>
      </c>
      <c r="I35" s="30">
        <f t="shared" si="6"/>
        <v>15.202750105952241</v>
      </c>
      <c r="J35" s="7"/>
      <c r="K35" s="7"/>
      <c r="L35" s="7"/>
      <c r="M35" s="7"/>
      <c r="N35" s="7"/>
      <c r="O35" s="9"/>
    </row>
    <row r="36" spans="1:15" x14ac:dyDescent="0.25">
      <c r="A36" s="50">
        <v>9</v>
      </c>
      <c r="B36" s="37">
        <f t="shared" si="0"/>
        <v>1.7689000000000001</v>
      </c>
      <c r="C36" s="29">
        <f t="shared" si="1"/>
        <v>0.10526315789473684</v>
      </c>
      <c r="D36" s="29">
        <f t="shared" si="2"/>
        <v>1</v>
      </c>
      <c r="E36" s="29">
        <f t="shared" si="3"/>
        <v>3.6363636363636362E-2</v>
      </c>
      <c r="F36" s="29">
        <f t="shared" si="4"/>
        <v>-2.3801652892561982E-2</v>
      </c>
      <c r="G36" s="29">
        <f t="shared" si="5"/>
        <v>6.2E-2</v>
      </c>
      <c r="H36" s="29">
        <f t="shared" si="7"/>
        <v>0.84933492235234587</v>
      </c>
      <c r="I36" s="30">
        <f t="shared" si="6"/>
        <v>15.409343840307908</v>
      </c>
      <c r="J36" s="7"/>
      <c r="K36" s="7"/>
      <c r="L36" s="7"/>
      <c r="M36" s="7"/>
      <c r="N36" s="7"/>
      <c r="O36" s="9"/>
    </row>
    <row r="37" spans="1:15" x14ac:dyDescent="0.25">
      <c r="A37" s="50">
        <v>9.5</v>
      </c>
      <c r="B37" s="37">
        <f t="shared" si="0"/>
        <v>1.7689000000000001</v>
      </c>
      <c r="C37" s="29">
        <f t="shared" si="1"/>
        <v>0.1111111111111111</v>
      </c>
      <c r="D37" s="29">
        <f t="shared" si="2"/>
        <v>1</v>
      </c>
      <c r="E37" s="29">
        <f t="shared" si="3"/>
        <v>3.5714285714285712E-2</v>
      </c>
      <c r="F37" s="29">
        <f t="shared" si="4"/>
        <v>-2.423469387755102E-2</v>
      </c>
      <c r="G37" s="29">
        <f t="shared" si="5"/>
        <v>6.2E-2</v>
      </c>
      <c r="H37" s="29">
        <f t="shared" si="7"/>
        <v>0.83364274750045231</v>
      </c>
      <c r="I37" s="30">
        <f t="shared" si="6"/>
        <v>15.639528134227799</v>
      </c>
      <c r="J37" s="7"/>
      <c r="K37" s="7"/>
      <c r="L37" s="7"/>
      <c r="M37" s="7"/>
      <c r="N37" s="7"/>
      <c r="O37" s="9"/>
    </row>
    <row r="38" spans="1:15" x14ac:dyDescent="0.25">
      <c r="A38" s="50">
        <v>10</v>
      </c>
      <c r="B38" s="37">
        <f t="shared" si="0"/>
        <v>1.7689000000000001</v>
      </c>
      <c r="C38" s="29">
        <f t="shared" si="1"/>
        <v>0.11764705882352941</v>
      </c>
      <c r="D38" s="29">
        <f t="shared" si="2"/>
        <v>1</v>
      </c>
      <c r="E38" s="29">
        <f t="shared" si="3"/>
        <v>3.5087719298245612E-2</v>
      </c>
      <c r="F38" s="29">
        <f t="shared" si="4"/>
        <v>-2.4622960911049555E-2</v>
      </c>
      <c r="G38" s="29">
        <f t="shared" si="5"/>
        <v>6.2E-2</v>
      </c>
      <c r="H38" s="29">
        <f t="shared" si="7"/>
        <v>0.81741609920640346</v>
      </c>
      <c r="I38" s="30">
        <f t="shared" si="6"/>
        <v>15.899677014101421</v>
      </c>
      <c r="J38" s="7"/>
      <c r="K38" s="7"/>
      <c r="L38" s="7"/>
      <c r="M38" s="7"/>
      <c r="N38" s="7"/>
      <c r="O38" s="9"/>
    </row>
    <row r="39" spans="1:15" x14ac:dyDescent="0.25">
      <c r="A39" s="50">
        <v>10.5</v>
      </c>
      <c r="B39" s="37">
        <f t="shared" si="0"/>
        <v>1.7689000000000001</v>
      </c>
      <c r="C39" s="29">
        <f t="shared" ref="C39:C43" si="8">-(A39-$B$12)/($B$13^2+(A39-$B$12)^2)</f>
        <v>0.125</v>
      </c>
      <c r="D39" s="29">
        <f t="shared" si="2"/>
        <v>1</v>
      </c>
      <c r="E39" s="29">
        <f t="shared" ref="E39:E43" si="9">(A39+$B$12)/($B$13^2+(A39+$B$12)^2)</f>
        <v>3.4482758620689655E-2</v>
      </c>
      <c r="F39" s="29">
        <f t="shared" ref="F39:F43" si="10">2*A39*($B$13^2-(A39+$B$12)^2)/($B$13^2+(A39+$B$12)^2)^2</f>
        <v>-2.4970273483947682E-2</v>
      </c>
      <c r="G39" s="29">
        <f t="shared" si="5"/>
        <v>6.2E-2</v>
      </c>
      <c r="H39" s="29">
        <f t="shared" si="7"/>
        <v>0.80069776021535077</v>
      </c>
      <c r="I39" s="30">
        <f t="shared" ref="I39:I43" si="11">1000*B39*(C39+D39*E39-F39)*G39*H39</f>
        <v>16.197552035064405</v>
      </c>
      <c r="J39" s="7"/>
      <c r="K39" s="7"/>
      <c r="L39" s="7"/>
      <c r="M39" s="7"/>
      <c r="N39" s="7"/>
      <c r="O39" s="9"/>
    </row>
    <row r="40" spans="1:15" x14ac:dyDescent="0.25">
      <c r="A40" s="50">
        <v>11</v>
      </c>
      <c r="B40" s="37">
        <f t="shared" si="0"/>
        <v>1.7689000000000001</v>
      </c>
      <c r="C40" s="29">
        <f t="shared" si="8"/>
        <v>0.13333333333333333</v>
      </c>
      <c r="D40" s="29">
        <f t="shared" si="2"/>
        <v>1</v>
      </c>
      <c r="E40" s="29">
        <f t="shared" si="9"/>
        <v>3.3898305084745763E-2</v>
      </c>
      <c r="F40" s="29">
        <f t="shared" si="10"/>
        <v>-2.528009192760701E-2</v>
      </c>
      <c r="G40" s="29">
        <f t="shared" si="5"/>
        <v>6.2E-2</v>
      </c>
      <c r="H40" s="29">
        <f t="shared" si="7"/>
        <v>0.78353113076619041</v>
      </c>
      <c r="I40" s="30">
        <f t="shared" si="11"/>
        <v>16.542777375925063</v>
      </c>
      <c r="J40" s="7"/>
      <c r="K40" s="7"/>
      <c r="L40" s="7"/>
      <c r="M40" s="7"/>
      <c r="N40" s="7"/>
      <c r="O40" s="9"/>
    </row>
    <row r="41" spans="1:15" x14ac:dyDescent="0.25">
      <c r="A41" s="50">
        <v>11.5</v>
      </c>
      <c r="B41" s="37">
        <f t="shared" si="0"/>
        <v>1.7689000000000001</v>
      </c>
      <c r="C41" s="29">
        <f t="shared" si="8"/>
        <v>0.14285714285714285</v>
      </c>
      <c r="D41" s="29">
        <f t="shared" si="2"/>
        <v>1</v>
      </c>
      <c r="E41" s="29">
        <f t="shared" si="9"/>
        <v>3.3333333333333333E-2</v>
      </c>
      <c r="F41" s="29">
        <f t="shared" si="10"/>
        <v>-2.5555555555555557E-2</v>
      </c>
      <c r="G41" s="29">
        <f t="shared" si="5"/>
        <v>6.2E-2</v>
      </c>
      <c r="H41" s="29">
        <f t="shared" si="7"/>
        <v>0.76596004289651831</v>
      </c>
      <c r="I41" s="30">
        <f t="shared" si="11"/>
        <v>16.947517355548612</v>
      </c>
      <c r="J41" s="7"/>
      <c r="K41" s="7"/>
      <c r="L41" s="7"/>
      <c r="M41" s="7"/>
      <c r="N41" s="7"/>
      <c r="O41" s="9"/>
    </row>
    <row r="42" spans="1:15" x14ac:dyDescent="0.25">
      <c r="A42" s="50">
        <v>12</v>
      </c>
      <c r="B42" s="37">
        <f t="shared" si="0"/>
        <v>1.7689000000000001</v>
      </c>
      <c r="C42" s="29">
        <f t="shared" si="8"/>
        <v>0.15384615384615385</v>
      </c>
      <c r="D42" s="29">
        <f t="shared" si="2"/>
        <v>1</v>
      </c>
      <c r="E42" s="29">
        <f t="shared" si="9"/>
        <v>3.2786885245901641E-2</v>
      </c>
      <c r="F42" s="29">
        <f t="shared" si="10"/>
        <v>-2.5799516259070142E-2</v>
      </c>
      <c r="G42" s="29">
        <f t="shared" si="5"/>
        <v>6.2E-2</v>
      </c>
      <c r="H42" s="29">
        <f t="shared" si="7"/>
        <v>0.74802857648409582</v>
      </c>
      <c r="I42" s="30">
        <f t="shared" si="11"/>
        <v>17.427465592466717</v>
      </c>
      <c r="J42" s="7"/>
      <c r="K42" s="7"/>
      <c r="L42" s="7"/>
      <c r="M42" s="7"/>
      <c r="N42" s="7"/>
      <c r="O42" s="9"/>
    </row>
    <row r="43" spans="1:15" x14ac:dyDescent="0.25">
      <c r="A43" s="50">
        <v>12.5</v>
      </c>
      <c r="B43" s="37">
        <f t="shared" si="0"/>
        <v>1.7689000000000001</v>
      </c>
      <c r="C43" s="29">
        <f t="shared" si="8"/>
        <v>0.16666666666666666</v>
      </c>
      <c r="D43" s="29">
        <f t="shared" si="2"/>
        <v>1</v>
      </c>
      <c r="E43" s="29">
        <f t="shared" si="9"/>
        <v>3.2258064516129031E-2</v>
      </c>
      <c r="F43" s="29">
        <f t="shared" si="10"/>
        <v>-2.6014568158168574E-2</v>
      </c>
      <c r="G43" s="29">
        <f t="shared" si="5"/>
        <v>6.2E-2</v>
      </c>
      <c r="H43" s="29">
        <f t="shared" si="7"/>
        <v>0.72978087808706815</v>
      </c>
      <c r="I43" s="30">
        <f t="shared" si="11"/>
        <v>18.003327802547684</v>
      </c>
      <c r="J43" s="7"/>
      <c r="K43" s="7"/>
      <c r="L43" s="7"/>
      <c r="M43" s="7"/>
      <c r="N43" s="7"/>
      <c r="O43" s="9"/>
    </row>
    <row r="44" spans="1:15" x14ac:dyDescent="0.25">
      <c r="A44" s="50">
        <v>13</v>
      </c>
      <c r="B44" s="37">
        <f t="shared" si="0"/>
        <v>1.7689000000000001</v>
      </c>
      <c r="C44" s="29">
        <f t="shared" ref="C44:C48" si="12">-(A44-$B$12)/($B$13^2+(A44-$B$12)^2)</f>
        <v>0.18181818181818182</v>
      </c>
      <c r="D44" s="29">
        <f t="shared" si="2"/>
        <v>1</v>
      </c>
      <c r="E44" s="29">
        <f t="shared" ref="E44:E48" si="13">(A44+$B$12)/($B$13^2+(A44+$B$12)^2)</f>
        <v>3.1746031746031744E-2</v>
      </c>
      <c r="F44" s="29">
        <f t="shared" ref="F44:F48" si="14">2*A44*($B$13^2-(A44+$B$12)^2)/($B$13^2+(A44+$B$12)^2)^2</f>
        <v>-2.6203073822121441E-2</v>
      </c>
      <c r="G44" s="29">
        <f t="shared" si="5"/>
        <v>6.2E-2</v>
      </c>
      <c r="H44" s="29">
        <f t="shared" ref="H44:H48" si="15">EXP(-((1.38*$B$13^2/($B$12*(1/TAN($B$14*PI()/180))+$B$11)^2)+(0.69*A44^2/$B$12^2)))</f>
        <v>0.71126098360238887</v>
      </c>
      <c r="I44" s="30">
        <f t="shared" ref="I44:I48" si="16">1000*B44*(C44+D44*E44-F44)*G44*H44</f>
        <v>18.703112551140446</v>
      </c>
      <c r="J44" s="7"/>
      <c r="K44" s="7"/>
      <c r="L44" s="7"/>
      <c r="M44" s="7"/>
      <c r="N44" s="7"/>
      <c r="O44" s="9"/>
    </row>
    <row r="45" spans="1:15" x14ac:dyDescent="0.25">
      <c r="A45" s="50">
        <v>13.5</v>
      </c>
      <c r="B45" s="37">
        <f t="shared" si="0"/>
        <v>1.7689000000000001</v>
      </c>
      <c r="C45" s="29">
        <f t="shared" si="12"/>
        <v>0.2</v>
      </c>
      <c r="D45" s="29">
        <f t="shared" si="2"/>
        <v>1</v>
      </c>
      <c r="E45" s="29">
        <f t="shared" si="13"/>
        <v>3.125E-2</v>
      </c>
      <c r="F45" s="29">
        <f t="shared" si="14"/>
        <v>-2.63671875E-2</v>
      </c>
      <c r="G45" s="29">
        <f t="shared" si="5"/>
        <v>6.2E-2</v>
      </c>
      <c r="H45" s="29">
        <f t="shared" si="15"/>
        <v>0.69251264571195381</v>
      </c>
      <c r="I45" s="30">
        <f t="shared" si="16"/>
        <v>19.565795693471053</v>
      </c>
      <c r="J45" s="7"/>
      <c r="K45" s="7"/>
      <c r="L45" s="7"/>
      <c r="M45" s="7"/>
      <c r="N45" s="7"/>
      <c r="O45" s="9"/>
    </row>
    <row r="46" spans="1:15" x14ac:dyDescent="0.25">
      <c r="A46" s="50">
        <v>14</v>
      </c>
      <c r="B46" s="37">
        <f t="shared" si="0"/>
        <v>1.7689000000000001</v>
      </c>
      <c r="C46" s="29">
        <f t="shared" si="12"/>
        <v>0.22222222222222221</v>
      </c>
      <c r="D46" s="29">
        <f t="shared" si="2"/>
        <v>1</v>
      </c>
      <c r="E46" s="29">
        <f t="shared" si="13"/>
        <v>3.0769230769230771E-2</v>
      </c>
      <c r="F46" s="29">
        <f t="shared" si="14"/>
        <v>-2.6508875739644971E-2</v>
      </c>
      <c r="G46" s="29">
        <f t="shared" si="5"/>
        <v>6.2E-2</v>
      </c>
      <c r="H46" s="29">
        <f t="shared" si="15"/>
        <v>0.67357916702944798</v>
      </c>
      <c r="I46" s="30">
        <f t="shared" si="16"/>
        <v>20.647427077762305</v>
      </c>
      <c r="J46" s="7"/>
      <c r="K46" s="7"/>
      <c r="L46" s="7"/>
      <c r="M46" s="7"/>
      <c r="N46" s="7"/>
      <c r="O46" s="9"/>
    </row>
    <row r="47" spans="1:15" x14ac:dyDescent="0.25">
      <c r="A47" s="50">
        <v>14.5</v>
      </c>
      <c r="B47" s="37">
        <f t="shared" si="0"/>
        <v>1.7689000000000001</v>
      </c>
      <c r="C47" s="29">
        <f t="shared" si="12"/>
        <v>0.25</v>
      </c>
      <c r="D47" s="29">
        <f t="shared" si="2"/>
        <v>1</v>
      </c>
      <c r="E47" s="29">
        <f t="shared" si="13"/>
        <v>3.0303030303030304E-2</v>
      </c>
      <c r="F47" s="29">
        <f t="shared" si="14"/>
        <v>-2.6629935720844811E-2</v>
      </c>
      <c r="G47" s="29">
        <f t="shared" si="5"/>
        <v>6.2E-2</v>
      </c>
      <c r="H47" s="29">
        <f t="shared" si="15"/>
        <v>0.6545032397985362</v>
      </c>
      <c r="I47" s="30">
        <f t="shared" si="16"/>
        <v>22.031816627694241</v>
      </c>
      <c r="J47" s="7"/>
      <c r="K47" s="7"/>
      <c r="L47" s="7"/>
      <c r="M47" s="7"/>
      <c r="N47" s="7"/>
      <c r="O47" s="9"/>
    </row>
    <row r="48" spans="1:15" x14ac:dyDescent="0.25">
      <c r="A48" s="51">
        <v>15</v>
      </c>
      <c r="B48" s="36">
        <f t="shared" si="0"/>
        <v>1.7689000000000001</v>
      </c>
      <c r="C48" s="25">
        <f t="shared" si="12"/>
        <v>0.2857142857142857</v>
      </c>
      <c r="D48" s="25">
        <f t="shared" si="2"/>
        <v>1</v>
      </c>
      <c r="E48" s="25">
        <f t="shared" si="13"/>
        <v>2.9850746268656716E-2</v>
      </c>
      <c r="F48" s="25">
        <f t="shared" si="14"/>
        <v>-2.6732011583871687E-2</v>
      </c>
      <c r="G48" s="25">
        <f t="shared" si="5"/>
        <v>6.2E-2</v>
      </c>
      <c r="H48" s="25">
        <f t="shared" si="15"/>
        <v>0.63532679292545535</v>
      </c>
      <c r="I48" s="27">
        <f t="shared" si="16"/>
        <v>23.850379308395159</v>
      </c>
      <c r="J48" s="7"/>
      <c r="K48" s="7"/>
      <c r="L48" s="7"/>
      <c r="M48" s="7"/>
      <c r="N48" s="7"/>
      <c r="O48" s="9"/>
    </row>
    <row r="49" spans="1:15" x14ac:dyDescent="0.25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9"/>
    </row>
    <row r="50" spans="1:15" x14ac:dyDescent="0.25">
      <c r="A50" s="28" t="s">
        <v>31</v>
      </c>
      <c r="B50" s="52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4"/>
      <c r="O50" s="9"/>
    </row>
    <row r="51" spans="1:15" ht="15.75" thickBot="1" x14ac:dyDescent="0.3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2"/>
    </row>
    <row r="52" spans="1:15" ht="15.75" thickTop="1" x14ac:dyDescent="0.25">
      <c r="A52" s="44" t="s">
        <v>35</v>
      </c>
    </row>
    <row r="53" spans="1:15" x14ac:dyDescent="0.25">
      <c r="A53" t="s">
        <v>36</v>
      </c>
    </row>
  </sheetData>
  <sheetProtection algorithmName="SHA-512" hashValue="hcY0qufWyLS7oEuw/bCGUYWG/5/6lOlG9c9eeVDvpVMzJMPX+PpV76qeiByweoFcTIaUV0RRGZAbZ4ISocbhPQ==" saltValue="DUF2o4vCOzUc33se5imV/g==" spinCount="100000" sheet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53"/>
  <sheetViews>
    <sheetView tabSelected="1" workbookViewId="0">
      <selection activeCell="H11" sqref="H11"/>
    </sheetView>
  </sheetViews>
  <sheetFormatPr defaultRowHeight="15" x14ac:dyDescent="0.25"/>
  <cols>
    <col min="3" max="3" width="12.140625" customWidth="1"/>
    <col min="4" max="4" width="18.140625" customWidth="1"/>
    <col min="5" max="5" width="20.85546875" customWidth="1"/>
    <col min="6" max="6" width="0" hidden="1" customWidth="1"/>
    <col min="7" max="7" width="8.140625" customWidth="1"/>
    <col min="8" max="8" width="40" customWidth="1"/>
    <col min="10" max="10" width="11" customWidth="1"/>
  </cols>
  <sheetData>
    <row r="1" spans="1:15" ht="15.75" thickTop="1" x14ac:dyDescent="0.25">
      <c r="A1" s="4"/>
      <c r="B1" s="47" t="s">
        <v>38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48" t="s">
        <v>47</v>
      </c>
    </row>
    <row r="2" spans="1:15" x14ac:dyDescent="0.25">
      <c r="A2" s="6"/>
      <c r="B2" s="8" t="s">
        <v>39</v>
      </c>
      <c r="C2" s="7" t="s">
        <v>40</v>
      </c>
      <c r="D2" s="7"/>
      <c r="E2" s="7"/>
      <c r="F2" s="7"/>
      <c r="G2" s="7"/>
      <c r="H2" s="7"/>
      <c r="I2" s="8"/>
      <c r="J2" s="3"/>
      <c r="K2" s="3"/>
      <c r="L2" s="3"/>
      <c r="M2" s="3"/>
      <c r="N2" s="3"/>
      <c r="O2" s="46"/>
    </row>
    <row r="3" spans="1:15" x14ac:dyDescent="0.25">
      <c r="A3" s="6"/>
      <c r="B3" s="8" t="s">
        <v>41</v>
      </c>
      <c r="C3" s="7" t="s">
        <v>42</v>
      </c>
      <c r="D3" s="7"/>
      <c r="E3" s="7"/>
      <c r="F3" s="7"/>
      <c r="G3" s="7"/>
      <c r="H3" s="7"/>
      <c r="I3" s="8"/>
      <c r="J3" s="3"/>
      <c r="K3" s="3"/>
      <c r="L3" s="3"/>
      <c r="M3" s="3"/>
      <c r="N3" s="3"/>
      <c r="O3" s="46"/>
    </row>
    <row r="4" spans="1:15" x14ac:dyDescent="0.25">
      <c r="A4" s="6"/>
      <c r="B4" s="8" t="s">
        <v>43</v>
      </c>
      <c r="C4" s="7" t="s">
        <v>44</v>
      </c>
      <c r="D4" s="7"/>
      <c r="E4" s="7"/>
      <c r="F4" s="7"/>
      <c r="G4" s="7"/>
      <c r="H4" s="7"/>
      <c r="I4" s="1"/>
      <c r="J4" s="3"/>
      <c r="K4" s="3"/>
      <c r="L4" s="3"/>
      <c r="M4" s="3"/>
      <c r="N4" s="3"/>
      <c r="O4" s="46"/>
    </row>
    <row r="5" spans="1:15" x14ac:dyDescent="0.25">
      <c r="A5" s="6"/>
      <c r="B5" s="7"/>
      <c r="C5" s="7"/>
      <c r="D5" s="7"/>
      <c r="E5" s="7"/>
      <c r="F5" s="7"/>
      <c r="G5" s="7"/>
      <c r="H5" s="7"/>
      <c r="I5" s="8"/>
      <c r="J5" s="3"/>
      <c r="K5" s="7"/>
      <c r="L5" s="7"/>
      <c r="M5" s="7"/>
      <c r="N5" s="7"/>
      <c r="O5" s="9"/>
    </row>
    <row r="6" spans="1:15" ht="18.75" x14ac:dyDescent="0.3">
      <c r="A6" s="10" t="s">
        <v>26</v>
      </c>
      <c r="B6" s="7"/>
      <c r="C6" s="7"/>
      <c r="D6" s="7"/>
      <c r="E6" s="7"/>
      <c r="F6" s="7"/>
      <c r="G6" s="7"/>
      <c r="H6" s="7"/>
      <c r="I6" s="8"/>
      <c r="J6" s="45"/>
      <c r="K6" s="7"/>
      <c r="L6" s="7"/>
      <c r="M6" s="7"/>
      <c r="N6" s="7"/>
      <c r="O6" s="9"/>
    </row>
    <row r="7" spans="1:15" ht="18.75" x14ac:dyDescent="0.3">
      <c r="A7" s="10"/>
      <c r="B7" s="7"/>
      <c r="C7" s="7"/>
      <c r="D7" s="7"/>
      <c r="E7" s="7"/>
      <c r="F7" s="7"/>
      <c r="G7" s="7"/>
      <c r="H7" s="7"/>
      <c r="I7" s="8"/>
      <c r="J7" s="2"/>
      <c r="K7" s="7"/>
      <c r="L7" s="7"/>
      <c r="M7" s="7"/>
      <c r="N7" s="7"/>
      <c r="O7" s="9"/>
    </row>
    <row r="8" spans="1:15" x14ac:dyDescent="0.25">
      <c r="A8" s="11" t="s">
        <v>29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9"/>
    </row>
    <row r="9" spans="1:15" x14ac:dyDescent="0.25">
      <c r="A9" s="12" t="s">
        <v>45</v>
      </c>
      <c r="B9" s="38">
        <f>Surface!B9</f>
        <v>6.2</v>
      </c>
      <c r="C9" s="7" t="s">
        <v>27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9"/>
    </row>
    <row r="10" spans="1:15" x14ac:dyDescent="0.25">
      <c r="A10" s="12" t="s">
        <v>0</v>
      </c>
      <c r="B10" s="38">
        <f>Surface!B10</f>
        <v>0.5</v>
      </c>
      <c r="C10" s="7" t="s">
        <v>28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9"/>
    </row>
    <row r="11" spans="1:15" x14ac:dyDescent="0.25">
      <c r="A11" s="12" t="s">
        <v>1</v>
      </c>
      <c r="B11" s="38">
        <f>Surface!B11</f>
        <v>1.33</v>
      </c>
      <c r="C11" s="7" t="s">
        <v>3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9"/>
    </row>
    <row r="12" spans="1:15" x14ac:dyDescent="0.25">
      <c r="A12" s="12" t="s">
        <v>2</v>
      </c>
      <c r="B12" s="38">
        <f>Surface!B12</f>
        <v>18.5</v>
      </c>
      <c r="C12" s="7" t="s">
        <v>3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9"/>
    </row>
    <row r="13" spans="1:15" x14ac:dyDescent="0.25">
      <c r="A13" s="12" t="s">
        <v>5</v>
      </c>
      <c r="B13" s="49">
        <v>4</v>
      </c>
      <c r="C13" s="7" t="s">
        <v>33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9"/>
    </row>
    <row r="14" spans="1:15" x14ac:dyDescent="0.25">
      <c r="A14" s="12" t="s">
        <v>18</v>
      </c>
      <c r="B14" s="38">
        <f>Surface!B14</f>
        <v>45</v>
      </c>
      <c r="C14" s="7" t="s">
        <v>32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9"/>
    </row>
    <row r="15" spans="1:15" x14ac:dyDescent="0.25">
      <c r="A15" s="12"/>
      <c r="B15" s="3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9"/>
    </row>
    <row r="16" spans="1:15" x14ac:dyDescent="0.25">
      <c r="A16" s="16" t="s">
        <v>30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9"/>
    </row>
    <row r="17" spans="1:15" ht="19.5" x14ac:dyDescent="0.35">
      <c r="A17" s="41" t="s">
        <v>6</v>
      </c>
      <c r="B17" s="34" t="s">
        <v>20</v>
      </c>
      <c r="C17" s="34" t="s">
        <v>21</v>
      </c>
      <c r="D17" s="34" t="s">
        <v>22</v>
      </c>
      <c r="E17" s="34" t="s">
        <v>23</v>
      </c>
      <c r="F17" s="17"/>
      <c r="G17" s="32" t="s">
        <v>46</v>
      </c>
      <c r="H17" s="23" t="s">
        <v>34</v>
      </c>
      <c r="I17" s="23" t="s">
        <v>11</v>
      </c>
      <c r="J17" s="7"/>
      <c r="K17" s="7"/>
      <c r="L17" s="7"/>
      <c r="M17" s="7"/>
      <c r="N17" s="7"/>
      <c r="O17" s="9"/>
    </row>
    <row r="18" spans="1:15" x14ac:dyDescent="0.25">
      <c r="A18" s="31">
        <v>0</v>
      </c>
      <c r="B18" s="24">
        <f>($B$11^2)*$B$13</f>
        <v>7.0756000000000006</v>
      </c>
      <c r="C18" s="35">
        <f>1/($B$13^2+($B$12-A18)^2)</f>
        <v>2.7913468248429866E-3</v>
      </c>
      <c r="D18" s="24">
        <f>(3-4*$B$10)/($B$13^2+($B$12+A18)^2)</f>
        <v>2.7913468248429866E-3</v>
      </c>
      <c r="E18" s="24">
        <f>(4*A18*(A18+$B$12))/($B$13^2+($B$12+A18)^2)^2</f>
        <v>0</v>
      </c>
      <c r="F18" s="18"/>
      <c r="G18" s="24">
        <f>$B$9/100</f>
        <v>6.2E-2</v>
      </c>
      <c r="H18" s="24">
        <f>EXP(-((1.38*$B$13^2/($B$12*(1/TAN($B$14*PI()/180))+$B$11)^2)+(0.69*A18^2/$B$12^2)))</f>
        <v>0.94539684139421098</v>
      </c>
      <c r="I18" s="39">
        <f>1000*B18*(C18+D18-E18)*G18*H18</f>
        <v>2.3153300390234222</v>
      </c>
      <c r="J18" s="7"/>
      <c r="K18" s="7"/>
      <c r="L18" s="7"/>
      <c r="M18" s="7"/>
      <c r="N18" s="7"/>
      <c r="O18" s="9"/>
    </row>
    <row r="19" spans="1:15" x14ac:dyDescent="0.25">
      <c r="A19" s="50">
        <v>1</v>
      </c>
      <c r="B19" s="29">
        <f t="shared" ref="B19:B48" si="0">($B$11^2)*$B$13</f>
        <v>7.0756000000000006</v>
      </c>
      <c r="C19" s="37">
        <f t="shared" ref="C19:C48" si="1">1/($B$13^2+($B$12-A19)^2)</f>
        <v>3.1031807602792862E-3</v>
      </c>
      <c r="D19" s="29">
        <f t="shared" ref="D19:D48" si="2">(3-4*$B$10)/($B$13^2+($B$12+A19)^2)</f>
        <v>2.523659305993691E-3</v>
      </c>
      <c r="E19" s="29">
        <f t="shared" ref="E19:E48" si="3">(4*A19*(A19+$B$12))/($B$13^2+($B$12+A19)^2)^2</f>
        <v>4.967707908328275E-4</v>
      </c>
      <c r="F19" s="42"/>
      <c r="G19" s="29">
        <f t="shared" ref="G19:G48" si="4">$B$9/100</f>
        <v>6.2E-2</v>
      </c>
      <c r="H19" s="29">
        <f>EXP(-((1.38*$B$13^2/($B$12*(1/TAN($B$14*PI()/180))+$B$11)^2)+(0.69*A19^2/$B$12^2)))</f>
        <v>0.94349277507732088</v>
      </c>
      <c r="I19" s="43">
        <f t="shared" ref="I19:I48" si="5">1000*B19*(C19+D19-E19)*G19*H19</f>
        <v>2.1233264580581954</v>
      </c>
      <c r="J19" s="7"/>
      <c r="K19" s="7"/>
      <c r="L19" s="7"/>
      <c r="M19" s="7"/>
      <c r="N19" s="7"/>
      <c r="O19" s="9"/>
    </row>
    <row r="20" spans="1:15" x14ac:dyDescent="0.25">
      <c r="A20" s="50">
        <v>2</v>
      </c>
      <c r="B20" s="29">
        <f t="shared" si="0"/>
        <v>7.0756000000000006</v>
      </c>
      <c r="C20" s="37">
        <f t="shared" si="1"/>
        <v>3.469210754553339E-3</v>
      </c>
      <c r="D20" s="29">
        <f t="shared" si="2"/>
        <v>2.2922636103151861E-3</v>
      </c>
      <c r="E20" s="29">
        <f t="shared" si="3"/>
        <v>8.6173348330473472E-4</v>
      </c>
      <c r="F20" s="42"/>
      <c r="G20" s="29">
        <f t="shared" si="4"/>
        <v>6.2E-2</v>
      </c>
      <c r="H20" s="29">
        <f t="shared" ref="H20:H48" si="6">EXP(-((1.38*$B$13^2/($B$12*(1/TAN($B$14*PI()/180))+$B$11)^2)+(0.69*A20^2/$B$12^2)))</f>
        <v>0.93780355443337449</v>
      </c>
      <c r="I20" s="43">
        <f>1000*B20*(C20+D20-E20)*G20*H20</f>
        <v>2.0157652337271377</v>
      </c>
      <c r="J20" s="7"/>
      <c r="K20" s="7"/>
      <c r="L20" s="7"/>
      <c r="M20" s="7"/>
      <c r="N20" s="7"/>
      <c r="O20" s="9"/>
    </row>
    <row r="21" spans="1:15" x14ac:dyDescent="0.25">
      <c r="A21" s="50">
        <v>3</v>
      </c>
      <c r="B21" s="29">
        <f t="shared" si="0"/>
        <v>7.0756000000000006</v>
      </c>
      <c r="C21" s="37">
        <f t="shared" si="1"/>
        <v>3.9024390243902439E-3</v>
      </c>
      <c r="D21" s="29">
        <f t="shared" si="2"/>
        <v>2.0909566126502874E-3</v>
      </c>
      <c r="E21" s="29">
        <f t="shared" si="3"/>
        <v>1.1280016854443788E-3</v>
      </c>
      <c r="F21" s="42"/>
      <c r="G21" s="29">
        <f t="shared" si="4"/>
        <v>6.2E-2</v>
      </c>
      <c r="H21" s="29">
        <f t="shared" si="6"/>
        <v>0.92839765283125142</v>
      </c>
      <c r="I21" s="43">
        <f t="shared" si="5"/>
        <v>1.9815589986125972</v>
      </c>
      <c r="J21" s="7"/>
      <c r="K21" s="7"/>
      <c r="L21" s="7"/>
      <c r="M21" s="7"/>
      <c r="N21" s="7"/>
      <c r="O21" s="9"/>
    </row>
    <row r="22" spans="1:15" x14ac:dyDescent="0.25">
      <c r="A22" s="50">
        <v>4</v>
      </c>
      <c r="B22" s="29">
        <f t="shared" si="0"/>
        <v>7.0756000000000006</v>
      </c>
      <c r="C22" s="37">
        <f t="shared" si="1"/>
        <v>4.4198895027624313E-3</v>
      </c>
      <c r="D22" s="29">
        <f t="shared" si="2"/>
        <v>1.9147917663954045E-3</v>
      </c>
      <c r="E22" s="29">
        <f t="shared" si="3"/>
        <v>1.319913903116028E-3</v>
      </c>
      <c r="F22" s="42"/>
      <c r="G22" s="29">
        <f t="shared" si="4"/>
        <v>6.2E-2</v>
      </c>
      <c r="H22" s="29">
        <f t="shared" si="6"/>
        <v>0.91538766700997698</v>
      </c>
      <c r="I22" s="43">
        <f t="shared" si="5"/>
        <v>2.0137743770123668</v>
      </c>
      <c r="J22" s="7"/>
      <c r="K22" s="7"/>
      <c r="L22" s="7"/>
      <c r="M22" s="7"/>
      <c r="N22" s="7"/>
      <c r="O22" s="9"/>
    </row>
    <row r="23" spans="1:15" x14ac:dyDescent="0.25">
      <c r="A23" s="50">
        <v>5</v>
      </c>
      <c r="B23" s="29">
        <f t="shared" si="0"/>
        <v>7.0756000000000006</v>
      </c>
      <c r="C23" s="37">
        <f t="shared" si="1"/>
        <v>5.0441361916771753E-3</v>
      </c>
      <c r="D23" s="29">
        <f t="shared" si="2"/>
        <v>1.7597888253409592E-3</v>
      </c>
      <c r="E23" s="29">
        <f t="shared" si="3"/>
        <v>1.4555226536036088E-3</v>
      </c>
      <c r="F23" s="42"/>
      <c r="G23" s="29">
        <f t="shared" si="4"/>
        <v>6.2E-2</v>
      </c>
      <c r="H23" s="29">
        <f t="shared" si="6"/>
        <v>0.89892807366422167</v>
      </c>
      <c r="I23" s="43">
        <f t="shared" si="5"/>
        <v>2.1091330568836968</v>
      </c>
      <c r="J23" s="7"/>
      <c r="K23" s="7"/>
      <c r="L23" s="7"/>
      <c r="M23" s="7"/>
      <c r="N23" s="7"/>
      <c r="O23" s="9"/>
    </row>
    <row r="24" spans="1:15" x14ac:dyDescent="0.25">
      <c r="A24" s="50">
        <v>6</v>
      </c>
      <c r="B24" s="29">
        <f t="shared" si="0"/>
        <v>7.0756000000000006</v>
      </c>
      <c r="C24" s="37">
        <f t="shared" si="1"/>
        <v>5.8055152394775036E-3</v>
      </c>
      <c r="D24" s="29">
        <f t="shared" si="2"/>
        <v>1.6227180527383367E-3</v>
      </c>
      <c r="E24" s="29">
        <f t="shared" si="3"/>
        <v>1.5483297606655449E-3</v>
      </c>
      <c r="F24" s="42"/>
      <c r="G24" s="29">
        <f t="shared" si="4"/>
        <v>6.2E-2</v>
      </c>
      <c r="H24" s="29">
        <f t="shared" si="6"/>
        <v>0.87921217680028607</v>
      </c>
      <c r="I24" s="43">
        <f t="shared" si="5"/>
        <v>2.2678736651160292</v>
      </c>
      <c r="J24" s="7"/>
      <c r="K24" s="7"/>
      <c r="L24" s="7"/>
      <c r="M24" s="7"/>
      <c r="N24" s="7"/>
      <c r="O24" s="9"/>
    </row>
    <row r="25" spans="1:15" x14ac:dyDescent="0.25">
      <c r="A25" s="50">
        <v>7</v>
      </c>
      <c r="B25" s="29">
        <f t="shared" si="0"/>
        <v>7.0756000000000006</v>
      </c>
      <c r="C25" s="37">
        <f t="shared" si="1"/>
        <v>6.7453625632377737E-3</v>
      </c>
      <c r="D25" s="29">
        <f t="shared" si="2"/>
        <v>1.50093808630394E-3</v>
      </c>
      <c r="E25" s="29">
        <f t="shared" si="3"/>
        <v>1.6085100091872617E-3</v>
      </c>
      <c r="F25" s="42"/>
      <c r="G25" s="29">
        <f t="shared" si="4"/>
        <v>6.2E-2</v>
      </c>
      <c r="H25" s="29">
        <f t="shared" si="6"/>
        <v>0.85646833019515756</v>
      </c>
      <c r="I25" s="43">
        <f t="shared" si="5"/>
        <v>2.4939619415676741</v>
      </c>
      <c r="J25" s="7"/>
      <c r="K25" s="7"/>
      <c r="L25" s="7"/>
      <c r="M25" s="7"/>
      <c r="N25" s="7"/>
      <c r="O25" s="9"/>
    </row>
    <row r="26" spans="1:15" x14ac:dyDescent="0.25">
      <c r="A26" s="50">
        <v>8</v>
      </c>
      <c r="B26" s="29">
        <f t="shared" si="0"/>
        <v>7.0756000000000006</v>
      </c>
      <c r="C26" s="37">
        <f t="shared" si="1"/>
        <v>7.9207920792079209E-3</v>
      </c>
      <c r="D26" s="29">
        <f t="shared" si="2"/>
        <v>1.3922728854855553E-3</v>
      </c>
      <c r="E26" s="29">
        <f t="shared" si="3"/>
        <v>1.6437833719342163E-3</v>
      </c>
      <c r="F26" s="42"/>
      <c r="G26" s="29">
        <f t="shared" si="4"/>
        <v>6.2E-2</v>
      </c>
      <c r="H26" s="29">
        <f t="shared" si="6"/>
        <v>0.83095553813968071</v>
      </c>
      <c r="I26" s="43">
        <f t="shared" si="5"/>
        <v>2.7956798318779081</v>
      </c>
      <c r="J26" s="7"/>
      <c r="K26" s="7"/>
      <c r="L26" s="7"/>
      <c r="M26" s="7"/>
      <c r="N26" s="7"/>
      <c r="O26" s="9"/>
    </row>
    <row r="27" spans="1:15" x14ac:dyDescent="0.25">
      <c r="A27" s="50">
        <v>9</v>
      </c>
      <c r="B27" s="29">
        <f t="shared" si="0"/>
        <v>7.0756000000000006</v>
      </c>
      <c r="C27" s="37">
        <f t="shared" si="1"/>
        <v>9.4117647058823521E-3</v>
      </c>
      <c r="D27" s="29">
        <f t="shared" si="2"/>
        <v>1.2949174490126255E-3</v>
      </c>
      <c r="E27" s="29">
        <f t="shared" si="3"/>
        <v>1.6600430877597918E-3</v>
      </c>
      <c r="F27" s="42"/>
      <c r="G27" s="29">
        <f t="shared" si="4"/>
        <v>6.2E-2</v>
      </c>
      <c r="H27" s="29">
        <f t="shared" si="6"/>
        <v>0.80295855287770523</v>
      </c>
      <c r="I27" s="43">
        <f t="shared" si="5"/>
        <v>3.1866572547982477</v>
      </c>
      <c r="J27" s="7"/>
      <c r="K27" s="7"/>
      <c r="L27" s="7"/>
      <c r="M27" s="7"/>
      <c r="N27" s="7"/>
      <c r="O27" s="9"/>
    </row>
    <row r="28" spans="1:15" x14ac:dyDescent="0.25">
      <c r="A28" s="50">
        <v>10</v>
      </c>
      <c r="B28" s="29">
        <f t="shared" si="0"/>
        <v>7.0756000000000006</v>
      </c>
      <c r="C28" s="37">
        <f t="shared" si="1"/>
        <v>1.1331444759206799E-2</v>
      </c>
      <c r="D28" s="29">
        <f t="shared" si="2"/>
        <v>1.2073649260488982E-3</v>
      </c>
      <c r="E28" s="29">
        <f t="shared" si="3"/>
        <v>1.6618122737044902E-3</v>
      </c>
      <c r="F28" s="42"/>
      <c r="G28" s="29">
        <f t="shared" si="4"/>
        <v>6.2E-2</v>
      </c>
      <c r="H28" s="29">
        <f t="shared" si="6"/>
        <v>0.77278259829451079</v>
      </c>
      <c r="I28" s="43">
        <f t="shared" si="5"/>
        <v>3.6874090896770757</v>
      </c>
      <c r="J28" s="7"/>
      <c r="K28" s="7"/>
      <c r="L28" s="7"/>
      <c r="M28" s="7"/>
      <c r="N28" s="7"/>
      <c r="O28" s="9"/>
    </row>
    <row r="29" spans="1:15" x14ac:dyDescent="0.25">
      <c r="A29" s="50">
        <v>11</v>
      </c>
      <c r="B29" s="29">
        <f t="shared" si="0"/>
        <v>7.0756000000000006</v>
      </c>
      <c r="C29" s="37">
        <f t="shared" si="1"/>
        <v>1.384083044982699E-2</v>
      </c>
      <c r="D29" s="29">
        <f t="shared" si="2"/>
        <v>1.1283497884344146E-3</v>
      </c>
      <c r="E29" s="29">
        <f t="shared" si="3"/>
        <v>1.6525788720878648E-3</v>
      </c>
      <c r="F29" s="42"/>
      <c r="G29" s="29">
        <f t="shared" si="4"/>
        <v>6.2E-2</v>
      </c>
      <c r="H29" s="29">
        <f t="shared" si="6"/>
        <v>0.74074785616039085</v>
      </c>
      <c r="I29" s="43">
        <f t="shared" si="5"/>
        <v>4.3273175424582284</v>
      </c>
      <c r="J29" s="7"/>
      <c r="K29" s="7"/>
      <c r="L29" s="7"/>
      <c r="M29" s="7"/>
      <c r="N29" s="7"/>
      <c r="O29" s="9"/>
    </row>
    <row r="30" spans="1:15" x14ac:dyDescent="0.25">
      <c r="A30" s="50">
        <v>12</v>
      </c>
      <c r="B30" s="29">
        <f t="shared" si="0"/>
        <v>7.0756000000000006</v>
      </c>
      <c r="C30" s="37">
        <f t="shared" si="1"/>
        <v>1.7167381974248927E-2</v>
      </c>
      <c r="D30" s="29">
        <f t="shared" si="2"/>
        <v>1.0568031704095112E-3</v>
      </c>
      <c r="E30" s="29">
        <f t="shared" si="3"/>
        <v>1.6350434256058382E-3</v>
      </c>
      <c r="F30" s="42"/>
      <c r="G30" s="29">
        <f t="shared" si="4"/>
        <v>6.2E-2</v>
      </c>
      <c r="H30" s="29">
        <f t="shared" si="6"/>
        <v>0.70718385348067214</v>
      </c>
      <c r="I30" s="43">
        <f t="shared" si="5"/>
        <v>5.1464909841459079</v>
      </c>
      <c r="J30" s="7"/>
      <c r="K30" s="7"/>
      <c r="L30" s="7"/>
      <c r="M30" s="7"/>
      <c r="N30" s="7"/>
      <c r="O30" s="9"/>
    </row>
    <row r="31" spans="1:15" x14ac:dyDescent="0.25">
      <c r="A31" s="50">
        <v>13</v>
      </c>
      <c r="B31" s="29">
        <f t="shared" si="0"/>
        <v>7.0756000000000006</v>
      </c>
      <c r="C31" s="37">
        <f t="shared" si="1"/>
        <v>2.1621621621621623E-2</v>
      </c>
      <c r="D31" s="29">
        <f t="shared" si="2"/>
        <v>9.9181750557897352E-4</v>
      </c>
      <c r="E31" s="29">
        <f t="shared" si="3"/>
        <v>1.6113038176428054E-3</v>
      </c>
      <c r="F31" s="42"/>
      <c r="G31" s="29">
        <f t="shared" si="4"/>
        <v>6.2E-2</v>
      </c>
      <c r="H31" s="29">
        <f t="shared" si="6"/>
        <v>0.6724238873046382</v>
      </c>
      <c r="I31" s="43">
        <f t="shared" si="5"/>
        <v>6.1952886806562866</v>
      </c>
      <c r="J31" s="7"/>
      <c r="K31" s="7"/>
      <c r="L31" s="7"/>
      <c r="M31" s="7"/>
      <c r="N31" s="7"/>
      <c r="O31" s="9"/>
    </row>
    <row r="32" spans="1:15" x14ac:dyDescent="0.25">
      <c r="A32" s="50">
        <v>14</v>
      </c>
      <c r="B32" s="29">
        <f t="shared" si="0"/>
        <v>7.0756000000000006</v>
      </c>
      <c r="C32" s="37">
        <f t="shared" si="1"/>
        <v>2.7586206896551724E-2</v>
      </c>
      <c r="D32" s="29">
        <f t="shared" si="2"/>
        <v>9.3261832595010487E-4</v>
      </c>
      <c r="E32" s="29">
        <f t="shared" si="3"/>
        <v>1.5829940342543165E-3</v>
      </c>
      <c r="F32" s="42"/>
      <c r="G32" s="29">
        <f t="shared" si="4"/>
        <v>6.2E-2</v>
      </c>
      <c r="H32" s="29">
        <f t="shared" si="6"/>
        <v>0.63679961693858378</v>
      </c>
      <c r="I32" s="43">
        <f t="shared" si="5"/>
        <v>7.5246817723605304</v>
      </c>
      <c r="J32" s="7"/>
      <c r="K32" s="7"/>
      <c r="L32" s="7"/>
      <c r="M32" s="7"/>
      <c r="N32" s="7"/>
      <c r="O32" s="9"/>
    </row>
    <row r="33" spans="1:15" x14ac:dyDescent="0.25">
      <c r="A33" s="50">
        <v>15</v>
      </c>
      <c r="B33" s="29">
        <f t="shared" si="0"/>
        <v>7.0756000000000006</v>
      </c>
      <c r="C33" s="37">
        <f t="shared" si="1"/>
        <v>3.5398230088495575E-2</v>
      </c>
      <c r="D33" s="29">
        <f t="shared" si="2"/>
        <v>8.7854162090929061E-4</v>
      </c>
      <c r="E33" s="29">
        <f t="shared" si="3"/>
        <v>1.5513891131365466E-3</v>
      </c>
      <c r="F33" s="42"/>
      <c r="G33" s="29">
        <f t="shared" si="4"/>
        <v>6.2E-2</v>
      </c>
      <c r="H33" s="29">
        <f t="shared" si="6"/>
        <v>0.60063594328483938</v>
      </c>
      <c r="I33" s="43">
        <f t="shared" si="5"/>
        <v>9.1498362095034373</v>
      </c>
      <c r="J33" s="7"/>
      <c r="K33" s="7"/>
      <c r="L33" s="7"/>
      <c r="M33" s="7"/>
      <c r="N33" s="7"/>
      <c r="O33" s="9"/>
    </row>
    <row r="34" spans="1:15" x14ac:dyDescent="0.25">
      <c r="A34" s="50">
        <v>16</v>
      </c>
      <c r="B34" s="29">
        <f t="shared" si="0"/>
        <v>7.0756000000000006</v>
      </c>
      <c r="C34" s="37">
        <f t="shared" si="1"/>
        <v>4.49438202247191E-2</v>
      </c>
      <c r="D34" s="29">
        <f t="shared" si="2"/>
        <v>8.2901554404145078E-4</v>
      </c>
      <c r="E34" s="29">
        <f t="shared" si="3"/>
        <v>1.5174850331552525E-3</v>
      </c>
      <c r="F34" s="42"/>
      <c r="G34" s="29">
        <f t="shared" si="4"/>
        <v>6.2E-2</v>
      </c>
      <c r="H34" s="29">
        <f t="shared" si="6"/>
        <v>0.56424628151474621</v>
      </c>
      <c r="I34" s="43">
        <f t="shared" si="5"/>
        <v>10.954421699510965</v>
      </c>
      <c r="J34" s="7"/>
      <c r="K34" s="7"/>
      <c r="L34" s="7"/>
      <c r="M34" s="7"/>
      <c r="N34" s="7"/>
      <c r="O34" s="9"/>
    </row>
    <row r="35" spans="1:15" x14ac:dyDescent="0.25">
      <c r="A35" s="50">
        <v>17</v>
      </c>
      <c r="B35" s="29">
        <f t="shared" si="0"/>
        <v>7.0756000000000006</v>
      </c>
      <c r="C35" s="37">
        <f t="shared" si="1"/>
        <v>5.4794520547945202E-2</v>
      </c>
      <c r="D35" s="29">
        <f t="shared" si="2"/>
        <v>7.8354554358472082E-4</v>
      </c>
      <c r="E35" s="29">
        <f t="shared" si="3"/>
        <v>1.4820598959557423E-3</v>
      </c>
      <c r="F35" s="42"/>
      <c r="G35" s="29">
        <f t="shared" si="4"/>
        <v>6.2E-2</v>
      </c>
      <c r="H35" s="29">
        <f t="shared" si="6"/>
        <v>0.52792831710992927</v>
      </c>
      <c r="I35" s="43">
        <f t="shared" si="5"/>
        <v>12.5283859354269</v>
      </c>
      <c r="J35" s="7"/>
      <c r="K35" s="7"/>
      <c r="L35" s="7"/>
      <c r="M35" s="7"/>
      <c r="N35" s="7"/>
      <c r="O35" s="9"/>
    </row>
    <row r="36" spans="1:15" x14ac:dyDescent="0.25">
      <c r="A36" s="50">
        <v>18</v>
      </c>
      <c r="B36" s="29">
        <f t="shared" si="0"/>
        <v>7.0756000000000006</v>
      </c>
      <c r="C36" s="37">
        <f t="shared" si="1"/>
        <v>6.1538461538461542E-2</v>
      </c>
      <c r="D36" s="29">
        <f t="shared" si="2"/>
        <v>7.4170220656406458E-4</v>
      </c>
      <c r="E36" s="29">
        <f t="shared" si="3"/>
        <v>1.4457210449474219E-3</v>
      </c>
      <c r="F36" s="42"/>
      <c r="G36" s="29">
        <f t="shared" si="4"/>
        <v>6.2E-2</v>
      </c>
      <c r="H36" s="29">
        <f t="shared" si="6"/>
        <v>0.49196031717645522</v>
      </c>
      <c r="I36" s="43">
        <f t="shared" si="5"/>
        <v>13.129088308102805</v>
      </c>
      <c r="J36" s="7"/>
      <c r="K36" s="7"/>
      <c r="L36" s="7"/>
      <c r="M36" s="7"/>
      <c r="N36" s="7"/>
      <c r="O36" s="9"/>
    </row>
    <row r="37" spans="1:15" x14ac:dyDescent="0.25">
      <c r="A37" s="50">
        <v>19</v>
      </c>
      <c r="B37" s="29">
        <f t="shared" si="0"/>
        <v>7.0756000000000006</v>
      </c>
      <c r="C37" s="37">
        <f t="shared" si="1"/>
        <v>6.1538461538461542E-2</v>
      </c>
      <c r="D37" s="29">
        <f t="shared" si="2"/>
        <v>7.0311126735805938E-4</v>
      </c>
      <c r="E37" s="29">
        <f t="shared" si="3"/>
        <v>1.408941544714691E-3</v>
      </c>
      <c r="F37" s="42"/>
      <c r="G37" s="29">
        <f t="shared" si="4"/>
        <v>6.2E-2</v>
      </c>
      <c r="H37" s="29">
        <f t="shared" si="6"/>
        <v>0.45659804959330436</v>
      </c>
      <c r="I37" s="43">
        <f t="shared" si="5"/>
        <v>12.185002332998501</v>
      </c>
      <c r="J37" s="7"/>
      <c r="K37" s="7"/>
      <c r="L37" s="7"/>
      <c r="M37" s="7"/>
      <c r="N37" s="7"/>
      <c r="O37" s="9"/>
    </row>
    <row r="38" spans="1:15" x14ac:dyDescent="0.25">
      <c r="A38" s="50">
        <v>20</v>
      </c>
      <c r="B38" s="29">
        <f t="shared" si="0"/>
        <v>7.0756000000000006</v>
      </c>
      <c r="C38" s="37">
        <f t="shared" si="1"/>
        <v>5.4794520547945202E-2</v>
      </c>
      <c r="D38" s="29">
        <f t="shared" si="2"/>
        <v>6.6744535291173035E-4</v>
      </c>
      <c r="E38" s="29">
        <f t="shared" si="3"/>
        <v>1.37208856130027E-3</v>
      </c>
      <c r="F38" s="42"/>
      <c r="G38" s="29">
        <f t="shared" si="4"/>
        <v>6.2E-2</v>
      </c>
      <c r="H38" s="29">
        <f t="shared" si="6"/>
        <v>0.42207234274791999</v>
      </c>
      <c r="I38" s="43">
        <f t="shared" si="5"/>
        <v>10.015159133377976</v>
      </c>
      <c r="J38" s="7"/>
      <c r="K38" s="7"/>
      <c r="L38" s="7"/>
      <c r="M38" s="7"/>
      <c r="N38" s="7"/>
      <c r="O38" s="9"/>
    </row>
    <row r="39" spans="1:15" x14ac:dyDescent="0.25">
      <c r="A39" s="50">
        <v>21</v>
      </c>
      <c r="B39" s="29">
        <f t="shared" si="0"/>
        <v>7.0756000000000006</v>
      </c>
      <c r="C39" s="37">
        <f t="shared" si="1"/>
        <v>4.49438202247191E-2</v>
      </c>
      <c r="D39" s="29">
        <f t="shared" si="2"/>
        <v>6.3441712926249011E-4</v>
      </c>
      <c r="E39" s="29">
        <f t="shared" si="3"/>
        <v>1.3354455415657048E-3</v>
      </c>
      <c r="F39" s="42"/>
      <c r="G39" s="29">
        <f t="shared" si="4"/>
        <v>6.2E-2</v>
      </c>
      <c r="H39" s="29">
        <f t="shared" si="6"/>
        <v>0.3885872990582005</v>
      </c>
      <c r="I39" s="43">
        <f t="shared" si="5"/>
        <v>7.5419923651412279</v>
      </c>
      <c r="J39" s="7"/>
      <c r="K39" s="7"/>
      <c r="L39" s="7"/>
      <c r="M39" s="7"/>
      <c r="N39" s="7"/>
      <c r="O39" s="9"/>
    </row>
    <row r="40" spans="1:15" x14ac:dyDescent="0.25">
      <c r="A40" s="50">
        <v>22</v>
      </c>
      <c r="B40" s="29">
        <f t="shared" si="0"/>
        <v>7.0756000000000006</v>
      </c>
      <c r="C40" s="37">
        <f t="shared" si="1"/>
        <v>3.5398230088495575E-2</v>
      </c>
      <c r="D40" s="29">
        <f t="shared" si="2"/>
        <v>6.0377358490566041E-4</v>
      </c>
      <c r="E40" s="29">
        <f t="shared" si="3"/>
        <v>1.2992296190815237E-3</v>
      </c>
      <c r="F40" s="42"/>
      <c r="G40" s="29">
        <f t="shared" si="4"/>
        <v>6.2E-2</v>
      </c>
      <c r="H40" s="29">
        <f t="shared" si="6"/>
        <v>0.35631915684683779</v>
      </c>
      <c r="I40" s="43">
        <f t="shared" si="5"/>
        <v>5.4244826866463542</v>
      </c>
      <c r="J40" s="7"/>
      <c r="K40" s="7"/>
      <c r="L40" s="7"/>
      <c r="M40" s="7"/>
      <c r="N40" s="7"/>
      <c r="O40" s="9"/>
    </row>
    <row r="41" spans="1:15" x14ac:dyDescent="0.25">
      <c r="A41" s="50">
        <v>23</v>
      </c>
      <c r="B41" s="29">
        <f t="shared" si="0"/>
        <v>7.0756000000000006</v>
      </c>
      <c r="C41" s="37">
        <f t="shared" si="1"/>
        <v>2.7586206896551724E-2</v>
      </c>
      <c r="D41" s="29">
        <f t="shared" si="2"/>
        <v>5.752912411908529E-4</v>
      </c>
      <c r="E41" s="29">
        <f t="shared" si="3"/>
        <v>1.2636053265449021E-3</v>
      </c>
      <c r="F41" s="42"/>
      <c r="G41" s="29">
        <f t="shared" si="4"/>
        <v>6.2E-2</v>
      </c>
      <c r="H41" s="29">
        <f t="shared" si="6"/>
        <v>0.32541577800432459</v>
      </c>
      <c r="I41" s="43">
        <f t="shared" si="5"/>
        <v>3.8398284982522957</v>
      </c>
      <c r="J41" s="7"/>
      <c r="K41" s="7"/>
      <c r="L41" s="7"/>
      <c r="M41" s="7"/>
      <c r="N41" s="7"/>
      <c r="O41" s="9"/>
    </row>
    <row r="42" spans="1:15" x14ac:dyDescent="0.25">
      <c r="A42" s="50">
        <v>24</v>
      </c>
      <c r="B42" s="29">
        <f t="shared" si="0"/>
        <v>7.0756000000000006</v>
      </c>
      <c r="C42" s="37">
        <f t="shared" si="1"/>
        <v>2.1621621621621623E-2</v>
      </c>
      <c r="D42" s="29">
        <f t="shared" si="2"/>
        <v>5.4877212237618329E-4</v>
      </c>
      <c r="E42" s="29">
        <f t="shared" si="3"/>
        <v>1.2286954365728236E-3</v>
      </c>
      <c r="F42" s="42"/>
      <c r="G42" s="29">
        <f t="shared" si="4"/>
        <v>6.2E-2</v>
      </c>
      <c r="H42" s="29">
        <f t="shared" si="6"/>
        <v>0.29599672373533414</v>
      </c>
      <c r="I42" s="43">
        <f t="shared" si="5"/>
        <v>2.7192789795753787</v>
      </c>
      <c r="J42" s="7"/>
      <c r="K42" s="7"/>
      <c r="L42" s="7"/>
      <c r="M42" s="7"/>
      <c r="N42" s="7"/>
      <c r="O42" s="9"/>
    </row>
    <row r="43" spans="1:15" x14ac:dyDescent="0.25">
      <c r="A43" s="50">
        <v>25</v>
      </c>
      <c r="B43" s="29">
        <f t="shared" si="0"/>
        <v>7.0756000000000006</v>
      </c>
      <c r="C43" s="37">
        <f t="shared" si="1"/>
        <v>1.7167381974248927E-2</v>
      </c>
      <c r="D43" s="29">
        <f t="shared" si="2"/>
        <v>5.240403511070353E-4</v>
      </c>
      <c r="E43" s="29">
        <f t="shared" si="3"/>
        <v>1.1945895597094737E-3</v>
      </c>
      <c r="F43" s="42"/>
      <c r="G43" s="29">
        <f t="shared" si="4"/>
        <v>6.2E-2</v>
      </c>
      <c r="H43" s="29">
        <f t="shared" si="6"/>
        <v>0.26815386790056955</v>
      </c>
      <c r="I43" s="43">
        <f t="shared" si="5"/>
        <v>1.9406159666611968</v>
      </c>
      <c r="J43" s="7"/>
      <c r="K43" s="7"/>
      <c r="L43" s="7"/>
      <c r="M43" s="7"/>
      <c r="N43" s="7"/>
      <c r="O43" s="9"/>
    </row>
    <row r="44" spans="1:15" x14ac:dyDescent="0.25">
      <c r="A44" s="50">
        <v>26</v>
      </c>
      <c r="B44" s="29">
        <f t="shared" si="0"/>
        <v>7.0756000000000006</v>
      </c>
      <c r="C44" s="37">
        <f t="shared" si="1"/>
        <v>1.384083044982699E-2</v>
      </c>
      <c r="D44" s="29">
        <f t="shared" si="2"/>
        <v>5.0093926111458985E-4</v>
      </c>
      <c r="E44" s="29">
        <f t="shared" si="3"/>
        <v>1.1613509833128725E-3</v>
      </c>
      <c r="F44" s="42"/>
      <c r="G44" s="29">
        <f t="shared" si="4"/>
        <v>6.2E-2</v>
      </c>
      <c r="H44" s="29">
        <f t="shared" si="6"/>
        <v>0.24195248729361224</v>
      </c>
      <c r="I44" s="43">
        <f t="shared" si="5"/>
        <v>1.3989888764049225</v>
      </c>
      <c r="J44" s="7"/>
      <c r="K44" s="7"/>
      <c r="L44" s="7"/>
      <c r="M44" s="7"/>
      <c r="N44" s="7"/>
      <c r="O44" s="9"/>
    </row>
    <row r="45" spans="1:15" x14ac:dyDescent="0.25">
      <c r="A45" s="50">
        <v>27</v>
      </c>
      <c r="B45" s="29">
        <f t="shared" si="0"/>
        <v>7.0756000000000006</v>
      </c>
      <c r="C45" s="37">
        <f t="shared" si="1"/>
        <v>1.1331444759206799E-2</v>
      </c>
      <c r="D45" s="29">
        <f t="shared" si="2"/>
        <v>4.7932893948472141E-4</v>
      </c>
      <c r="E45" s="29">
        <f t="shared" si="3"/>
        <v>1.1290221251661695E-3</v>
      </c>
      <c r="F45" s="42"/>
      <c r="G45" s="29">
        <f t="shared" si="4"/>
        <v>6.2E-2</v>
      </c>
      <c r="H45" s="29">
        <f t="shared" si="6"/>
        <v>0.21743276075990775</v>
      </c>
      <c r="I45" s="43">
        <f t="shared" si="5"/>
        <v>1.0188785427708686</v>
      </c>
      <c r="J45" s="7"/>
      <c r="K45" s="7"/>
      <c r="L45" s="7"/>
      <c r="M45" s="7"/>
      <c r="N45" s="7"/>
      <c r="O45" s="9"/>
    </row>
    <row r="46" spans="1:15" x14ac:dyDescent="0.25">
      <c r="A46" s="50">
        <v>28</v>
      </c>
      <c r="B46" s="29">
        <f t="shared" si="0"/>
        <v>7.0756000000000006</v>
      </c>
      <c r="C46" s="37">
        <f t="shared" si="1"/>
        <v>9.4117647058823521E-3</v>
      </c>
      <c r="D46" s="29">
        <f t="shared" si="2"/>
        <v>4.5908412716630321E-4</v>
      </c>
      <c r="E46" s="29">
        <f t="shared" si="3"/>
        <v>1.09762889212997E-3</v>
      </c>
      <c r="F46" s="42"/>
      <c r="G46" s="29">
        <f t="shared" si="4"/>
        <v>6.2E-2</v>
      </c>
      <c r="H46" s="29">
        <f t="shared" si="6"/>
        <v>0.19461160438681771</v>
      </c>
      <c r="I46" s="43">
        <f t="shared" si="5"/>
        <v>0.74900154379779782</v>
      </c>
      <c r="J46" s="7"/>
      <c r="K46" s="7"/>
      <c r="L46" s="7"/>
      <c r="M46" s="7"/>
      <c r="N46" s="7"/>
      <c r="O46" s="9"/>
    </row>
    <row r="47" spans="1:15" x14ac:dyDescent="0.25">
      <c r="A47" s="50">
        <v>29</v>
      </c>
      <c r="B47" s="29">
        <f t="shared" si="0"/>
        <v>7.0756000000000006</v>
      </c>
      <c r="C47" s="37">
        <f t="shared" si="1"/>
        <v>7.9207920792079209E-3</v>
      </c>
      <c r="D47" s="29">
        <f t="shared" si="2"/>
        <v>4.4009241940807571E-4</v>
      </c>
      <c r="E47" s="29">
        <f t="shared" si="3"/>
        <v>1.0671841702886993E-3</v>
      </c>
      <c r="F47" s="42"/>
      <c r="G47" s="29">
        <f t="shared" si="4"/>
        <v>6.2E-2</v>
      </c>
      <c r="H47" s="29">
        <f t="shared" si="6"/>
        <v>0.1734847679771247</v>
      </c>
      <c r="I47" s="43">
        <f t="shared" si="5"/>
        <v>0.55509105391845925</v>
      </c>
      <c r="J47" s="7"/>
      <c r="K47" s="7"/>
      <c r="L47" s="7"/>
      <c r="M47" s="7"/>
      <c r="N47" s="7"/>
      <c r="O47" s="9"/>
    </row>
    <row r="48" spans="1:15" x14ac:dyDescent="0.25">
      <c r="A48" s="51">
        <v>30</v>
      </c>
      <c r="B48" s="25">
        <f t="shared" si="0"/>
        <v>7.0756000000000006</v>
      </c>
      <c r="C48" s="36">
        <f t="shared" si="1"/>
        <v>6.7453625632377737E-3</v>
      </c>
      <c r="D48" s="25">
        <f t="shared" si="2"/>
        <v>4.2225271825187374E-4</v>
      </c>
      <c r="E48" s="25">
        <f t="shared" si="3"/>
        <v>1.0376906239737804E-3</v>
      </c>
      <c r="F48" s="18"/>
      <c r="G48" s="25">
        <f t="shared" si="4"/>
        <v>6.2E-2</v>
      </c>
      <c r="H48" s="25">
        <f t="shared" si="6"/>
        <v>0.15402911847820164</v>
      </c>
      <c r="I48" s="40">
        <f t="shared" si="5"/>
        <v>0.41420270363643835</v>
      </c>
      <c r="J48" s="7"/>
      <c r="K48" s="7"/>
      <c r="L48" s="7"/>
      <c r="M48" s="7"/>
      <c r="N48" s="7"/>
      <c r="O48" s="9"/>
    </row>
    <row r="49" spans="1:15" x14ac:dyDescent="0.25">
      <c r="A49" s="6"/>
      <c r="B49" s="7"/>
      <c r="C49" s="7"/>
      <c r="D49" s="7"/>
      <c r="E49" s="7"/>
      <c r="F49" s="7"/>
      <c r="G49" s="7"/>
      <c r="H49" s="7"/>
      <c r="I49" s="19"/>
      <c r="J49" s="7"/>
      <c r="K49" s="7"/>
      <c r="L49" s="7"/>
      <c r="M49" s="7"/>
      <c r="N49" s="7"/>
      <c r="O49" s="9"/>
    </row>
    <row r="50" spans="1:15" x14ac:dyDescent="0.25">
      <c r="A50" s="28" t="s">
        <v>31</v>
      </c>
      <c r="B50" s="52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4"/>
      <c r="O50" s="9"/>
    </row>
    <row r="51" spans="1:15" ht="15.75" thickBot="1" x14ac:dyDescent="0.3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2"/>
    </row>
    <row r="52" spans="1:15" ht="15.75" thickTop="1" x14ac:dyDescent="0.25">
      <c r="A52" s="44" t="s">
        <v>35</v>
      </c>
    </row>
    <row r="53" spans="1:15" x14ac:dyDescent="0.25">
      <c r="A53" t="s">
        <v>36</v>
      </c>
    </row>
  </sheetData>
  <sheetProtection algorithmName="SHA-512" hashValue="IHzSHMIibKMOl6GwAJoBpQsu7Ad4H/OlSgN2mqdyI6QtMvio8TfX7VPjnttfxSzs+FmGcG7V7Ek6urPNXjDfPg==" saltValue="79XwVz/bEZR3x96UL9UlwQ==" spinCount="100000" sheet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Surface</vt:lpstr>
      <vt:lpstr>Subsurface</vt:lpstr>
      <vt:lpstr>Lateral</vt:lpstr>
      <vt:lpstr>Lateral!Print_Area</vt:lpstr>
      <vt:lpstr>Subsurface!Print_Area</vt:lpstr>
      <vt:lpstr>Surface!Print_Area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2014-07-18T06:57:22Z</dcterms:modified>
</cp:coreProperties>
</file>