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สเปรทชีทคุณอังคาร\"/>
    </mc:Choice>
  </mc:AlternateContent>
  <xr:revisionPtr revIDLastSave="0" documentId="13_ncr:1_{E3A236C4-7EFD-476F-AEBA-E55FCA4520AF}" xr6:coauthVersionLast="47" xr6:coauthVersionMax="47" xr10:uidLastSave="{00000000-0000-0000-0000-000000000000}"/>
  <bookViews>
    <workbookView xWindow="-120" yWindow="-120" windowWidth="29040" windowHeight="15720" xr2:uid="{B5560B81-A267-4424-8622-E026597D36EC}"/>
  </bookViews>
  <sheets>
    <sheet name="Circular Beam" sheetId="1" r:id="rId1"/>
  </sheets>
  <definedNames>
    <definedName name="_xlnm.Print_Area" localSheetId="0">'Circular Beam'!$A$1:$P$57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L29" i="1"/>
  <c r="J29" i="1"/>
  <c r="G56" i="1"/>
  <c r="H26" i="1"/>
  <c r="I22" i="1"/>
  <c r="N26" i="1"/>
  <c r="L26" i="1"/>
  <c r="L27" i="1"/>
  <c r="J27" i="1"/>
  <c r="L25" i="1"/>
  <c r="J25" i="1"/>
  <c r="L24" i="1"/>
  <c r="J24" i="1"/>
  <c r="G54" i="1"/>
  <c r="G52" i="1"/>
  <c r="E47" i="1"/>
  <c r="E45" i="1"/>
  <c r="E38" i="1"/>
  <c r="E37" i="1"/>
  <c r="E40" i="1" s="1"/>
  <c r="E36" i="1"/>
  <c r="E33" i="1"/>
  <c r="E39" i="1" l="1"/>
  <c r="V13" i="1"/>
  <c r="V17" i="1" s="1"/>
  <c r="H11" i="1"/>
  <c r="E27" i="1" s="1"/>
  <c r="E12" i="1"/>
  <c r="E13" i="1" s="1"/>
  <c r="E26" i="1" s="1"/>
  <c r="E9" i="1"/>
  <c r="E10" i="1" s="1"/>
  <c r="E32" i="1" l="1"/>
  <c r="U38" i="1" s="1"/>
  <c r="E19" i="1"/>
  <c r="E28" i="1"/>
  <c r="E30" i="1" s="1"/>
  <c r="E14" i="1"/>
  <c r="V14" i="1" s="1"/>
  <c r="D21" i="1" s="1"/>
  <c r="D22" i="1" s="1"/>
  <c r="E15" i="1"/>
  <c r="V18" i="1" s="1"/>
  <c r="D23" i="1" s="1"/>
  <c r="D24" i="1" s="1"/>
  <c r="E16" i="1"/>
  <c r="E18" i="1"/>
  <c r="G32" i="1" l="1"/>
  <c r="U39" i="1"/>
  <c r="E41" i="1" s="1"/>
  <c r="G41" i="1" s="1"/>
  <c r="E44" i="1"/>
  <c r="E49" i="1" l="1"/>
  <c r="G47" i="1"/>
  <c r="E51" i="1" l="1"/>
  <c r="E50" i="1"/>
  <c r="E55" i="1" l="1"/>
  <c r="I56" i="1" s="1"/>
  <c r="I52" i="1"/>
  <c r="I54" i="1"/>
</calcChain>
</file>

<file path=xl/sharedStrings.xml><?xml version="1.0" encoding="utf-8"?>
<sst xmlns="http://schemas.openxmlformats.org/spreadsheetml/2006/main" count="130" uniqueCount="83">
  <si>
    <t>Ksc.</t>
  </si>
  <si>
    <t>Diameter</t>
  </si>
  <si>
    <t>m.</t>
  </si>
  <si>
    <t>L =</t>
  </si>
  <si>
    <r>
      <t>h</t>
    </r>
    <r>
      <rPr>
        <vertAlign val="subscript"/>
        <sz val="14"/>
        <color theme="1"/>
        <rFont val="TH SarabunPSK"/>
        <family val="2"/>
      </rPr>
      <t>min</t>
    </r>
    <r>
      <rPr>
        <sz val="14"/>
        <color theme="1"/>
        <rFont val="TH SarabunPSK"/>
        <family val="2"/>
      </rPr>
      <t xml:space="preserve"> =</t>
    </r>
  </si>
  <si>
    <t>cm.</t>
  </si>
  <si>
    <t>Use Beam</t>
  </si>
  <si>
    <t>Width =</t>
  </si>
  <si>
    <t>Height =</t>
  </si>
  <si>
    <t>Uniformly Distributed Factored load</t>
  </si>
  <si>
    <t>T/m.</t>
  </si>
  <si>
    <t xml:space="preserve">O. W. of the beam </t>
  </si>
  <si>
    <t>Total load</t>
  </si>
  <si>
    <r>
      <t>M</t>
    </r>
    <r>
      <rPr>
        <vertAlign val="subscript"/>
        <sz val="14"/>
        <color theme="1"/>
        <rFont val="TH SarabunPSK"/>
        <family val="2"/>
      </rPr>
      <t>max(-ve)</t>
    </r>
  </si>
  <si>
    <r>
      <t>M</t>
    </r>
    <r>
      <rPr>
        <vertAlign val="subscript"/>
        <sz val="14"/>
        <color theme="1"/>
        <rFont val="TH SarabunPSK"/>
        <family val="2"/>
      </rPr>
      <t>max(+ve)</t>
    </r>
  </si>
  <si>
    <r>
      <t xml:space="preserve"> = 0.429wR</t>
    </r>
    <r>
      <rPr>
        <vertAlign val="superscript"/>
        <sz val="14"/>
        <color theme="1"/>
        <rFont val="TH SarabunPSK"/>
        <family val="2"/>
      </rPr>
      <t>2</t>
    </r>
  </si>
  <si>
    <r>
      <t xml:space="preserve"> = 0.1514wR</t>
    </r>
    <r>
      <rPr>
        <vertAlign val="superscript"/>
        <sz val="14"/>
        <color theme="1"/>
        <rFont val="TH SarabunPSK"/>
        <family val="2"/>
      </rPr>
      <t>2</t>
    </r>
  </si>
  <si>
    <t>t.m.</t>
  </si>
  <si>
    <r>
      <t>T</t>
    </r>
    <r>
      <rPr>
        <vertAlign val="subscript"/>
        <sz val="14"/>
        <color theme="1"/>
        <rFont val="TH SarabunPSK"/>
        <family val="2"/>
      </rPr>
      <t>max.</t>
    </r>
  </si>
  <si>
    <r>
      <t xml:space="preserve"> = 0.1042wR</t>
    </r>
    <r>
      <rPr>
        <vertAlign val="superscript"/>
        <sz val="14"/>
        <color theme="1"/>
        <rFont val="TH SarabunPSK"/>
        <family val="2"/>
      </rPr>
      <t>2</t>
    </r>
  </si>
  <si>
    <t>Reactions</t>
  </si>
  <si>
    <r>
      <t xml:space="preserve"> = (wR/2)*(</t>
    </r>
    <r>
      <rPr>
        <sz val="14"/>
        <color theme="1"/>
        <rFont val="TH Sarabun New"/>
        <family val="2"/>
      </rPr>
      <t>¶-2)</t>
    </r>
  </si>
  <si>
    <t xml:space="preserve"> = 2wR</t>
  </si>
  <si>
    <t>ton.</t>
  </si>
  <si>
    <r>
      <t>R</t>
    </r>
    <r>
      <rPr>
        <vertAlign val="subscript"/>
        <sz val="14"/>
        <color theme="1"/>
        <rFont val="TH SarabunPSK"/>
        <family val="2"/>
      </rPr>
      <t>A</t>
    </r>
  </si>
  <si>
    <r>
      <t>R</t>
    </r>
    <r>
      <rPr>
        <vertAlign val="subscript"/>
        <sz val="14"/>
        <color theme="1"/>
        <rFont val="TH SarabunPSK"/>
        <family val="2"/>
      </rPr>
      <t>B</t>
    </r>
  </si>
  <si>
    <t>stirrup =</t>
  </si>
  <si>
    <t>Covering =</t>
  </si>
  <si>
    <t>mm.</t>
  </si>
  <si>
    <t>Eff.d =</t>
  </si>
  <si>
    <t>main steel =</t>
  </si>
  <si>
    <t>Design for Reinforcement</t>
  </si>
  <si>
    <r>
      <t>ρ</t>
    </r>
    <r>
      <rPr>
        <vertAlign val="subscript"/>
        <sz val="14"/>
        <color theme="1"/>
        <rFont val="YouYuan"/>
        <family val="3"/>
        <charset val="134"/>
      </rPr>
      <t>-ve</t>
    </r>
  </si>
  <si>
    <r>
      <t>ρ</t>
    </r>
    <r>
      <rPr>
        <vertAlign val="subscript"/>
        <sz val="14"/>
        <color theme="1"/>
        <rFont val="YouYuan"/>
        <family val="3"/>
        <charset val="134"/>
      </rPr>
      <t>+ve</t>
    </r>
  </si>
  <si>
    <r>
      <t>A</t>
    </r>
    <r>
      <rPr>
        <vertAlign val="subscript"/>
        <sz val="14"/>
        <color theme="1"/>
        <rFont val="TH SarabunPSK"/>
        <family val="2"/>
      </rPr>
      <t>s(-ve)</t>
    </r>
  </si>
  <si>
    <r>
      <t>A</t>
    </r>
    <r>
      <rPr>
        <vertAlign val="subscript"/>
        <sz val="14"/>
        <color theme="1"/>
        <rFont val="TH SarabunPSK"/>
        <family val="2"/>
      </rPr>
      <t>s(+ve)</t>
    </r>
  </si>
  <si>
    <r>
      <t>cm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.</t>
    </r>
  </si>
  <si>
    <t>Design for Shear</t>
  </si>
  <si>
    <t>w</t>
  </si>
  <si>
    <r>
      <rPr>
        <sz val="14"/>
        <color theme="1"/>
        <rFont val="TH Sarabun New"/>
        <family val="2"/>
      </rPr>
      <t>Ø</t>
    </r>
    <r>
      <rPr>
        <sz val="14"/>
        <color theme="1"/>
        <rFont val="TH SarabunPSK"/>
        <family val="2"/>
      </rPr>
      <t>V</t>
    </r>
    <r>
      <rPr>
        <vertAlign val="subscript"/>
        <sz val="14"/>
        <color theme="1"/>
        <rFont val="TH SarabunPSK"/>
        <family val="2"/>
      </rPr>
      <t>c</t>
    </r>
  </si>
  <si>
    <r>
      <t>V</t>
    </r>
    <r>
      <rPr>
        <vertAlign val="subscript"/>
        <sz val="14"/>
        <color theme="1"/>
        <rFont val="TH SarabunPSK"/>
        <family val="2"/>
      </rPr>
      <t>s</t>
    </r>
  </si>
  <si>
    <r>
      <t>V</t>
    </r>
    <r>
      <rPr>
        <vertAlign val="subscript"/>
        <sz val="14"/>
        <color theme="1"/>
        <rFont val="TH SarabunPSK"/>
        <family val="2"/>
      </rPr>
      <t>s</t>
    </r>
    <r>
      <rPr>
        <sz val="14"/>
        <color theme="1"/>
        <rFont val="TH SarabunPSK"/>
        <family val="2"/>
      </rPr>
      <t>x1000 = A</t>
    </r>
    <r>
      <rPr>
        <vertAlign val="subscript"/>
        <sz val="14"/>
        <color theme="1"/>
        <rFont val="TH SarabunPSK"/>
        <family val="2"/>
      </rPr>
      <t>v</t>
    </r>
    <r>
      <rPr>
        <sz val="14"/>
        <color theme="1"/>
        <rFont val="TH SarabunPSK"/>
        <family val="2"/>
      </rPr>
      <t>/S .F</t>
    </r>
    <r>
      <rPr>
        <vertAlign val="subscript"/>
        <sz val="14"/>
        <color theme="1"/>
        <rFont val="TH SarabunPSK"/>
        <family val="2"/>
      </rPr>
      <t>y</t>
    </r>
    <r>
      <rPr>
        <sz val="14"/>
        <color theme="1"/>
        <rFont val="TH SarabunPSK"/>
        <family val="2"/>
      </rPr>
      <t>.d</t>
    </r>
  </si>
  <si>
    <r>
      <t>A</t>
    </r>
    <r>
      <rPr>
        <vertAlign val="subscript"/>
        <sz val="14"/>
        <color theme="1"/>
        <rFont val="TH SarabunPSK"/>
        <family val="2"/>
      </rPr>
      <t>v</t>
    </r>
    <r>
      <rPr>
        <sz val="14"/>
        <color theme="1"/>
        <rFont val="TH SarabunPSK"/>
        <family val="2"/>
      </rPr>
      <t>/S  =</t>
    </r>
  </si>
  <si>
    <r>
      <t>cm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./cm.</t>
    </r>
  </si>
  <si>
    <t>θ</t>
  </si>
  <si>
    <t>Design for Torsion</t>
  </si>
  <si>
    <r>
      <t>V</t>
    </r>
    <r>
      <rPr>
        <vertAlign val="subscript"/>
        <sz val="14"/>
        <color theme="1"/>
        <rFont val="TH Sarabun New"/>
        <family val="2"/>
      </rPr>
      <t>Ø</t>
    </r>
    <r>
      <rPr>
        <sz val="14"/>
        <color theme="1"/>
        <rFont val="TH SarabunPSK"/>
        <family val="2"/>
      </rPr>
      <t xml:space="preserve"> = (wR/2))(</t>
    </r>
    <r>
      <rPr>
        <sz val="14"/>
        <color theme="1"/>
        <rFont val="TH Sarabun New"/>
        <family val="2"/>
      </rPr>
      <t>¶</t>
    </r>
    <r>
      <rPr>
        <sz val="14"/>
        <color theme="1"/>
        <rFont val="TH SarabunPSK"/>
        <family val="2"/>
      </rPr>
      <t>/2)-wR</t>
    </r>
    <r>
      <rPr>
        <sz val="14"/>
        <color theme="1"/>
        <rFont val="TH Sarabun New"/>
        <family val="2"/>
      </rPr>
      <t>Ø</t>
    </r>
  </si>
  <si>
    <r>
      <t>V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=(wR/2)*(</t>
    </r>
    <r>
      <rPr>
        <sz val="14"/>
        <color theme="1"/>
        <rFont val="TH Sarabun New"/>
        <family val="2"/>
      </rPr>
      <t>¶</t>
    </r>
    <r>
      <rPr>
        <sz val="14"/>
        <color theme="1"/>
        <rFont val="TH SarabunPSK"/>
        <family val="2"/>
      </rPr>
      <t>-2) - wR</t>
    </r>
    <r>
      <rPr>
        <sz val="14"/>
        <color theme="1"/>
        <rFont val="TH Sarabun New"/>
        <family val="2"/>
      </rPr>
      <t>Ø</t>
    </r>
  </si>
  <si>
    <r>
      <t>(0.265</t>
    </r>
    <r>
      <rPr>
        <sz val="14"/>
        <color theme="1"/>
        <rFont val="TH Sarabun New"/>
        <family val="2"/>
      </rPr>
      <t>Ø</t>
    </r>
    <r>
      <rPr>
        <sz val="14"/>
        <color theme="1"/>
        <rFont val="TH SarabunPSK"/>
        <family val="2"/>
      </rPr>
      <t>√fc'A</t>
    </r>
    <r>
      <rPr>
        <vertAlign val="superscript"/>
        <sz val="14"/>
        <color theme="1"/>
        <rFont val="TH SarabunPSK"/>
        <family val="2"/>
      </rPr>
      <t>2</t>
    </r>
    <r>
      <rPr>
        <vertAlign val="subscript"/>
        <sz val="14"/>
        <color theme="1"/>
        <rFont val="TH SarabunPSK"/>
        <family val="2"/>
      </rPr>
      <t>cp</t>
    </r>
    <r>
      <rPr>
        <sz val="14"/>
        <color theme="1"/>
        <rFont val="TH SarabunPSK"/>
        <family val="2"/>
      </rPr>
      <t>)/P</t>
    </r>
    <r>
      <rPr>
        <vertAlign val="subscript"/>
        <sz val="14"/>
        <color theme="1"/>
        <rFont val="TH SarabunPSK"/>
        <family val="2"/>
      </rPr>
      <t>cp</t>
    </r>
  </si>
  <si>
    <t>Ductility Check</t>
  </si>
  <si>
    <r>
      <t>0.263</t>
    </r>
    <r>
      <rPr>
        <sz val="14"/>
        <color theme="1"/>
        <rFont val="TH Sarabun New"/>
        <family val="2"/>
      </rPr>
      <t>Ø√</t>
    </r>
    <r>
      <rPr>
        <sz val="14"/>
        <color theme="1"/>
        <rFont val="TH SarabunPSK"/>
        <family val="2"/>
      </rPr>
      <t>f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>'</t>
    </r>
  </si>
  <si>
    <t>ksc.</t>
  </si>
  <si>
    <r>
      <t>X</t>
    </r>
    <r>
      <rPr>
        <vertAlign val="subscript"/>
        <sz val="14"/>
        <color theme="1"/>
        <rFont val="TH SarabunPSK"/>
        <family val="2"/>
      </rPr>
      <t>o</t>
    </r>
    <r>
      <rPr>
        <sz val="14"/>
        <color theme="1"/>
        <rFont val="TH SarabunPSK"/>
        <family val="2"/>
      </rPr>
      <t xml:space="preserve">  =</t>
    </r>
  </si>
  <si>
    <r>
      <t>Y</t>
    </r>
    <r>
      <rPr>
        <vertAlign val="subscript"/>
        <sz val="14"/>
        <color theme="1"/>
        <rFont val="TH SarabunPSK"/>
        <family val="2"/>
      </rPr>
      <t>o</t>
    </r>
    <r>
      <rPr>
        <sz val="14"/>
        <color theme="1"/>
        <rFont val="TH SarabunPSK"/>
        <family val="2"/>
      </rPr>
      <t xml:space="preserve">  =</t>
    </r>
  </si>
  <si>
    <r>
      <t>P</t>
    </r>
    <r>
      <rPr>
        <vertAlign val="subscript"/>
        <sz val="14"/>
        <color theme="1"/>
        <rFont val="TH SarabunPSK"/>
        <family val="2"/>
      </rPr>
      <t>h</t>
    </r>
    <r>
      <rPr>
        <sz val="14"/>
        <color theme="1"/>
        <rFont val="TH SarabunPSK"/>
        <family val="2"/>
      </rPr>
      <t xml:space="preserve">  =</t>
    </r>
  </si>
  <si>
    <r>
      <t>A</t>
    </r>
    <r>
      <rPr>
        <vertAlign val="subscript"/>
        <sz val="14"/>
        <color theme="1"/>
        <rFont val="TH SarabunPSK"/>
        <family val="2"/>
      </rPr>
      <t>oh</t>
    </r>
    <r>
      <rPr>
        <sz val="14"/>
        <color theme="1"/>
        <rFont val="TH SarabunPSK"/>
        <family val="2"/>
      </rPr>
      <t xml:space="preserve"> =</t>
    </r>
  </si>
  <si>
    <r>
      <t>D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 xml:space="preserve">  =</t>
    </r>
  </si>
  <si>
    <r>
      <t>A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>/S  =</t>
    </r>
  </si>
  <si>
    <r>
      <t>(A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>/S)</t>
    </r>
    <r>
      <rPr>
        <vertAlign val="subscript"/>
        <sz val="14"/>
        <color theme="1"/>
        <rFont val="TH SarabunPSK"/>
        <family val="2"/>
      </rPr>
      <t xml:space="preserve">min </t>
    </r>
    <r>
      <rPr>
        <sz val="14"/>
        <color theme="1"/>
        <rFont val="TH SarabunPSK"/>
        <family val="2"/>
      </rPr>
      <t xml:space="preserve"> =</t>
    </r>
  </si>
  <si>
    <t>Use DB</t>
  </si>
  <si>
    <t>mm. @</t>
  </si>
  <si>
    <t>cm</t>
  </si>
  <si>
    <t>A/S =</t>
  </si>
  <si>
    <r>
      <t>A</t>
    </r>
    <r>
      <rPr>
        <vertAlign val="subscript"/>
        <sz val="14"/>
        <color theme="1"/>
        <rFont val="TH SarabunPSK"/>
        <family val="2"/>
      </rPr>
      <t>l</t>
    </r>
    <r>
      <rPr>
        <sz val="14"/>
        <color theme="1"/>
        <rFont val="TH SarabunPSK"/>
        <family val="2"/>
      </rPr>
      <t xml:space="preserve"> = (A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>/s)P</t>
    </r>
    <r>
      <rPr>
        <vertAlign val="subscript"/>
        <sz val="14"/>
        <color theme="1"/>
        <rFont val="TH SarabunPSK"/>
        <family val="2"/>
      </rPr>
      <t xml:space="preserve">h </t>
    </r>
    <r>
      <rPr>
        <sz val="14"/>
        <color theme="1"/>
        <rFont val="TH SarabunPSK"/>
        <family val="2"/>
      </rPr>
      <t>=</t>
    </r>
  </si>
  <si>
    <r>
      <t>A</t>
    </r>
    <r>
      <rPr>
        <vertAlign val="subscript"/>
        <sz val="14"/>
        <color theme="1"/>
        <rFont val="TH SarabunPSK"/>
        <family val="2"/>
      </rPr>
      <t>l,min</t>
    </r>
    <r>
      <rPr>
        <sz val="14"/>
        <color theme="1"/>
        <rFont val="TH SarabunPSK"/>
        <family val="2"/>
      </rPr>
      <t xml:space="preserve"> = 1.3</t>
    </r>
    <r>
      <rPr>
        <sz val="14"/>
        <color theme="1"/>
        <rFont val="TH Sarabun New"/>
        <family val="2"/>
      </rPr>
      <t>√</t>
    </r>
    <r>
      <rPr>
        <sz val="14"/>
        <color theme="1"/>
        <rFont val="TH SarabunPSK"/>
        <family val="2"/>
      </rPr>
      <t>f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>'A</t>
    </r>
    <r>
      <rPr>
        <vertAlign val="subscript"/>
        <sz val="14"/>
        <color theme="1"/>
        <rFont val="TH SarabunPSK"/>
        <family val="2"/>
      </rPr>
      <t>cp</t>
    </r>
    <r>
      <rPr>
        <sz val="14"/>
        <color theme="1"/>
        <rFont val="TH SarabunPSK"/>
        <family val="2"/>
      </rPr>
      <t>/f</t>
    </r>
    <r>
      <rPr>
        <vertAlign val="subscript"/>
        <sz val="14"/>
        <color theme="1"/>
        <rFont val="TH SarabunPSK"/>
        <family val="2"/>
      </rPr>
      <t>y</t>
    </r>
    <r>
      <rPr>
        <sz val="14"/>
        <color theme="1"/>
        <rFont val="TH SarabunPSK"/>
        <family val="2"/>
      </rPr>
      <t xml:space="preserve"> -  (A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>/s)P</t>
    </r>
    <r>
      <rPr>
        <vertAlign val="subscript"/>
        <sz val="14"/>
        <color theme="1"/>
        <rFont val="TH SarabunPSK"/>
        <family val="2"/>
      </rPr>
      <t>h</t>
    </r>
    <r>
      <rPr>
        <sz val="14"/>
        <color theme="1"/>
        <rFont val="TH SarabunPSK"/>
        <family val="2"/>
      </rPr>
      <t xml:space="preserve"> =</t>
    </r>
  </si>
  <si>
    <r>
      <t>A</t>
    </r>
    <r>
      <rPr>
        <vertAlign val="subscript"/>
        <sz val="14"/>
        <color theme="1"/>
        <rFont val="TH SarabunPSK"/>
        <family val="2"/>
      </rPr>
      <t>l</t>
    </r>
    <r>
      <rPr>
        <sz val="14"/>
        <color theme="1"/>
        <rFont val="TH SarabunPSK"/>
        <family val="2"/>
      </rPr>
      <t xml:space="preserve"> = </t>
    </r>
  </si>
  <si>
    <t>Use</t>
  </si>
  <si>
    <t>DB</t>
  </si>
  <si>
    <t>mm. TOP</t>
  </si>
  <si>
    <t>mm. Skin reinforcement</t>
  </si>
  <si>
    <t>AND</t>
  </si>
  <si>
    <r>
      <t xml:space="preserve"> - </t>
    </r>
    <r>
      <rPr>
        <sz val="14"/>
        <color theme="1"/>
        <rFont val="TH Sarabun New"/>
        <family val="2"/>
      </rPr>
      <t>Ø</t>
    </r>
  </si>
  <si>
    <r>
      <t>(A</t>
    </r>
    <r>
      <rPr>
        <vertAlign val="subscript"/>
        <sz val="14"/>
        <color theme="1"/>
        <rFont val="TH SarabunPSK"/>
        <family val="2"/>
      </rPr>
      <t>s,+ve</t>
    </r>
    <r>
      <rPr>
        <sz val="14"/>
        <color theme="1"/>
        <rFont val="TH SarabunPSK"/>
        <family val="2"/>
      </rPr>
      <t>)</t>
    </r>
    <r>
      <rPr>
        <vertAlign val="subscript"/>
        <sz val="14"/>
        <color theme="1"/>
        <rFont val="TH SarabunPSK"/>
        <family val="2"/>
      </rPr>
      <t>total</t>
    </r>
    <r>
      <rPr>
        <sz val="14"/>
        <color theme="1"/>
        <rFont val="TH SarabunPSK"/>
        <family val="2"/>
      </rPr>
      <t xml:space="preserve"> </t>
    </r>
  </si>
  <si>
    <t>Stirrups</t>
  </si>
  <si>
    <t>Design of Circular Beam (ACI 318-99)</t>
  </si>
  <si>
    <r>
      <t>f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>'</t>
    </r>
  </si>
  <si>
    <r>
      <t>f</t>
    </r>
    <r>
      <rPr>
        <vertAlign val="subscript"/>
        <sz val="14"/>
        <color theme="1"/>
        <rFont val="TH SarabunPSK"/>
        <family val="2"/>
      </rPr>
      <t>y</t>
    </r>
  </si>
  <si>
    <t>degree</t>
  </si>
  <si>
    <t xml:space="preserve">i.e section dimension are adequate for preventing </t>
  </si>
  <si>
    <t>brittle failure due to combined shear stresses.</t>
  </si>
  <si>
    <t>Date :</t>
  </si>
  <si>
    <t>License  :</t>
  </si>
  <si>
    <t>Structural designer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</si>
</sst>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[$-107041E]d\ mmmm\ yyyy;@"/>
  </numFmts>
  <fonts count="16">
    <font>
      <sz val="11"/>
      <color theme="1"/>
      <name val="Aptos Narrow"/>
      <family val="2"/>
      <charset val="222"/>
      <scheme val="minor"/>
    </font>
    <font>
      <sz val="14"/>
      <color theme="1"/>
      <name val="TH SarabunPSK"/>
      <family val="2"/>
    </font>
    <font>
      <vertAlign val="subscript"/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4"/>
      <color theme="1"/>
      <name val="TH Sarabun New"/>
      <family val="2"/>
    </font>
    <font>
      <sz val="14"/>
      <color theme="1"/>
      <name val="YouYuan"/>
      <family val="3"/>
      <charset val="134"/>
    </font>
    <font>
      <vertAlign val="subscript"/>
      <sz val="14"/>
      <color theme="1"/>
      <name val="YouYuan"/>
      <family val="3"/>
      <charset val="134"/>
    </font>
    <font>
      <b/>
      <sz val="14"/>
      <color theme="1"/>
      <name val="TH SarabunPSK"/>
      <family val="2"/>
    </font>
    <font>
      <b/>
      <sz val="14"/>
      <color rgb="FF3333FF"/>
      <name val="TH SarabunPSK"/>
      <family val="2"/>
    </font>
    <font>
      <sz val="14"/>
      <color theme="1"/>
      <name val="Bahnschrift"/>
      <family val="2"/>
    </font>
    <font>
      <vertAlign val="subscript"/>
      <sz val="14"/>
      <color theme="1"/>
      <name val="TH Sarabun New"/>
      <family val="2"/>
    </font>
    <font>
      <sz val="14"/>
      <name val="TH SarabunPSK"/>
      <family val="2"/>
    </font>
    <font>
      <b/>
      <sz val="26"/>
      <color theme="1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FFFF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6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4" fontId="8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568420</xdr:colOff>
      <xdr:row>22</xdr:row>
      <xdr:rowOff>139149</xdr:rowOff>
    </xdr:from>
    <xdr:to>
      <xdr:col>9</xdr:col>
      <xdr:colOff>106014</xdr:colOff>
      <xdr:row>28</xdr:row>
      <xdr:rowOff>145776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B7C0C1C-F950-0221-16F8-37437A6809EE}"/>
            </a:ext>
          </a:extLst>
        </xdr:cNvPr>
        <xdr:cNvSpPr/>
      </xdr:nvSpPr>
      <xdr:spPr>
        <a:xfrm>
          <a:off x="5551237" y="5453271"/>
          <a:ext cx="876064" cy="158363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633734</xdr:colOff>
      <xdr:row>22</xdr:row>
      <xdr:rowOff>204463</xdr:rowOff>
    </xdr:from>
    <xdr:to>
      <xdr:col>9</xdr:col>
      <xdr:colOff>40700</xdr:colOff>
      <xdr:row>28</xdr:row>
      <xdr:rowOff>83300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2D549937-A639-2615-1D6B-9359D34D6296}"/>
            </a:ext>
          </a:extLst>
        </xdr:cNvPr>
        <xdr:cNvSpPr/>
      </xdr:nvSpPr>
      <xdr:spPr>
        <a:xfrm>
          <a:off x="5616551" y="5518585"/>
          <a:ext cx="745436" cy="1455845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258418</xdr:colOff>
      <xdr:row>25</xdr:row>
      <xdr:rowOff>13252</xdr:rowOff>
    </xdr:from>
    <xdr:to>
      <xdr:col>8</xdr:col>
      <xdr:colOff>132522</xdr:colOff>
      <xdr:row>26</xdr:row>
      <xdr:rowOff>46383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9A6575C0-F407-1A5B-5A7C-4A62211B8B7C}"/>
            </a:ext>
          </a:extLst>
        </xdr:cNvPr>
        <xdr:cNvSpPr txBox="1"/>
      </xdr:nvSpPr>
      <xdr:spPr>
        <a:xfrm>
          <a:off x="5241235" y="6109252"/>
          <a:ext cx="543339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cm.</a:t>
          </a:r>
        </a:p>
      </xdr:txBody>
    </xdr:sp>
    <xdr:clientData/>
  </xdr:twoCellAnchor>
  <xdr:twoCellAnchor>
    <xdr:from>
      <xdr:col>8</xdr:col>
      <xdr:colOff>437322</xdr:colOff>
      <xdr:row>21</xdr:row>
      <xdr:rowOff>13253</xdr:rowOff>
    </xdr:from>
    <xdr:to>
      <xdr:col>9</xdr:col>
      <xdr:colOff>311426</xdr:colOff>
      <xdr:row>22</xdr:row>
      <xdr:rowOff>53009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E81335D8-7242-40ED-9EB6-4FE2C72BA8A4}"/>
            </a:ext>
          </a:extLst>
        </xdr:cNvPr>
        <xdr:cNvSpPr txBox="1"/>
      </xdr:nvSpPr>
      <xdr:spPr>
        <a:xfrm>
          <a:off x="6089374" y="5068957"/>
          <a:ext cx="543339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cm.</a:t>
          </a:r>
        </a:p>
      </xdr:txBody>
    </xdr:sp>
    <xdr:clientData/>
  </xdr:twoCellAnchor>
  <xdr:twoCellAnchor>
    <xdr:from>
      <xdr:col>8</xdr:col>
      <xdr:colOff>617581</xdr:colOff>
      <xdr:row>27</xdr:row>
      <xdr:rowOff>256008</xdr:rowOff>
    </xdr:from>
    <xdr:to>
      <xdr:col>9</xdr:col>
      <xdr:colOff>21234</xdr:colOff>
      <xdr:row>28</xdr:row>
      <xdr:rowOff>69122</xdr:rowOff>
    </xdr:to>
    <xdr:sp macro="" textlink="">
      <xdr:nvSpPr>
        <xdr:cNvPr id="8" name="วงรี 7">
          <a:extLst>
            <a:ext uri="{FF2B5EF4-FFF2-40B4-BE49-F238E27FC236}">
              <a16:creationId xmlns:a16="http://schemas.microsoft.com/office/drawing/2014/main" id="{95D0CB8D-42A8-F54D-1B9F-3EE8914D4338}"/>
            </a:ext>
          </a:extLst>
        </xdr:cNvPr>
        <xdr:cNvSpPr/>
      </xdr:nvSpPr>
      <xdr:spPr>
        <a:xfrm>
          <a:off x="6287554" y="6854235"/>
          <a:ext cx="75598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24</xdr:row>
      <xdr:rowOff>99391</xdr:rowOff>
    </xdr:from>
    <xdr:to>
      <xdr:col>8</xdr:col>
      <xdr:colOff>72887</xdr:colOff>
      <xdr:row>24</xdr:row>
      <xdr:rowOff>172278</xdr:rowOff>
    </xdr:to>
    <xdr:sp macro="" textlink="">
      <xdr:nvSpPr>
        <xdr:cNvPr id="9" name="วงรี 8">
          <a:extLst>
            <a:ext uri="{FF2B5EF4-FFF2-40B4-BE49-F238E27FC236}">
              <a16:creationId xmlns:a16="http://schemas.microsoft.com/office/drawing/2014/main" id="{8DB138CE-1979-44BA-9BBB-AF7B4239F33E}"/>
            </a:ext>
          </a:extLst>
        </xdr:cNvPr>
        <xdr:cNvSpPr/>
      </xdr:nvSpPr>
      <xdr:spPr>
        <a:xfrm>
          <a:off x="5652052" y="5930348"/>
          <a:ext cx="72887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26</xdr:row>
      <xdr:rowOff>112644</xdr:rowOff>
    </xdr:from>
    <xdr:to>
      <xdr:col>8</xdr:col>
      <xdr:colOff>72887</xdr:colOff>
      <xdr:row>26</xdr:row>
      <xdr:rowOff>185531</xdr:rowOff>
    </xdr:to>
    <xdr:sp macro="" textlink="">
      <xdr:nvSpPr>
        <xdr:cNvPr id="10" name="วงรี 9">
          <a:extLst>
            <a:ext uri="{FF2B5EF4-FFF2-40B4-BE49-F238E27FC236}">
              <a16:creationId xmlns:a16="http://schemas.microsoft.com/office/drawing/2014/main" id="{B064B668-4FA4-4F5D-9B27-F27F7766BCDB}"/>
            </a:ext>
          </a:extLst>
        </xdr:cNvPr>
        <xdr:cNvSpPr/>
      </xdr:nvSpPr>
      <xdr:spPr>
        <a:xfrm>
          <a:off x="5652052" y="6473687"/>
          <a:ext cx="72887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602973</xdr:colOff>
      <xdr:row>26</xdr:row>
      <xdr:rowOff>112643</xdr:rowOff>
    </xdr:from>
    <xdr:to>
      <xdr:col>9</xdr:col>
      <xdr:colOff>6625</xdr:colOff>
      <xdr:row>26</xdr:row>
      <xdr:rowOff>185530</xdr:rowOff>
    </xdr:to>
    <xdr:sp macro="" textlink="">
      <xdr:nvSpPr>
        <xdr:cNvPr id="11" name="วงรี 10">
          <a:extLst>
            <a:ext uri="{FF2B5EF4-FFF2-40B4-BE49-F238E27FC236}">
              <a16:creationId xmlns:a16="http://schemas.microsoft.com/office/drawing/2014/main" id="{982CA5F6-1300-41CC-814F-5405F028A055}"/>
            </a:ext>
          </a:extLst>
        </xdr:cNvPr>
        <xdr:cNvSpPr/>
      </xdr:nvSpPr>
      <xdr:spPr>
        <a:xfrm>
          <a:off x="6255025" y="6473686"/>
          <a:ext cx="72887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589722</xdr:colOff>
      <xdr:row>24</xdr:row>
      <xdr:rowOff>99390</xdr:rowOff>
    </xdr:from>
    <xdr:to>
      <xdr:col>8</xdr:col>
      <xdr:colOff>662609</xdr:colOff>
      <xdr:row>24</xdr:row>
      <xdr:rowOff>172277</xdr:rowOff>
    </xdr:to>
    <xdr:sp macro="" textlink="">
      <xdr:nvSpPr>
        <xdr:cNvPr id="12" name="วงรี 11">
          <a:extLst>
            <a:ext uri="{FF2B5EF4-FFF2-40B4-BE49-F238E27FC236}">
              <a16:creationId xmlns:a16="http://schemas.microsoft.com/office/drawing/2014/main" id="{A65F1CF4-311B-4E6A-B31F-36477D82793F}"/>
            </a:ext>
          </a:extLst>
        </xdr:cNvPr>
        <xdr:cNvSpPr/>
      </xdr:nvSpPr>
      <xdr:spPr>
        <a:xfrm>
          <a:off x="6241774" y="5930347"/>
          <a:ext cx="72887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655983</xdr:colOff>
      <xdr:row>22</xdr:row>
      <xdr:rowOff>225286</xdr:rowOff>
    </xdr:from>
    <xdr:to>
      <xdr:col>8</xdr:col>
      <xdr:colOff>59635</xdr:colOff>
      <xdr:row>23</xdr:row>
      <xdr:rowOff>46382</xdr:rowOff>
    </xdr:to>
    <xdr:sp macro="" textlink="">
      <xdr:nvSpPr>
        <xdr:cNvPr id="13" name="วงรี 12">
          <a:extLst>
            <a:ext uri="{FF2B5EF4-FFF2-40B4-BE49-F238E27FC236}">
              <a16:creationId xmlns:a16="http://schemas.microsoft.com/office/drawing/2014/main" id="{221CEC6A-CEEF-4749-8DFD-04A243DAD1A0}"/>
            </a:ext>
          </a:extLst>
        </xdr:cNvPr>
        <xdr:cNvSpPr/>
      </xdr:nvSpPr>
      <xdr:spPr>
        <a:xfrm>
          <a:off x="5638800" y="5539408"/>
          <a:ext cx="72887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609902</xdr:colOff>
      <xdr:row>22</xdr:row>
      <xdr:rowOff>222124</xdr:rowOff>
    </xdr:from>
    <xdr:to>
      <xdr:col>9</xdr:col>
      <xdr:colOff>13554</xdr:colOff>
      <xdr:row>23</xdr:row>
      <xdr:rowOff>43220</xdr:rowOff>
    </xdr:to>
    <xdr:sp macro="" textlink="">
      <xdr:nvSpPr>
        <xdr:cNvPr id="14" name="วงรี 13">
          <a:extLst>
            <a:ext uri="{FF2B5EF4-FFF2-40B4-BE49-F238E27FC236}">
              <a16:creationId xmlns:a16="http://schemas.microsoft.com/office/drawing/2014/main" id="{A97C9F8C-8D23-420D-A520-44C81A746092}"/>
            </a:ext>
          </a:extLst>
        </xdr:cNvPr>
        <xdr:cNvSpPr/>
      </xdr:nvSpPr>
      <xdr:spPr>
        <a:xfrm>
          <a:off x="6279875" y="5500706"/>
          <a:ext cx="75597" cy="73941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270462</xdr:colOff>
      <xdr:row>24</xdr:row>
      <xdr:rowOff>6626</xdr:rowOff>
    </xdr:from>
    <xdr:to>
      <xdr:col>12</xdr:col>
      <xdr:colOff>402984</xdr:colOff>
      <xdr:row>24</xdr:row>
      <xdr:rowOff>6626</xdr:rowOff>
    </xdr:to>
    <xdr:cxnSp macro="">
      <xdr:nvCxnSpPr>
        <xdr:cNvPr id="16" name="ตัวเชื่อมต่อตรง 15">
          <a:extLst>
            <a:ext uri="{FF2B5EF4-FFF2-40B4-BE49-F238E27FC236}">
              <a16:creationId xmlns:a16="http://schemas.microsoft.com/office/drawing/2014/main" id="{34711365-05DF-58B7-6D77-D34E39113517}"/>
            </a:ext>
          </a:extLst>
        </xdr:cNvPr>
        <xdr:cNvCxnSpPr/>
      </xdr:nvCxnSpPr>
      <xdr:spPr>
        <a:xfrm flipH="1">
          <a:off x="5940435" y="5804753"/>
          <a:ext cx="1957858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22436</xdr:colOff>
      <xdr:row>22</xdr:row>
      <xdr:rowOff>248476</xdr:rowOff>
    </xdr:from>
    <xdr:to>
      <xdr:col>8</xdr:col>
      <xdr:colOff>267601</xdr:colOff>
      <xdr:row>24</xdr:row>
      <xdr:rowOff>8882</xdr:rowOff>
    </xdr:to>
    <xdr:cxnSp macro="">
      <xdr:nvCxnSpPr>
        <xdr:cNvPr id="18" name="ตัวเชื่อมต่อตรง 17">
          <a:extLst>
            <a:ext uri="{FF2B5EF4-FFF2-40B4-BE49-F238E27FC236}">
              <a16:creationId xmlns:a16="http://schemas.microsoft.com/office/drawing/2014/main" id="{0C23BBAD-CBCA-4B0A-BCBB-69DBAFD3B164}"/>
            </a:ext>
          </a:extLst>
        </xdr:cNvPr>
        <xdr:cNvCxnSpPr/>
      </xdr:nvCxnSpPr>
      <xdr:spPr>
        <a:xfrm flipH="1" flipV="1">
          <a:off x="5692409" y="5527058"/>
          <a:ext cx="245165" cy="27995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654625</xdr:colOff>
      <xdr:row>22</xdr:row>
      <xdr:rowOff>249382</xdr:rowOff>
    </xdr:from>
    <xdr:to>
      <xdr:col>9</xdr:col>
      <xdr:colOff>227845</xdr:colOff>
      <xdr:row>24</xdr:row>
      <xdr:rowOff>9788</xdr:rowOff>
    </xdr:to>
    <xdr:cxnSp macro="">
      <xdr:nvCxnSpPr>
        <xdr:cNvPr id="20" name="ตัวเชื่อมต่อตรง 19">
          <a:extLst>
            <a:ext uri="{FF2B5EF4-FFF2-40B4-BE49-F238E27FC236}">
              <a16:creationId xmlns:a16="http://schemas.microsoft.com/office/drawing/2014/main" id="{CD29E5B7-9204-47E2-80F5-96E675E94B2B}"/>
            </a:ext>
          </a:extLst>
        </xdr:cNvPr>
        <xdr:cNvCxnSpPr/>
      </xdr:nvCxnSpPr>
      <xdr:spPr>
        <a:xfrm flipH="1" flipV="1">
          <a:off x="6324598" y="5527964"/>
          <a:ext cx="245165" cy="27995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34635</xdr:colOff>
      <xdr:row>25</xdr:row>
      <xdr:rowOff>6926</xdr:rowOff>
    </xdr:from>
    <xdr:to>
      <xdr:col>12</xdr:col>
      <xdr:colOff>416539</xdr:colOff>
      <xdr:row>25</xdr:row>
      <xdr:rowOff>6926</xdr:rowOff>
    </xdr:to>
    <xdr:cxnSp macro="">
      <xdr:nvCxnSpPr>
        <xdr:cNvPr id="21" name="ตัวเชื่อมต่อตรง 20">
          <a:extLst>
            <a:ext uri="{FF2B5EF4-FFF2-40B4-BE49-F238E27FC236}">
              <a16:creationId xmlns:a16="http://schemas.microsoft.com/office/drawing/2014/main" id="{23C7641C-A4E7-41DB-BF55-8C27A6001A32}"/>
            </a:ext>
          </a:extLst>
        </xdr:cNvPr>
        <xdr:cNvCxnSpPr/>
      </xdr:nvCxnSpPr>
      <xdr:spPr>
        <a:xfrm flipH="1">
          <a:off x="5704608" y="6071753"/>
          <a:ext cx="22072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10391</xdr:colOff>
      <xdr:row>28</xdr:row>
      <xdr:rowOff>51954</xdr:rowOff>
    </xdr:from>
    <xdr:to>
      <xdr:col>8</xdr:col>
      <xdr:colOff>10391</xdr:colOff>
      <xdr:row>29</xdr:row>
      <xdr:rowOff>13854</xdr:rowOff>
    </xdr:to>
    <xdr:cxnSp macro="">
      <xdr:nvCxnSpPr>
        <xdr:cNvPr id="26" name="ตัวเชื่อมต่อตรง 25">
          <a:extLst>
            <a:ext uri="{FF2B5EF4-FFF2-40B4-BE49-F238E27FC236}">
              <a16:creationId xmlns:a16="http://schemas.microsoft.com/office/drawing/2014/main" id="{5557D7F4-DDA6-4058-9803-B5BD2617C099}"/>
            </a:ext>
          </a:extLst>
        </xdr:cNvPr>
        <xdr:cNvCxnSpPr/>
      </xdr:nvCxnSpPr>
      <xdr:spPr>
        <a:xfrm flipV="1">
          <a:off x="5680364" y="6909954"/>
          <a:ext cx="0" cy="22860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31173</xdr:colOff>
      <xdr:row>26</xdr:row>
      <xdr:rowOff>148937</xdr:rowOff>
    </xdr:from>
    <xdr:to>
      <xdr:col>8</xdr:col>
      <xdr:colOff>31173</xdr:colOff>
      <xdr:row>27</xdr:row>
      <xdr:rowOff>3465</xdr:rowOff>
    </xdr:to>
    <xdr:cxnSp macro="">
      <xdr:nvCxnSpPr>
        <xdr:cNvPr id="28" name="ตัวเชื่อมต่อตรง 27">
          <a:extLst>
            <a:ext uri="{FF2B5EF4-FFF2-40B4-BE49-F238E27FC236}">
              <a16:creationId xmlns:a16="http://schemas.microsoft.com/office/drawing/2014/main" id="{827F4A33-06C7-4874-9907-87F7B86AAB68}"/>
            </a:ext>
          </a:extLst>
        </xdr:cNvPr>
        <xdr:cNvCxnSpPr/>
      </xdr:nvCxnSpPr>
      <xdr:spPr>
        <a:xfrm flipV="1">
          <a:off x="5701146" y="6480464"/>
          <a:ext cx="0" cy="12122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640772</xdr:colOff>
      <xdr:row>26</xdr:row>
      <xdr:rowOff>152400</xdr:rowOff>
    </xdr:from>
    <xdr:to>
      <xdr:col>8</xdr:col>
      <xdr:colOff>640772</xdr:colOff>
      <xdr:row>27</xdr:row>
      <xdr:rowOff>6928</xdr:rowOff>
    </xdr:to>
    <xdr:cxnSp macro="">
      <xdr:nvCxnSpPr>
        <xdr:cNvPr id="29" name="ตัวเชื่อมต่อตรง 28">
          <a:extLst>
            <a:ext uri="{FF2B5EF4-FFF2-40B4-BE49-F238E27FC236}">
              <a16:creationId xmlns:a16="http://schemas.microsoft.com/office/drawing/2014/main" id="{F1D64A65-C83C-4FD1-8955-FFB980132331}"/>
            </a:ext>
          </a:extLst>
        </xdr:cNvPr>
        <xdr:cNvCxnSpPr/>
      </xdr:nvCxnSpPr>
      <xdr:spPr>
        <a:xfrm flipV="1">
          <a:off x="6310745" y="6483927"/>
          <a:ext cx="0" cy="12122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34636</xdr:colOff>
      <xdr:row>24</xdr:row>
      <xdr:rowOff>148937</xdr:rowOff>
    </xdr:from>
    <xdr:to>
      <xdr:col>8</xdr:col>
      <xdr:colOff>34636</xdr:colOff>
      <xdr:row>25</xdr:row>
      <xdr:rowOff>3465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id="{21819F30-8851-466F-B2B9-E706CD07DB72}"/>
            </a:ext>
          </a:extLst>
        </xdr:cNvPr>
        <xdr:cNvCxnSpPr/>
      </xdr:nvCxnSpPr>
      <xdr:spPr>
        <a:xfrm flipV="1">
          <a:off x="5704609" y="5947064"/>
          <a:ext cx="0" cy="12122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623454</xdr:colOff>
      <xdr:row>24</xdr:row>
      <xdr:rowOff>148937</xdr:rowOff>
    </xdr:from>
    <xdr:to>
      <xdr:col>8</xdr:col>
      <xdr:colOff>623454</xdr:colOff>
      <xdr:row>25</xdr:row>
      <xdr:rowOff>3465</xdr:rowOff>
    </xdr:to>
    <xdr:cxnSp macro="">
      <xdr:nvCxnSpPr>
        <xdr:cNvPr id="31" name="ตัวเชื่อมต่อตรง 30">
          <a:extLst>
            <a:ext uri="{FF2B5EF4-FFF2-40B4-BE49-F238E27FC236}">
              <a16:creationId xmlns:a16="http://schemas.microsoft.com/office/drawing/2014/main" id="{388DE054-1777-41EA-B632-449212F1E830}"/>
            </a:ext>
          </a:extLst>
        </xdr:cNvPr>
        <xdr:cNvCxnSpPr/>
      </xdr:nvCxnSpPr>
      <xdr:spPr>
        <a:xfrm flipV="1">
          <a:off x="6293427" y="5947064"/>
          <a:ext cx="0" cy="12122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24246</xdr:colOff>
      <xdr:row>25</xdr:row>
      <xdr:rowOff>249382</xdr:rowOff>
    </xdr:from>
    <xdr:to>
      <xdr:col>14</xdr:col>
      <xdr:colOff>201795</xdr:colOff>
      <xdr:row>25</xdr:row>
      <xdr:rowOff>249382</xdr:rowOff>
    </xdr:to>
    <xdr:cxnSp macro="">
      <xdr:nvCxnSpPr>
        <xdr:cNvPr id="32" name="ตัวเชื่อมต่อตรง 31">
          <a:extLst>
            <a:ext uri="{FF2B5EF4-FFF2-40B4-BE49-F238E27FC236}">
              <a16:creationId xmlns:a16="http://schemas.microsoft.com/office/drawing/2014/main" id="{195B7876-B03E-455B-9FCE-A4ED2D245BE6}"/>
            </a:ext>
          </a:extLst>
        </xdr:cNvPr>
        <xdr:cNvCxnSpPr/>
      </xdr:nvCxnSpPr>
      <xdr:spPr>
        <a:xfrm flipH="1">
          <a:off x="6366164" y="6314209"/>
          <a:ext cx="22072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467590</xdr:colOff>
      <xdr:row>27</xdr:row>
      <xdr:rowOff>256309</xdr:rowOff>
    </xdr:from>
    <xdr:to>
      <xdr:col>8</xdr:col>
      <xdr:colOff>543188</xdr:colOff>
      <xdr:row>28</xdr:row>
      <xdr:rowOff>62496</xdr:rowOff>
    </xdr:to>
    <xdr:sp macro="" textlink="">
      <xdr:nvSpPr>
        <xdr:cNvPr id="33" name="วงรี 32">
          <a:extLst>
            <a:ext uri="{FF2B5EF4-FFF2-40B4-BE49-F238E27FC236}">
              <a16:creationId xmlns:a16="http://schemas.microsoft.com/office/drawing/2014/main" id="{A3D5BA68-DB11-40E9-996E-58461D6EB303}"/>
            </a:ext>
          </a:extLst>
        </xdr:cNvPr>
        <xdr:cNvSpPr/>
      </xdr:nvSpPr>
      <xdr:spPr>
        <a:xfrm>
          <a:off x="6137563" y="6854536"/>
          <a:ext cx="75598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651164</xdr:colOff>
      <xdr:row>27</xdr:row>
      <xdr:rowOff>256308</xdr:rowOff>
    </xdr:from>
    <xdr:to>
      <xdr:col>8</xdr:col>
      <xdr:colOff>54816</xdr:colOff>
      <xdr:row>28</xdr:row>
      <xdr:rowOff>62495</xdr:rowOff>
    </xdr:to>
    <xdr:sp macro="" textlink="">
      <xdr:nvSpPr>
        <xdr:cNvPr id="34" name="วงรี 33">
          <a:extLst>
            <a:ext uri="{FF2B5EF4-FFF2-40B4-BE49-F238E27FC236}">
              <a16:creationId xmlns:a16="http://schemas.microsoft.com/office/drawing/2014/main" id="{D81DBB9E-ABB0-4BE2-A7D5-0C6D23F272B6}"/>
            </a:ext>
          </a:extLst>
        </xdr:cNvPr>
        <xdr:cNvSpPr/>
      </xdr:nvSpPr>
      <xdr:spPr>
        <a:xfrm>
          <a:off x="5649191" y="6854535"/>
          <a:ext cx="75598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294409</xdr:colOff>
      <xdr:row>27</xdr:row>
      <xdr:rowOff>256310</xdr:rowOff>
    </xdr:from>
    <xdr:to>
      <xdr:col>8</xdr:col>
      <xdr:colOff>370007</xdr:colOff>
      <xdr:row>28</xdr:row>
      <xdr:rowOff>62497</xdr:rowOff>
    </xdr:to>
    <xdr:sp macro="" textlink="">
      <xdr:nvSpPr>
        <xdr:cNvPr id="35" name="วงรี 34">
          <a:extLst>
            <a:ext uri="{FF2B5EF4-FFF2-40B4-BE49-F238E27FC236}">
              <a16:creationId xmlns:a16="http://schemas.microsoft.com/office/drawing/2014/main" id="{5E49FDEF-59DF-4BEF-A976-BC38979831A2}"/>
            </a:ext>
          </a:extLst>
        </xdr:cNvPr>
        <xdr:cNvSpPr/>
      </xdr:nvSpPr>
      <xdr:spPr>
        <a:xfrm>
          <a:off x="5964382" y="6854537"/>
          <a:ext cx="75598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128154</xdr:colOff>
      <xdr:row>27</xdr:row>
      <xdr:rowOff>256309</xdr:rowOff>
    </xdr:from>
    <xdr:to>
      <xdr:col>8</xdr:col>
      <xdr:colOff>203752</xdr:colOff>
      <xdr:row>28</xdr:row>
      <xdr:rowOff>62496</xdr:rowOff>
    </xdr:to>
    <xdr:sp macro="" textlink="">
      <xdr:nvSpPr>
        <xdr:cNvPr id="36" name="วงรี 35">
          <a:extLst>
            <a:ext uri="{FF2B5EF4-FFF2-40B4-BE49-F238E27FC236}">
              <a16:creationId xmlns:a16="http://schemas.microsoft.com/office/drawing/2014/main" id="{4B896104-2CE2-493A-8612-0C10B76DBB91}"/>
            </a:ext>
          </a:extLst>
        </xdr:cNvPr>
        <xdr:cNvSpPr/>
      </xdr:nvSpPr>
      <xdr:spPr>
        <a:xfrm>
          <a:off x="5798127" y="6854536"/>
          <a:ext cx="75598" cy="72887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24246</xdr:colOff>
      <xdr:row>27</xdr:row>
      <xdr:rowOff>10392</xdr:rowOff>
    </xdr:from>
    <xdr:to>
      <xdr:col>13</xdr:col>
      <xdr:colOff>3464</xdr:colOff>
      <xdr:row>27</xdr:row>
      <xdr:rowOff>10392</xdr:rowOff>
    </xdr:to>
    <xdr:cxnSp macro="">
      <xdr:nvCxnSpPr>
        <xdr:cNvPr id="37" name="ตัวเชื่อมต่อตรง 36">
          <a:extLst>
            <a:ext uri="{FF2B5EF4-FFF2-40B4-BE49-F238E27FC236}">
              <a16:creationId xmlns:a16="http://schemas.microsoft.com/office/drawing/2014/main" id="{A53BBC6C-95FD-4F68-AC89-DB69AE57C6E0}"/>
            </a:ext>
          </a:extLst>
        </xdr:cNvPr>
        <xdr:cNvCxnSpPr/>
      </xdr:nvCxnSpPr>
      <xdr:spPr>
        <a:xfrm flipH="1">
          <a:off x="5694219" y="6608619"/>
          <a:ext cx="2223654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6928</xdr:colOff>
      <xdr:row>29</xdr:row>
      <xdr:rowOff>10392</xdr:rowOff>
    </xdr:from>
    <xdr:to>
      <xdr:col>12</xdr:col>
      <xdr:colOff>419100</xdr:colOff>
      <xdr:row>29</xdr:row>
      <xdr:rowOff>10392</xdr:rowOff>
    </xdr:to>
    <xdr:cxnSp macro="">
      <xdr:nvCxnSpPr>
        <xdr:cNvPr id="39" name="ตัวเชื่อมต่อตรง 38">
          <a:extLst>
            <a:ext uri="{FF2B5EF4-FFF2-40B4-BE49-F238E27FC236}">
              <a16:creationId xmlns:a16="http://schemas.microsoft.com/office/drawing/2014/main" id="{A61BF6B4-311E-4C93-99E6-6889090983A2}"/>
            </a:ext>
          </a:extLst>
        </xdr:cNvPr>
        <xdr:cNvCxnSpPr/>
      </xdr:nvCxnSpPr>
      <xdr:spPr>
        <a:xfrm flipH="1">
          <a:off x="5676901" y="7135092"/>
          <a:ext cx="2223654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166254</xdr:colOff>
      <xdr:row>28</xdr:row>
      <xdr:rowOff>41565</xdr:rowOff>
    </xdr:from>
    <xdr:to>
      <xdr:col>8</xdr:col>
      <xdr:colOff>166254</xdr:colOff>
      <xdr:row>29</xdr:row>
      <xdr:rowOff>3465</xdr:rowOff>
    </xdr:to>
    <xdr:cxnSp macro="">
      <xdr:nvCxnSpPr>
        <xdr:cNvPr id="41" name="ตัวเชื่อมต่อตรง 40">
          <a:extLst>
            <a:ext uri="{FF2B5EF4-FFF2-40B4-BE49-F238E27FC236}">
              <a16:creationId xmlns:a16="http://schemas.microsoft.com/office/drawing/2014/main" id="{03405FA4-731E-47ED-BF3B-FE1EB9D95DFA}"/>
            </a:ext>
          </a:extLst>
        </xdr:cNvPr>
        <xdr:cNvCxnSpPr/>
      </xdr:nvCxnSpPr>
      <xdr:spPr>
        <a:xfrm flipV="1">
          <a:off x="5836227" y="6899565"/>
          <a:ext cx="0" cy="22860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329045</xdr:colOff>
      <xdr:row>28</xdr:row>
      <xdr:rowOff>51955</xdr:rowOff>
    </xdr:from>
    <xdr:to>
      <xdr:col>8</xdr:col>
      <xdr:colOff>329045</xdr:colOff>
      <xdr:row>29</xdr:row>
      <xdr:rowOff>13855</xdr:rowOff>
    </xdr:to>
    <xdr:cxnSp macro="">
      <xdr:nvCxnSpPr>
        <xdr:cNvPr id="42" name="ตัวเชื่อมต่อตรง 41">
          <a:extLst>
            <a:ext uri="{FF2B5EF4-FFF2-40B4-BE49-F238E27FC236}">
              <a16:creationId xmlns:a16="http://schemas.microsoft.com/office/drawing/2014/main" id="{3E04EE78-7E53-4876-80AB-6116E1225701}"/>
            </a:ext>
          </a:extLst>
        </xdr:cNvPr>
        <xdr:cNvCxnSpPr/>
      </xdr:nvCxnSpPr>
      <xdr:spPr>
        <a:xfrm flipV="1">
          <a:off x="5999018" y="6909955"/>
          <a:ext cx="0" cy="22860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502228</xdr:colOff>
      <xdr:row>28</xdr:row>
      <xdr:rowOff>51954</xdr:rowOff>
    </xdr:from>
    <xdr:to>
      <xdr:col>8</xdr:col>
      <xdr:colOff>502228</xdr:colOff>
      <xdr:row>29</xdr:row>
      <xdr:rowOff>13854</xdr:rowOff>
    </xdr:to>
    <xdr:cxnSp macro="">
      <xdr:nvCxnSpPr>
        <xdr:cNvPr id="43" name="ตัวเชื่อมต่อตรง 42">
          <a:extLst>
            <a:ext uri="{FF2B5EF4-FFF2-40B4-BE49-F238E27FC236}">
              <a16:creationId xmlns:a16="http://schemas.microsoft.com/office/drawing/2014/main" id="{CC06DE13-EB07-4503-9472-CCEAF934B160}"/>
            </a:ext>
          </a:extLst>
        </xdr:cNvPr>
        <xdr:cNvCxnSpPr/>
      </xdr:nvCxnSpPr>
      <xdr:spPr>
        <a:xfrm flipV="1">
          <a:off x="6172201" y="6909954"/>
          <a:ext cx="0" cy="22860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651164</xdr:colOff>
      <xdr:row>28</xdr:row>
      <xdr:rowOff>48490</xdr:rowOff>
    </xdr:from>
    <xdr:to>
      <xdr:col>8</xdr:col>
      <xdr:colOff>651164</xdr:colOff>
      <xdr:row>29</xdr:row>
      <xdr:rowOff>10390</xdr:rowOff>
    </xdr:to>
    <xdr:cxnSp macro="">
      <xdr:nvCxnSpPr>
        <xdr:cNvPr id="44" name="ตัวเชื่อมต่อตรง 43">
          <a:extLst>
            <a:ext uri="{FF2B5EF4-FFF2-40B4-BE49-F238E27FC236}">
              <a16:creationId xmlns:a16="http://schemas.microsoft.com/office/drawing/2014/main" id="{0F5ABE6F-BC44-4145-95DD-B04B09C1EEDC}"/>
            </a:ext>
          </a:extLst>
        </xdr:cNvPr>
        <xdr:cNvCxnSpPr/>
      </xdr:nvCxnSpPr>
      <xdr:spPr>
        <a:xfrm flipV="1">
          <a:off x="6321137" y="6906490"/>
          <a:ext cx="0" cy="22860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26892</xdr:colOff>
      <xdr:row>32</xdr:row>
      <xdr:rowOff>158729</xdr:rowOff>
    </xdr:from>
    <xdr:to>
      <xdr:col>14</xdr:col>
      <xdr:colOff>514419</xdr:colOff>
      <xdr:row>45</xdr:row>
      <xdr:rowOff>107577</xdr:rowOff>
    </xdr:to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C8651295-E238-4A15-0F6D-E5A519E13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198" y="8361435"/>
          <a:ext cx="4503715" cy="3238895"/>
        </a:xfrm>
        <a:prstGeom prst="rect">
          <a:avLst/>
        </a:prstGeom>
      </xdr:spPr>
    </xdr:pic>
    <xdr:clientData/>
  </xdr:twoCellAnchor>
  <xdr:twoCellAnchor editAs="oneCell">
    <xdr:from>
      <xdr:col>5</xdr:col>
      <xdr:colOff>636494</xdr:colOff>
      <xdr:row>13</xdr:row>
      <xdr:rowOff>197226</xdr:rowOff>
    </xdr:from>
    <xdr:to>
      <xdr:col>14</xdr:col>
      <xdr:colOff>517728</xdr:colOff>
      <xdr:row>19</xdr:row>
      <xdr:rowOff>134471</xdr:rowOff>
    </xdr:to>
    <xdr:pic>
      <xdr:nvPicPr>
        <xdr:cNvPr id="19" name="รูปภาพ 18">
          <a:extLst>
            <a:ext uri="{FF2B5EF4-FFF2-40B4-BE49-F238E27FC236}">
              <a16:creationId xmlns:a16="http://schemas.microsoft.com/office/drawing/2014/main" id="{218E2E62-D190-5641-5F11-C622AB9BA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6518" y="3496238"/>
          <a:ext cx="5349704" cy="1479174"/>
        </a:xfrm>
        <a:prstGeom prst="rect">
          <a:avLst/>
        </a:prstGeom>
      </xdr:spPr>
    </xdr:pic>
    <xdr:clientData/>
  </xdr:twoCellAnchor>
  <xdr:twoCellAnchor editAs="oneCell">
    <xdr:from>
      <xdr:col>8</xdr:col>
      <xdr:colOff>394448</xdr:colOff>
      <xdr:row>4</xdr:row>
      <xdr:rowOff>161365</xdr:rowOff>
    </xdr:from>
    <xdr:to>
      <xdr:col>14</xdr:col>
      <xdr:colOff>627530</xdr:colOff>
      <xdr:row>10</xdr:row>
      <xdr:rowOff>49833</xdr:rowOff>
    </xdr:to>
    <xdr:pic>
      <xdr:nvPicPr>
        <xdr:cNvPr id="23" name="รูปภาพ 22">
          <a:extLst>
            <a:ext uri="{FF2B5EF4-FFF2-40B4-BE49-F238E27FC236}">
              <a16:creationId xmlns:a16="http://schemas.microsoft.com/office/drawing/2014/main" id="{0ACD1913-40E2-FF5B-86E7-D6C1D5F51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9107" y="1281953"/>
          <a:ext cx="3576917" cy="1367645"/>
        </a:xfrm>
        <a:prstGeom prst="rect">
          <a:avLst/>
        </a:prstGeom>
      </xdr:spPr>
    </xdr:pic>
    <xdr:clientData/>
  </xdr:twoCellAnchor>
  <xdr:twoCellAnchor editAs="oneCell">
    <xdr:from>
      <xdr:col>9</xdr:col>
      <xdr:colOff>582707</xdr:colOff>
      <xdr:row>50</xdr:row>
      <xdr:rowOff>188259</xdr:rowOff>
    </xdr:from>
    <xdr:to>
      <xdr:col>14</xdr:col>
      <xdr:colOff>206189</xdr:colOff>
      <xdr:row>56</xdr:row>
      <xdr:rowOff>203594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1D44D51-3D6C-53C5-25FF-2D7DD6784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9719" y="12936071"/>
          <a:ext cx="2294964" cy="1548299"/>
        </a:xfrm>
        <a:prstGeom prst="rect">
          <a:avLst/>
        </a:prstGeom>
      </xdr:spPr>
    </xdr:pic>
    <xdr:clientData/>
  </xdr:twoCellAnchor>
  <xdr:twoCellAnchor editAs="oneCell">
    <xdr:from>
      <xdr:col>9</xdr:col>
      <xdr:colOff>535482</xdr:colOff>
      <xdr:row>45</xdr:row>
      <xdr:rowOff>167928</xdr:rowOff>
    </xdr:from>
    <xdr:to>
      <xdr:col>14</xdr:col>
      <xdr:colOff>143436</xdr:colOff>
      <xdr:row>51</xdr:row>
      <xdr:rowOff>7558</xdr:rowOff>
    </xdr:to>
    <xdr:pic>
      <xdr:nvPicPr>
        <xdr:cNvPr id="22" name="รูปภาพ 21">
          <a:extLst>
            <a:ext uri="{FF2B5EF4-FFF2-40B4-BE49-F238E27FC236}">
              <a16:creationId xmlns:a16="http://schemas.microsoft.com/office/drawing/2014/main" id="{DAB22EAE-3FF3-D0A9-A9EB-02907116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494" y="11660681"/>
          <a:ext cx="2279436" cy="1354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8D1B8-AA63-497A-9DED-5CAD3E80CF75}">
  <dimension ref="A1:X155"/>
  <sheetViews>
    <sheetView showRowColHeaders="0" tabSelected="1" zoomScale="85" zoomScaleNormal="85" workbookViewId="0">
      <selection activeCell="T38" sqref="T38"/>
    </sheetView>
  </sheetViews>
  <sheetFormatPr defaultColWidth="8.75" defaultRowHeight="18.75"/>
  <cols>
    <col min="1" max="3" width="8.75" style="1"/>
    <col min="4" max="4" width="11.25" style="1" customWidth="1"/>
    <col min="5" max="6" width="8.75" style="1"/>
    <col min="7" max="7" width="10.25" style="1" customWidth="1"/>
    <col min="8" max="10" width="8.75" style="1"/>
    <col min="11" max="11" width="3.25" style="1" bestFit="1" customWidth="1"/>
    <col min="12" max="12" width="2.75" style="1" customWidth="1"/>
    <col min="13" max="13" width="14.25" style="1" bestFit="1" customWidth="1"/>
    <col min="14" max="14" width="5.75" style="1" customWidth="1"/>
    <col min="15" max="15" width="8.75" style="1"/>
    <col min="16" max="16" width="9.5" style="1" customWidth="1"/>
    <col min="17" max="16384" width="8.75" style="1"/>
  </cols>
  <sheetData>
    <row r="1" spans="1:24" ht="33.75">
      <c r="A1" s="35" t="s">
        <v>74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24">
      <c r="A2" s="5"/>
      <c r="I2" s="28"/>
      <c r="J2" s="38" t="s">
        <v>80</v>
      </c>
      <c r="K2" s="38"/>
      <c r="L2" s="38"/>
      <c r="M2" s="31">
        <f ca="1">NOW()</f>
        <v>45765.519709490742</v>
      </c>
      <c r="N2" s="26"/>
      <c r="O2" s="26"/>
      <c r="P2" s="27"/>
    </row>
    <row r="3" spans="1:24">
      <c r="A3" s="5"/>
      <c r="I3" s="38" t="s">
        <v>82</v>
      </c>
      <c r="J3" s="38"/>
      <c r="K3" s="38"/>
      <c r="L3" s="38"/>
      <c r="M3" s="32"/>
      <c r="N3" s="26"/>
      <c r="O3" s="26"/>
      <c r="P3" s="27"/>
    </row>
    <row r="4" spans="1:24">
      <c r="A4" s="5"/>
      <c r="I4" s="28"/>
      <c r="J4" s="38" t="s">
        <v>81</v>
      </c>
      <c r="K4" s="38"/>
      <c r="L4" s="38"/>
      <c r="M4" s="32"/>
      <c r="N4" s="26"/>
      <c r="O4" s="26"/>
      <c r="P4" s="27"/>
    </row>
    <row r="5" spans="1:24" ht="21.75">
      <c r="A5" s="5"/>
      <c r="D5" s="1" t="s">
        <v>75</v>
      </c>
      <c r="E5" s="33">
        <v>350</v>
      </c>
      <c r="F5" s="1" t="s">
        <v>0</v>
      </c>
      <c r="G5" s="1" t="s">
        <v>6</v>
      </c>
      <c r="P5" s="6"/>
    </row>
    <row r="6" spans="1:24" ht="21.75">
      <c r="A6" s="5"/>
      <c r="D6" s="1" t="s">
        <v>76</v>
      </c>
      <c r="E6" s="33">
        <v>4200</v>
      </c>
      <c r="F6" s="1" t="s">
        <v>0</v>
      </c>
      <c r="G6" s="1" t="s">
        <v>7</v>
      </c>
      <c r="H6" s="33">
        <v>50</v>
      </c>
      <c r="I6" s="1" t="s">
        <v>5</v>
      </c>
      <c r="P6" s="6"/>
    </row>
    <row r="7" spans="1:24">
      <c r="A7" s="5"/>
      <c r="D7" s="1" t="s">
        <v>1</v>
      </c>
      <c r="E7" s="33">
        <v>8</v>
      </c>
      <c r="F7" s="1" t="s">
        <v>2</v>
      </c>
      <c r="G7" s="1" t="s">
        <v>8</v>
      </c>
      <c r="H7" s="33">
        <v>80</v>
      </c>
      <c r="I7" s="1" t="s">
        <v>5</v>
      </c>
      <c r="P7" s="6"/>
    </row>
    <row r="8" spans="1:24">
      <c r="A8" s="5"/>
      <c r="E8" s="2"/>
      <c r="G8" s="1" t="s">
        <v>27</v>
      </c>
      <c r="H8" s="33">
        <v>3</v>
      </c>
      <c r="I8" s="1" t="s">
        <v>5</v>
      </c>
      <c r="P8" s="6"/>
    </row>
    <row r="9" spans="1:24">
      <c r="A9" s="5"/>
      <c r="D9" s="1" t="s">
        <v>3</v>
      </c>
      <c r="E9" s="2">
        <f>(E7/2)*3.14/2</f>
        <v>6.28</v>
      </c>
      <c r="F9" s="1" t="s">
        <v>2</v>
      </c>
      <c r="G9" s="1" t="s">
        <v>26</v>
      </c>
      <c r="H9" s="33">
        <v>12</v>
      </c>
      <c r="I9" s="1" t="s">
        <v>28</v>
      </c>
      <c r="P9" s="6"/>
    </row>
    <row r="10" spans="1:24" ht="21.75">
      <c r="A10" s="5"/>
      <c r="D10" s="1" t="s">
        <v>4</v>
      </c>
      <c r="E10" s="2">
        <f>(E9/18.5)*100</f>
        <v>33.945945945945951</v>
      </c>
      <c r="F10" s="1" t="s">
        <v>5</v>
      </c>
      <c r="G10" s="1" t="s">
        <v>30</v>
      </c>
      <c r="H10" s="33">
        <v>25</v>
      </c>
      <c r="I10" s="1" t="s">
        <v>28</v>
      </c>
      <c r="P10" s="6"/>
    </row>
    <row r="11" spans="1:24">
      <c r="A11" s="5"/>
      <c r="B11" s="1" t="s">
        <v>9</v>
      </c>
      <c r="E11" s="33">
        <v>5</v>
      </c>
      <c r="F11" s="1" t="s">
        <v>10</v>
      </c>
      <c r="G11" s="1" t="s">
        <v>29</v>
      </c>
      <c r="H11" s="2">
        <f>H7-H8-(H9/100)-(H10/100)-1.25</f>
        <v>75.38</v>
      </c>
      <c r="I11" s="1" t="s">
        <v>5</v>
      </c>
      <c r="P11" s="6"/>
      <c r="U11" s="30"/>
      <c r="V11" s="30"/>
      <c r="W11" s="30"/>
      <c r="X11" s="30"/>
    </row>
    <row r="12" spans="1:24">
      <c r="A12" s="5"/>
      <c r="C12" s="1" t="s">
        <v>11</v>
      </c>
      <c r="E12" s="2">
        <f>(H6/100)*(H7/100)*2.4*1.4</f>
        <v>1.3439999999999999</v>
      </c>
      <c r="F12" s="1" t="s">
        <v>10</v>
      </c>
      <c r="G12" s="7" t="s">
        <v>44</v>
      </c>
      <c r="H12" s="33">
        <v>59.43</v>
      </c>
      <c r="I12" s="1" t="s">
        <v>77</v>
      </c>
      <c r="P12" s="6"/>
      <c r="U12" s="30"/>
      <c r="V12" s="30"/>
      <c r="W12" s="30"/>
      <c r="X12" s="30"/>
    </row>
    <row r="13" spans="1:24">
      <c r="A13" s="5"/>
      <c r="C13" s="1" t="s">
        <v>12</v>
      </c>
      <c r="D13" s="8" t="s">
        <v>38</v>
      </c>
      <c r="E13" s="2">
        <f>E11+E12</f>
        <v>6.3439999999999994</v>
      </c>
      <c r="F13" s="1" t="s">
        <v>10</v>
      </c>
      <c r="H13" s="2"/>
      <c r="P13" s="6"/>
      <c r="U13" s="30"/>
      <c r="V13" s="30">
        <f>(0.85*E5)/E6</f>
        <v>7.0833333333333331E-2</v>
      </c>
      <c r="W13" s="30"/>
      <c r="X13" s="30"/>
    </row>
    <row r="14" spans="1:24" ht="21.75">
      <c r="A14" s="5"/>
      <c r="C14" s="1" t="s">
        <v>13</v>
      </c>
      <c r="D14" s="1" t="s">
        <v>15</v>
      </c>
      <c r="E14" s="2">
        <f>0.429*E13*(E7/2)^2</f>
        <v>43.545215999999996</v>
      </c>
      <c r="F14" s="1" t="s">
        <v>17</v>
      </c>
      <c r="H14" s="2"/>
      <c r="P14" s="6"/>
      <c r="U14" s="30"/>
      <c r="V14" s="30">
        <f>((2.61*10^5*E14)/(H6*H11*E5))/100</f>
        <v>8.6156247401735955E-2</v>
      </c>
      <c r="W14" s="30"/>
      <c r="X14" s="30"/>
    </row>
    <row r="15" spans="1:24" ht="21.75">
      <c r="A15" s="5"/>
      <c r="C15" s="1" t="s">
        <v>14</v>
      </c>
      <c r="D15" s="1" t="s">
        <v>16</v>
      </c>
      <c r="E15" s="2">
        <f>0.1514*E13*(E7/2)^2</f>
        <v>15.367705599999999</v>
      </c>
      <c r="F15" s="1" t="s">
        <v>17</v>
      </c>
      <c r="H15" s="2"/>
      <c r="P15" s="6"/>
      <c r="U15" s="30"/>
      <c r="V15" s="30"/>
      <c r="W15" s="30"/>
      <c r="X15" s="30"/>
    </row>
    <row r="16" spans="1:24" ht="21.75">
      <c r="A16" s="5"/>
      <c r="C16" s="1" t="s">
        <v>18</v>
      </c>
      <c r="D16" s="1" t="s">
        <v>19</v>
      </c>
      <c r="E16" s="2">
        <f>0.1042*E13*(E7/2)^2</f>
        <v>10.5767168</v>
      </c>
      <c r="F16" s="1" t="s">
        <v>17</v>
      </c>
      <c r="H16" s="2"/>
      <c r="P16" s="6"/>
      <c r="U16" s="30"/>
      <c r="V16" s="30"/>
      <c r="W16" s="30"/>
      <c r="X16" s="30"/>
    </row>
    <row r="17" spans="1:24">
      <c r="A17" s="5"/>
      <c r="B17" s="1" t="s">
        <v>20</v>
      </c>
      <c r="E17" s="2"/>
      <c r="H17" s="2"/>
      <c r="P17" s="6"/>
      <c r="U17" s="30"/>
      <c r="V17" s="30">
        <f>V13</f>
        <v>7.0833333333333331E-2</v>
      </c>
      <c r="W17" s="30"/>
      <c r="X17" s="30"/>
    </row>
    <row r="18" spans="1:24" ht="21.75">
      <c r="A18" s="5"/>
      <c r="C18" s="1" t="s">
        <v>24</v>
      </c>
      <c r="D18" s="1" t="s">
        <v>21</v>
      </c>
      <c r="E18" s="2">
        <f>(E13*(E7/2)/2)*(3.14-2)</f>
        <v>14.464320000000001</v>
      </c>
      <c r="F18" s="1" t="s">
        <v>23</v>
      </c>
      <c r="H18" s="2"/>
      <c r="P18" s="6"/>
      <c r="U18" s="30"/>
      <c r="V18" s="30">
        <f>((2.61*10^5*E15)/(H6*H11*E5))/100</f>
        <v>3.040572460751241E-2</v>
      </c>
      <c r="W18" s="30"/>
      <c r="X18" s="30"/>
    </row>
    <row r="19" spans="1:24" ht="21.75">
      <c r="A19" s="5"/>
      <c r="C19" s="1" t="s">
        <v>25</v>
      </c>
      <c r="D19" s="1" t="s">
        <v>22</v>
      </c>
      <c r="E19" s="2">
        <f>2*E13*(E7/2)</f>
        <v>50.751999999999995</v>
      </c>
      <c r="F19" s="1" t="s">
        <v>23</v>
      </c>
      <c r="H19" s="2"/>
      <c r="M19" s="4"/>
      <c r="P19" s="6"/>
      <c r="U19" s="30"/>
      <c r="V19" s="30"/>
      <c r="W19" s="30"/>
      <c r="X19" s="30"/>
    </row>
    <row r="20" spans="1:24">
      <c r="A20" s="5"/>
      <c r="B20" s="1" t="s">
        <v>31</v>
      </c>
      <c r="E20" s="2"/>
      <c r="H20" s="2"/>
      <c r="P20" s="6"/>
      <c r="U20" s="30"/>
      <c r="V20" s="30"/>
      <c r="W20" s="30"/>
      <c r="X20" s="30"/>
    </row>
    <row r="21" spans="1:24" ht="21.75">
      <c r="A21" s="5"/>
      <c r="C21" s="9" t="s">
        <v>32</v>
      </c>
      <c r="D21" s="10">
        <f>V13*(1-SQRT(1-V14))</f>
        <v>3.1200842167950446E-3</v>
      </c>
      <c r="E21" s="2"/>
      <c r="H21" s="2"/>
      <c r="P21" s="6"/>
    </row>
    <row r="22" spans="1:24" ht="21.75">
      <c r="A22" s="5"/>
      <c r="C22" s="1" t="s">
        <v>34</v>
      </c>
      <c r="D22" s="11">
        <f>D21*H6*H11</f>
        <v>11.759597413100522</v>
      </c>
      <c r="E22" s="2" t="s">
        <v>36</v>
      </c>
      <c r="H22" s="2"/>
      <c r="I22" s="2">
        <f>H6</f>
        <v>50</v>
      </c>
      <c r="P22" s="6"/>
    </row>
    <row r="23" spans="1:24" ht="21.75">
      <c r="A23" s="5"/>
      <c r="C23" s="9" t="s">
        <v>33</v>
      </c>
      <c r="D23" s="10">
        <f>V17*(1-SQRT(1-V18))</f>
        <v>1.0851820251429176E-3</v>
      </c>
      <c r="E23" s="2"/>
      <c r="H23" s="2"/>
      <c r="P23" s="6"/>
    </row>
    <row r="24" spans="1:24" ht="21.75">
      <c r="A24" s="5"/>
      <c r="C24" s="1" t="s">
        <v>35</v>
      </c>
      <c r="D24" s="11">
        <f>D23*H6*H11</f>
        <v>4.0900510527636564</v>
      </c>
      <c r="E24" s="2" t="s">
        <v>36</v>
      </c>
      <c r="H24" s="2"/>
      <c r="J24" s="1">
        <f>C52</f>
        <v>2</v>
      </c>
      <c r="K24" s="8" t="s">
        <v>71</v>
      </c>
      <c r="L24" s="8">
        <f>E52</f>
        <v>20</v>
      </c>
      <c r="M24" s="1" t="s">
        <v>28</v>
      </c>
      <c r="P24" s="6"/>
    </row>
    <row r="25" spans="1:24">
      <c r="A25" s="5"/>
      <c r="B25" s="1" t="s">
        <v>37</v>
      </c>
      <c r="E25" s="2"/>
      <c r="H25" s="2"/>
      <c r="J25" s="1">
        <f>C53/2</f>
        <v>2</v>
      </c>
      <c r="K25" s="8" t="s">
        <v>71</v>
      </c>
      <c r="L25" s="8">
        <f>E53</f>
        <v>14</v>
      </c>
      <c r="M25" s="1" t="s">
        <v>28</v>
      </c>
      <c r="P25" s="6"/>
    </row>
    <row r="26" spans="1:24" ht="21">
      <c r="A26" s="5"/>
      <c r="C26" s="1" t="s">
        <v>46</v>
      </c>
      <c r="E26" s="2">
        <f>((E13*(E7/2)/2)*(3.14-2))+(E13*(E7/2)*((H12/360)*2*3.14))</f>
        <v>40.772211306666669</v>
      </c>
      <c r="F26" s="1" t="s">
        <v>23</v>
      </c>
      <c r="H26" s="12">
        <f>H7</f>
        <v>80</v>
      </c>
      <c r="J26" s="13" t="s">
        <v>73</v>
      </c>
      <c r="K26" s="8" t="s">
        <v>71</v>
      </c>
      <c r="L26" s="8">
        <f>D46</f>
        <v>12</v>
      </c>
      <c r="M26" s="1" t="s">
        <v>60</v>
      </c>
      <c r="N26" s="8">
        <f>F46/100</f>
        <v>0.125</v>
      </c>
      <c r="O26" s="1" t="s">
        <v>2</v>
      </c>
      <c r="P26" s="6"/>
    </row>
    <row r="27" spans="1:24" ht="21.75">
      <c r="A27" s="5"/>
      <c r="D27" s="1" t="s">
        <v>39</v>
      </c>
      <c r="E27" s="2">
        <f>(0.53*0.85*SQRT(E5)*H6*H11)/1000</f>
        <v>31.765445820916597</v>
      </c>
      <c r="F27" s="1" t="s">
        <v>23</v>
      </c>
      <c r="H27" s="2"/>
      <c r="J27" s="1">
        <f>C53/2</f>
        <v>2</v>
      </c>
      <c r="K27" s="8" t="s">
        <v>71</v>
      </c>
      <c r="L27" s="8">
        <f>E53</f>
        <v>14</v>
      </c>
      <c r="M27" s="1" t="s">
        <v>28</v>
      </c>
      <c r="P27" s="6"/>
    </row>
    <row r="28" spans="1:24" ht="21.75">
      <c r="A28" s="5"/>
      <c r="D28" s="1" t="s">
        <v>40</v>
      </c>
      <c r="E28" s="2">
        <f>(E26-E27)/0.85</f>
        <v>10.596194689117732</v>
      </c>
      <c r="F28" s="1" t="s">
        <v>23</v>
      </c>
      <c r="H28" s="2"/>
      <c r="P28" s="6"/>
    </row>
    <row r="29" spans="1:24" ht="21.75">
      <c r="A29" s="5"/>
      <c r="C29" s="1" t="s">
        <v>41</v>
      </c>
      <c r="E29" s="2"/>
      <c r="H29" s="2"/>
      <c r="J29" s="1">
        <f>C56</f>
        <v>6</v>
      </c>
      <c r="K29" s="8" t="s">
        <v>71</v>
      </c>
      <c r="L29" s="8">
        <f>E56</f>
        <v>25</v>
      </c>
      <c r="M29" s="1" t="s">
        <v>28</v>
      </c>
      <c r="P29" s="6"/>
    </row>
    <row r="30" spans="1:24" ht="21.75">
      <c r="A30" s="5"/>
      <c r="D30" s="1" t="s">
        <v>42</v>
      </c>
      <c r="E30" s="14">
        <f>(E28*1000)/(E6*H11)</f>
        <v>3.3469136341323744E-2</v>
      </c>
      <c r="F30" s="1" t="s">
        <v>43</v>
      </c>
      <c r="H30" s="2"/>
      <c r="K30" s="8"/>
      <c r="L30" s="8"/>
      <c r="P30" s="6"/>
    </row>
    <row r="31" spans="1:24">
      <c r="A31" s="5"/>
      <c r="B31" s="1" t="s">
        <v>45</v>
      </c>
      <c r="E31" s="2"/>
      <c r="H31" s="2"/>
      <c r="K31" s="8"/>
      <c r="L31" s="8"/>
      <c r="P31" s="6"/>
    </row>
    <row r="32" spans="1:24" ht="21.75">
      <c r="A32" s="5"/>
      <c r="C32" s="1" t="s">
        <v>47</v>
      </c>
      <c r="E32" s="2">
        <f>(E13*(E7/2))-(E13*(E7/2)*((H12/360)*2*3.14))</f>
        <v>-0.93189130666667097</v>
      </c>
      <c r="F32" s="1" t="s">
        <v>23</v>
      </c>
      <c r="G32" s="29" t="str">
        <f>IF(E27&gt;E32,"&lt; Vc  No shear reinf. Required , OK"," &gt; Vc shear reinf. Required , NO")</f>
        <v>&lt; Vc  No shear reinf. Required , OK</v>
      </c>
      <c r="H32" s="2"/>
      <c r="P32" s="6"/>
    </row>
    <row r="33" spans="1:24" ht="21.75">
      <c r="A33" s="5"/>
      <c r="C33" s="1" t="s">
        <v>48</v>
      </c>
      <c r="E33" s="2">
        <f>(0.265*0.85*SQRT(E5*(H6*H7)^2))/(2*(H6+H7)*10^5)</f>
        <v>6.4831409720833089E-4</v>
      </c>
      <c r="F33" s="1" t="s">
        <v>23</v>
      </c>
      <c r="H33" s="2"/>
      <c r="P33" s="6"/>
    </row>
    <row r="34" spans="1:24">
      <c r="A34" s="5"/>
      <c r="E34" s="2"/>
      <c r="H34" s="2"/>
      <c r="P34" s="6"/>
    </row>
    <row r="35" spans="1:24">
      <c r="A35" s="5"/>
      <c r="B35" s="1" t="s">
        <v>49</v>
      </c>
      <c r="E35" s="2"/>
      <c r="H35" s="2"/>
      <c r="P35" s="6"/>
    </row>
    <row r="36" spans="1:24" ht="21.75">
      <c r="A36" s="5"/>
      <c r="D36" s="1" t="s">
        <v>50</v>
      </c>
      <c r="E36" s="15">
        <f>0.263*0.85*SQRT(E5)</f>
        <v>4.1822375440665729</v>
      </c>
      <c r="F36" s="1" t="s">
        <v>51</v>
      </c>
      <c r="H36" s="2"/>
      <c r="P36" s="6"/>
      <c r="S36" s="30"/>
      <c r="T36" s="30"/>
      <c r="U36" s="30"/>
      <c r="V36" s="30"/>
      <c r="W36" s="30"/>
      <c r="X36" s="30"/>
    </row>
    <row r="37" spans="1:24" ht="21.75">
      <c r="A37" s="5"/>
      <c r="D37" s="1" t="s">
        <v>52</v>
      </c>
      <c r="E37" s="2">
        <f>H6-H8-H8-(H9/10)</f>
        <v>42.8</v>
      </c>
      <c r="F37" s="1" t="s">
        <v>5</v>
      </c>
      <c r="H37" s="2"/>
      <c r="P37" s="6"/>
      <c r="S37" s="30"/>
      <c r="T37" s="30"/>
      <c r="U37" s="30"/>
      <c r="V37" s="30"/>
      <c r="W37" s="30"/>
      <c r="X37" s="30"/>
    </row>
    <row r="38" spans="1:24" ht="21.75">
      <c r="A38" s="5"/>
      <c r="D38" s="1" t="s">
        <v>53</v>
      </c>
      <c r="E38" s="2">
        <f>H7-H8-H8-(H9/10)</f>
        <v>72.8</v>
      </c>
      <c r="F38" s="1" t="s">
        <v>5</v>
      </c>
      <c r="H38" s="2"/>
      <c r="P38" s="6"/>
      <c r="S38" s="30"/>
      <c r="T38" s="30"/>
      <c r="U38" s="30">
        <f>((E32*1063)/(H6*H11))^2</f>
        <v>6.9078798444094716E-2</v>
      </c>
      <c r="V38" s="30"/>
      <c r="W38" s="30"/>
      <c r="X38" s="30"/>
    </row>
    <row r="39" spans="1:24" ht="21.75">
      <c r="A39" s="5"/>
      <c r="D39" s="1" t="s">
        <v>54</v>
      </c>
      <c r="E39" s="2">
        <f>2*(E37+E38)</f>
        <v>231.2</v>
      </c>
      <c r="F39" s="1" t="s">
        <v>5</v>
      </c>
      <c r="H39" s="2"/>
      <c r="P39" s="6"/>
      <c r="S39" s="30"/>
      <c r="T39" s="30"/>
      <c r="U39" s="30">
        <f>(E16*10^5*E39)/(1.7*E40^2)</f>
        <v>14.81629060581683</v>
      </c>
      <c r="V39" s="30"/>
      <c r="W39" s="30"/>
      <c r="X39" s="30"/>
    </row>
    <row r="40" spans="1:24" ht="21.75">
      <c r="A40" s="5"/>
      <c r="D40" s="1" t="s">
        <v>55</v>
      </c>
      <c r="E40" s="2">
        <f>E37*E38</f>
        <v>3115.8399999999997</v>
      </c>
      <c r="F40" s="1" t="s">
        <v>36</v>
      </c>
      <c r="H40" s="2"/>
      <c r="P40" s="6"/>
      <c r="S40" s="30"/>
      <c r="T40" s="30"/>
      <c r="U40" s="30"/>
      <c r="V40" s="30"/>
      <c r="W40" s="30"/>
      <c r="X40" s="30"/>
    </row>
    <row r="41" spans="1:24" ht="21.75">
      <c r="A41" s="5"/>
      <c r="D41" s="1" t="s">
        <v>56</v>
      </c>
      <c r="E41" s="15">
        <f>SQRT(U38+U39)</f>
        <v>3.8581562182292366</v>
      </c>
      <c r="F41" s="1" t="s">
        <v>51</v>
      </c>
      <c r="G41" s="29" t="str">
        <f>IF(E36&gt;E41,"&lt; Vu  OK","&gt; Vu  NO")</f>
        <v>&lt; Vu  OK</v>
      </c>
      <c r="H41" s="2"/>
      <c r="P41" s="6"/>
      <c r="S41" s="30"/>
      <c r="T41" s="30"/>
      <c r="U41" s="30"/>
      <c r="V41" s="30"/>
      <c r="W41" s="30"/>
      <c r="X41" s="30"/>
    </row>
    <row r="42" spans="1:24">
      <c r="A42" s="5"/>
      <c r="C42" s="26" t="s">
        <v>78</v>
      </c>
      <c r="E42" s="2"/>
      <c r="H42" s="2"/>
      <c r="P42" s="6"/>
      <c r="S42" s="30"/>
      <c r="T42" s="30"/>
      <c r="U42" s="30"/>
      <c r="V42" s="30"/>
      <c r="W42" s="30"/>
      <c r="X42" s="30"/>
    </row>
    <row r="43" spans="1:24">
      <c r="A43" s="5"/>
      <c r="C43" s="26" t="s">
        <v>79</v>
      </c>
      <c r="E43" s="2"/>
      <c r="H43" s="2"/>
      <c r="P43" s="6"/>
      <c r="S43" s="30"/>
      <c r="T43" s="30"/>
      <c r="U43" s="30"/>
      <c r="V43" s="30"/>
      <c r="W43" s="30"/>
      <c r="X43" s="30"/>
    </row>
    <row r="44" spans="1:24" ht="21.75">
      <c r="A44" s="5"/>
      <c r="D44" s="1" t="s">
        <v>57</v>
      </c>
      <c r="E44" s="10">
        <f>(E16*10^5)/(2*0.85*E6*0.85*E40)</f>
        <v>5.593177347904528E-2</v>
      </c>
      <c r="F44" s="1" t="s">
        <v>43</v>
      </c>
      <c r="H44" s="2"/>
      <c r="P44" s="6"/>
      <c r="S44" s="30"/>
      <c r="T44" s="30"/>
      <c r="U44" s="30"/>
      <c r="V44" s="30"/>
      <c r="W44" s="30"/>
      <c r="X44" s="30"/>
    </row>
    <row r="45" spans="1:24" ht="21.75">
      <c r="A45" s="5"/>
      <c r="D45" s="1" t="s">
        <v>58</v>
      </c>
      <c r="E45" s="10">
        <f>(3.5*H6)/(2*E6)</f>
        <v>2.0833333333333332E-2</v>
      </c>
      <c r="F45" s="1" t="s">
        <v>43</v>
      </c>
      <c r="H45" s="2"/>
      <c r="P45" s="6"/>
      <c r="S45" s="30"/>
      <c r="T45" s="30"/>
      <c r="U45" s="30"/>
      <c r="V45" s="30"/>
      <c r="W45" s="30"/>
      <c r="X45" s="30"/>
    </row>
    <row r="46" spans="1:24">
      <c r="A46" s="5"/>
      <c r="C46" s="16" t="s">
        <v>59</v>
      </c>
      <c r="D46" s="34">
        <v>12</v>
      </c>
      <c r="E46" s="17" t="s">
        <v>60</v>
      </c>
      <c r="F46" s="34">
        <v>12.5</v>
      </c>
      <c r="G46" s="18" t="s">
        <v>61</v>
      </c>
      <c r="H46" s="12"/>
      <c r="P46" s="6"/>
      <c r="S46" s="30"/>
      <c r="T46" s="30"/>
      <c r="U46" s="30"/>
      <c r="V46" s="30"/>
      <c r="W46" s="30"/>
      <c r="X46" s="30"/>
    </row>
    <row r="47" spans="1:24" ht="21.75">
      <c r="A47" s="5"/>
      <c r="D47" s="1" t="s">
        <v>62</v>
      </c>
      <c r="E47" s="2">
        <f>((3.14/4)*(D46/10)^2)/F46</f>
        <v>9.0432000000000012E-2</v>
      </c>
      <c r="F47" s="1" t="s">
        <v>43</v>
      </c>
      <c r="G47" s="29" t="str">
        <f>IF(E47&gt;E44,"&gt; AT/S  OK  Ciosed Stirrups","&lt; AT/S  NO")</f>
        <v>&gt; AT/S  OK  Ciosed Stirrups</v>
      </c>
      <c r="H47" s="2"/>
      <c r="P47" s="6"/>
    </row>
    <row r="48" spans="1:24">
      <c r="A48" s="5"/>
      <c r="E48" s="2"/>
      <c r="H48" s="2"/>
      <c r="P48" s="6"/>
    </row>
    <row r="49" spans="1:16" ht="21.75">
      <c r="A49" s="5"/>
      <c r="D49" s="1" t="s">
        <v>63</v>
      </c>
      <c r="E49" s="2">
        <f>E44*E39</f>
        <v>12.931426028355268</v>
      </c>
      <c r="F49" s="1" t="s">
        <v>36</v>
      </c>
      <c r="H49" s="2"/>
      <c r="P49" s="6"/>
    </row>
    <row r="50" spans="1:16" ht="21.75">
      <c r="A50" s="5"/>
      <c r="B50" s="1" t="s">
        <v>64</v>
      </c>
      <c r="E50" s="2">
        <f>(1.3*SQRT(E5)*H6*H7)/E6-E49</f>
        <v>10.231214937388177</v>
      </c>
      <c r="F50" s="1" t="s">
        <v>36</v>
      </c>
      <c r="H50" s="2"/>
      <c r="P50" s="6"/>
    </row>
    <row r="51" spans="1:16" ht="21.75">
      <c r="A51" s="5"/>
      <c r="D51" s="1" t="s">
        <v>65</v>
      </c>
      <c r="E51" s="2">
        <f>E49/3</f>
        <v>4.3104753427850895</v>
      </c>
      <c r="F51" s="1" t="s">
        <v>36</v>
      </c>
      <c r="H51" s="2"/>
      <c r="P51" s="6"/>
    </row>
    <row r="52" spans="1:16" ht="21.75">
      <c r="A52" s="5"/>
      <c r="B52" s="13" t="s">
        <v>66</v>
      </c>
      <c r="C52" s="34">
        <v>2</v>
      </c>
      <c r="D52" s="19" t="s">
        <v>67</v>
      </c>
      <c r="E52" s="34">
        <v>20</v>
      </c>
      <c r="F52" s="20" t="s">
        <v>68</v>
      </c>
      <c r="G52" s="8">
        <f>(3.14/4)*(E52/10)^2*C52</f>
        <v>6.28</v>
      </c>
      <c r="H52" s="8" t="s">
        <v>36</v>
      </c>
      <c r="I52" s="29" t="str">
        <f>IF(G52&gt;E51,"&gt; Al  OK","&lt; Al NO")</f>
        <v>&gt; Al  OK</v>
      </c>
      <c r="P52" s="6"/>
    </row>
    <row r="53" spans="1:16">
      <c r="A53" s="5"/>
      <c r="B53" s="13" t="s">
        <v>70</v>
      </c>
      <c r="C53" s="34">
        <v>4</v>
      </c>
      <c r="D53" s="19" t="s">
        <v>67</v>
      </c>
      <c r="E53" s="34">
        <v>14</v>
      </c>
      <c r="F53" s="1" t="s">
        <v>69</v>
      </c>
      <c r="H53" s="2"/>
      <c r="I53" s="29"/>
      <c r="P53" s="6"/>
    </row>
    <row r="54" spans="1:16" ht="21.75">
      <c r="A54" s="5"/>
      <c r="E54" s="2"/>
      <c r="G54" s="11">
        <f>(3.14/4)*(E53/10)^2*C53</f>
        <v>6.1543999999999999</v>
      </c>
      <c r="H54" s="8" t="s">
        <v>36</v>
      </c>
      <c r="I54" s="29" t="str">
        <f>IF(G54&gt;E51,"&gt; Al  OK","&lt; Al NO")</f>
        <v>&gt; Al  OK</v>
      </c>
      <c r="P54" s="6"/>
    </row>
    <row r="55" spans="1:16" ht="21.75">
      <c r="A55" s="5"/>
      <c r="D55" s="1" t="s">
        <v>72</v>
      </c>
      <c r="E55" s="2">
        <f>E49+E50+E51</f>
        <v>27.473116308528535</v>
      </c>
      <c r="F55" s="1" t="s">
        <v>36</v>
      </c>
      <c r="G55" s="3"/>
      <c r="H55" s="2"/>
      <c r="I55" s="29"/>
      <c r="P55" s="6"/>
    </row>
    <row r="56" spans="1:16" ht="21.75">
      <c r="A56" s="5"/>
      <c r="B56" s="13" t="s">
        <v>66</v>
      </c>
      <c r="C56" s="34">
        <v>6</v>
      </c>
      <c r="D56" s="19" t="s">
        <v>67</v>
      </c>
      <c r="E56" s="34">
        <v>25</v>
      </c>
      <c r="F56" s="20" t="s">
        <v>28</v>
      </c>
      <c r="G56" s="11">
        <f>(3.14/4)*(E56/10)^2*C56</f>
        <v>29.4375</v>
      </c>
      <c r="H56" s="8" t="s">
        <v>36</v>
      </c>
      <c r="I56" s="29" t="str">
        <f>IF(G56&gt;E55,"&gt; At  OK","&lt; At NO")</f>
        <v>&gt; At  OK</v>
      </c>
      <c r="P56" s="6"/>
    </row>
    <row r="57" spans="1:16">
      <c r="A57" s="21"/>
      <c r="B57" s="22"/>
      <c r="C57" s="22"/>
      <c r="D57" s="22"/>
      <c r="E57" s="23"/>
      <c r="F57" s="22"/>
      <c r="G57" s="24"/>
      <c r="H57" s="23"/>
      <c r="I57" s="22"/>
      <c r="J57" s="22"/>
      <c r="K57" s="22"/>
      <c r="L57" s="22"/>
      <c r="M57" s="22"/>
      <c r="N57" s="22"/>
      <c r="O57" s="22"/>
      <c r="P57" s="25"/>
    </row>
    <row r="58" spans="1:16">
      <c r="E58" s="2"/>
      <c r="G58" s="3"/>
      <c r="H58" s="2"/>
    </row>
    <row r="59" spans="1:16">
      <c r="E59" s="2"/>
      <c r="G59" s="3"/>
      <c r="H59" s="2"/>
    </row>
    <row r="60" spans="1:16">
      <c r="E60" s="2"/>
      <c r="H60" s="2"/>
    </row>
    <row r="61" spans="1:16">
      <c r="E61" s="2"/>
      <c r="H61" s="2"/>
    </row>
    <row r="62" spans="1:16">
      <c r="E62" s="2"/>
      <c r="H62" s="2"/>
    </row>
    <row r="63" spans="1:16">
      <c r="E63" s="2"/>
      <c r="H63" s="2"/>
    </row>
    <row r="64" spans="1:16">
      <c r="E64" s="2"/>
      <c r="H64" s="2"/>
    </row>
    <row r="65" spans="5:8">
      <c r="E65" s="2"/>
      <c r="H65" s="2"/>
    </row>
    <row r="66" spans="5:8">
      <c r="E66" s="2"/>
      <c r="H66" s="2"/>
    </row>
    <row r="67" spans="5:8">
      <c r="E67" s="2"/>
      <c r="H67" s="2"/>
    </row>
    <row r="68" spans="5:8">
      <c r="E68" s="2"/>
      <c r="H68" s="2"/>
    </row>
    <row r="69" spans="5:8">
      <c r="E69" s="2"/>
      <c r="H69" s="2"/>
    </row>
    <row r="70" spans="5:8">
      <c r="E70" s="2"/>
      <c r="H70" s="2"/>
    </row>
    <row r="71" spans="5:8">
      <c r="E71" s="2"/>
      <c r="H71" s="2"/>
    </row>
    <row r="72" spans="5:8">
      <c r="E72" s="2"/>
      <c r="H72" s="2"/>
    </row>
    <row r="73" spans="5:8">
      <c r="E73" s="2"/>
      <c r="H73" s="2"/>
    </row>
    <row r="74" spans="5:8">
      <c r="E74" s="2"/>
      <c r="H74" s="2"/>
    </row>
    <row r="75" spans="5:8">
      <c r="E75" s="2"/>
      <c r="H75" s="2"/>
    </row>
    <row r="76" spans="5:8">
      <c r="E76" s="2"/>
      <c r="H76" s="2"/>
    </row>
    <row r="77" spans="5:8">
      <c r="E77" s="2"/>
      <c r="H77" s="2"/>
    </row>
    <row r="78" spans="5:8">
      <c r="E78" s="2"/>
      <c r="H78" s="2"/>
    </row>
    <row r="79" spans="5:8">
      <c r="E79" s="2"/>
      <c r="H79" s="2"/>
    </row>
    <row r="80" spans="5:8">
      <c r="E80" s="2"/>
      <c r="H80" s="2"/>
    </row>
    <row r="81" spans="5:8">
      <c r="E81" s="2"/>
      <c r="H81" s="2"/>
    </row>
    <row r="82" spans="5:8">
      <c r="E82" s="2"/>
      <c r="H82" s="2"/>
    </row>
    <row r="83" spans="5:8">
      <c r="E83" s="2"/>
      <c r="H83" s="2"/>
    </row>
    <row r="84" spans="5:8">
      <c r="E84" s="2"/>
      <c r="H84" s="2"/>
    </row>
    <row r="85" spans="5:8">
      <c r="E85" s="2"/>
      <c r="H85" s="2"/>
    </row>
    <row r="86" spans="5:8">
      <c r="E86" s="2"/>
      <c r="H86" s="2"/>
    </row>
    <row r="87" spans="5:8">
      <c r="E87" s="2"/>
      <c r="H87" s="2"/>
    </row>
    <row r="88" spans="5:8">
      <c r="E88" s="2"/>
      <c r="H88" s="2"/>
    </row>
    <row r="89" spans="5:8">
      <c r="E89" s="2"/>
      <c r="H89" s="2"/>
    </row>
    <row r="90" spans="5:8">
      <c r="E90" s="2"/>
      <c r="H90" s="2"/>
    </row>
    <row r="91" spans="5:8">
      <c r="E91" s="2"/>
      <c r="H91" s="2"/>
    </row>
    <row r="92" spans="5:8">
      <c r="E92" s="2"/>
      <c r="H92" s="2"/>
    </row>
    <row r="93" spans="5:8">
      <c r="E93" s="2"/>
      <c r="H93" s="2"/>
    </row>
    <row r="94" spans="5:8">
      <c r="E94" s="2"/>
      <c r="H94" s="2"/>
    </row>
    <row r="95" spans="5:8">
      <c r="E95" s="2"/>
      <c r="H95" s="2"/>
    </row>
    <row r="96" spans="5:8">
      <c r="E96" s="2"/>
      <c r="H96" s="2"/>
    </row>
    <row r="97" spans="5:8">
      <c r="E97" s="2"/>
      <c r="H97" s="2"/>
    </row>
    <row r="98" spans="5:8">
      <c r="E98" s="2"/>
      <c r="H98" s="2"/>
    </row>
    <row r="99" spans="5:8">
      <c r="E99" s="2"/>
      <c r="H99" s="2"/>
    </row>
    <row r="100" spans="5:8">
      <c r="E100" s="2"/>
      <c r="H100" s="2"/>
    </row>
    <row r="101" spans="5:8">
      <c r="E101" s="2"/>
      <c r="H101" s="2"/>
    </row>
    <row r="102" spans="5:8">
      <c r="E102" s="2"/>
      <c r="H102" s="2"/>
    </row>
    <row r="103" spans="5:8">
      <c r="E103" s="2"/>
      <c r="H103" s="2"/>
    </row>
    <row r="104" spans="5:8">
      <c r="E104" s="2"/>
      <c r="H104" s="2"/>
    </row>
    <row r="105" spans="5:8">
      <c r="E105" s="2"/>
      <c r="H105" s="2"/>
    </row>
    <row r="106" spans="5:8">
      <c r="E106" s="2"/>
      <c r="H106" s="2"/>
    </row>
    <row r="107" spans="5:8">
      <c r="E107" s="2"/>
      <c r="H107" s="2"/>
    </row>
    <row r="108" spans="5:8">
      <c r="E108" s="2"/>
      <c r="H108" s="2"/>
    </row>
    <row r="109" spans="5:8">
      <c r="E109" s="2"/>
      <c r="H109" s="2"/>
    </row>
    <row r="110" spans="5:8">
      <c r="E110" s="2"/>
      <c r="H110" s="2"/>
    </row>
    <row r="111" spans="5:8">
      <c r="E111" s="2"/>
      <c r="H111" s="2"/>
    </row>
    <row r="112" spans="5:8">
      <c r="E112" s="2"/>
      <c r="H112" s="2"/>
    </row>
    <row r="113" spans="5:8">
      <c r="E113" s="2"/>
      <c r="H113" s="2"/>
    </row>
    <row r="114" spans="5:8">
      <c r="E114" s="2"/>
      <c r="H114" s="2"/>
    </row>
    <row r="115" spans="5:8">
      <c r="E115" s="2"/>
      <c r="H115" s="2"/>
    </row>
    <row r="116" spans="5:8">
      <c r="E116" s="2"/>
      <c r="H116" s="2"/>
    </row>
    <row r="117" spans="5:8">
      <c r="E117" s="2"/>
      <c r="H117" s="2"/>
    </row>
    <row r="118" spans="5:8">
      <c r="E118" s="2"/>
      <c r="H118" s="2"/>
    </row>
    <row r="119" spans="5:8">
      <c r="E119" s="2"/>
      <c r="H119" s="2"/>
    </row>
    <row r="120" spans="5:8">
      <c r="E120" s="2"/>
      <c r="H120" s="2"/>
    </row>
    <row r="121" spans="5:8">
      <c r="E121" s="2"/>
      <c r="H121" s="2"/>
    </row>
    <row r="122" spans="5:8">
      <c r="E122" s="2"/>
      <c r="H122" s="2"/>
    </row>
    <row r="123" spans="5:8">
      <c r="E123" s="2"/>
      <c r="H123" s="2"/>
    </row>
    <row r="124" spans="5:8">
      <c r="E124" s="2"/>
      <c r="H124" s="2"/>
    </row>
    <row r="125" spans="5:8">
      <c r="E125" s="2"/>
      <c r="H125" s="2"/>
    </row>
    <row r="126" spans="5:8">
      <c r="E126" s="2"/>
      <c r="H126" s="2"/>
    </row>
    <row r="127" spans="5:8">
      <c r="E127" s="2"/>
      <c r="H127" s="2"/>
    </row>
    <row r="128" spans="5:8">
      <c r="E128" s="2"/>
      <c r="H128" s="2"/>
    </row>
    <row r="129" spans="5:8">
      <c r="E129" s="2"/>
      <c r="H129" s="2"/>
    </row>
    <row r="130" spans="5:8">
      <c r="E130" s="2"/>
      <c r="H130" s="2"/>
    </row>
    <row r="131" spans="5:8">
      <c r="E131" s="2"/>
      <c r="H131" s="2"/>
    </row>
    <row r="132" spans="5:8">
      <c r="E132" s="2"/>
      <c r="H132" s="2"/>
    </row>
    <row r="133" spans="5:8">
      <c r="E133" s="2"/>
      <c r="H133" s="2"/>
    </row>
    <row r="134" spans="5:8">
      <c r="E134" s="2"/>
      <c r="H134" s="2"/>
    </row>
    <row r="135" spans="5:8">
      <c r="E135" s="2"/>
      <c r="H135" s="2"/>
    </row>
    <row r="136" spans="5:8">
      <c r="E136" s="2"/>
      <c r="H136" s="2"/>
    </row>
    <row r="137" spans="5:8">
      <c r="E137" s="2"/>
      <c r="H137" s="2"/>
    </row>
    <row r="138" spans="5:8">
      <c r="E138" s="2"/>
      <c r="H138" s="2"/>
    </row>
    <row r="139" spans="5:8">
      <c r="E139" s="2"/>
      <c r="H139" s="2"/>
    </row>
    <row r="140" spans="5:8">
      <c r="E140" s="2"/>
      <c r="H140" s="2"/>
    </row>
    <row r="141" spans="5:8">
      <c r="E141" s="2"/>
      <c r="H141" s="2"/>
    </row>
    <row r="142" spans="5:8">
      <c r="E142" s="2"/>
      <c r="H142" s="2"/>
    </row>
    <row r="143" spans="5:8">
      <c r="E143" s="2"/>
      <c r="H143" s="2"/>
    </row>
    <row r="144" spans="5:8">
      <c r="E144" s="2"/>
      <c r="H144" s="2"/>
    </row>
    <row r="145" spans="5:8">
      <c r="E145" s="2"/>
      <c r="H145" s="2"/>
    </row>
    <row r="146" spans="5:8">
      <c r="E146" s="2"/>
      <c r="H146" s="2"/>
    </row>
    <row r="147" spans="5:8">
      <c r="E147" s="2"/>
      <c r="H147" s="2"/>
    </row>
    <row r="148" spans="5:8">
      <c r="E148" s="2"/>
      <c r="H148" s="2"/>
    </row>
    <row r="149" spans="5:8">
      <c r="E149" s="2"/>
      <c r="H149" s="2"/>
    </row>
    <row r="150" spans="5:8">
      <c r="E150" s="2"/>
      <c r="H150" s="2"/>
    </row>
    <row r="151" spans="5:8">
      <c r="E151" s="2"/>
      <c r="H151" s="2"/>
    </row>
    <row r="152" spans="5:8">
      <c r="E152" s="2"/>
      <c r="H152" s="2"/>
    </row>
    <row r="153" spans="5:8">
      <c r="E153" s="2"/>
      <c r="H153" s="2"/>
    </row>
    <row r="154" spans="5:8">
      <c r="E154" s="2"/>
    </row>
    <row r="155" spans="5:8">
      <c r="E155" s="2"/>
    </row>
  </sheetData>
  <sheetProtection algorithmName="SHA-512" hashValue="67sP2id6bKKvyk/5xg5CRv+I7n6bu3Am+Up7i+IM4iHWU00vG209Y1tTGYcvWxhzOgnTeLL/xF350UcVYbn5zQ==" saltValue="7N+7hULU74Cxa8irJz4TwQ==" spinCount="100000" sheet="1" objects="1" scenarios="1"/>
  <mergeCells count="4">
    <mergeCell ref="A1:P1"/>
    <mergeCell ref="I3:L3"/>
    <mergeCell ref="J4:L4"/>
    <mergeCell ref="J2:L2"/>
  </mergeCells>
  <pageMargins left="0.51181102362204722" right="0.3" top="0.74803149606299213" bottom="0.74803149606299213" header="0.31496062992125984" footer="0.2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Circular Beam</vt:lpstr>
      <vt:lpstr>'Circular Beam'!Print_Area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angkarn wirakeat</dc:creator>
  <cp:lastModifiedBy>Arnon Saenseeda</cp:lastModifiedBy>
  <cp:lastPrinted>2025-04-18T04:36:28Z</cp:lastPrinted>
  <dcterms:created xsi:type="dcterms:W3CDTF">2025-03-20T02:22:22Z</dcterms:created>
  <dcterms:modified xsi:type="dcterms:W3CDTF">2025-04-18T05:29:51Z</dcterms:modified>
</cp:coreProperties>
</file>