
<file path=[Content_Types].xml><?xml version="1.0" encoding="utf-8"?>
<Types xmlns="http://schemas.openxmlformats.org/package/2006/content-types">
  <Default Extension="bin" ContentType="application/vnd.openxmlformats-officedocument.spreadsheetml.customProperty"/>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tables/table1.xml" ContentType="application/vnd.openxmlformats-officedocument.spreadsheetml.table+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checkCompatibility="1" autoCompressPictures="0"/>
  <mc:AlternateContent xmlns:mc="http://schemas.openxmlformats.org/markup-compatibility/2006">
    <mc:Choice Requires="x15">
      <x15ac:absPath xmlns:x15ac="http://schemas.microsoft.com/office/spreadsheetml/2010/11/ac" url="/Users/StefanyJ./Desktop/"/>
    </mc:Choice>
  </mc:AlternateContent>
  <xr:revisionPtr revIDLastSave="0" documentId="8_{9E8DC195-2602-764D-A6C9-045A55526F64}" xr6:coauthVersionLast="36" xr6:coauthVersionMax="36" xr10:uidLastSave="{00000000-0000-0000-0000-000000000000}"/>
  <bookViews>
    <workbookView xWindow="800" yWindow="460" windowWidth="26520" windowHeight="14900" tabRatio="788" activeTab="6" xr2:uid="{00000000-000D-0000-FFFF-FFFF00000000}"/>
  </bookViews>
  <sheets>
    <sheet name="Cover" sheetId="35" r:id="rId1"/>
    <sheet name="Letter from the Author" sheetId="33" r:id="rId2"/>
    <sheet name="Jan" sheetId="14" r:id="rId3"/>
    <sheet name="Feb" sheetId="19" r:id="rId4"/>
    <sheet name="Mar" sheetId="20" r:id="rId5"/>
    <sheet name="Apr" sheetId="22" r:id="rId6"/>
    <sheet name="May" sheetId="24" r:id="rId7"/>
    <sheet name="Jun" sheetId="25" r:id="rId8"/>
    <sheet name="Jul" sheetId="26" r:id="rId9"/>
    <sheet name="Aug" sheetId="32" r:id="rId10"/>
    <sheet name="Sep" sheetId="28" r:id="rId11"/>
    <sheet name="Oct" sheetId="29" r:id="rId12"/>
    <sheet name="Nov" sheetId="30" r:id="rId13"/>
    <sheet name="Dec" sheetId="31" r:id="rId14"/>
    <sheet name="Lookup List" sheetId="15" r:id="rId15"/>
  </sheets>
  <definedNames>
    <definedName name="AprSun1">DATE(CalendarYear,4,1)-WEEKDAY(DATE(CalendarYear,4,1))+1</definedName>
    <definedName name="AugSun1">DATE(CalendarYear,8,1)-WEEKDAY(DATE(CalendarYear,8,1))+1</definedName>
    <definedName name="CalendarYear">Jan!$K$1</definedName>
    <definedName name="Comment">Feb!$J$4</definedName>
    <definedName name="DecSun1">DATE(CalendarYear,12,1)-WEEKDAY(DATE(CalendarYear,12,1))+1</definedName>
    <definedName name="FebSun1">DATE(CalendarYear,2,1)-WEEKDAY(DATE(CalendarYear,2,1))+1</definedName>
    <definedName name="JanSun1">DATE(CalendarYear,1,1)-WEEKDAY(DATE(CalendarYear,1,1))+1</definedName>
    <definedName name="JulSun1">DATE(CalendarYear,7,1)-WEEKDAY(DATE(CalendarYear,7,1))+1</definedName>
    <definedName name="JunSun1">DATE(CalendarYear,6,1)-WEEKDAY(DATE(CalendarYear,6,1))+1</definedName>
    <definedName name="MarSun1">DATE(CalendarYear,3,1)-WEEKDAY(DATE(CalendarYear,3,1))+1</definedName>
    <definedName name="MaySun1">DATE(CalendarYear,5,1)-WEEKDAY(DATE(CalendarYear,5,1))+1</definedName>
    <definedName name="NovSun1">DATE(CalendarYear,11,1)-WEEKDAY(DATE(CalendarYear,11,1))+1</definedName>
    <definedName name="OctSun1">DATE(CalendarYear,10,1)-WEEKDAY(DATE(CalendarYear,10,1))+1</definedName>
    <definedName name="_xlnm.Print_Area" localSheetId="2">Jan!$A$1:$M$20</definedName>
    <definedName name="SepSun1">DATE(CalendarYear,9,1)-WEEKDAY(DATE(CalendarYear,9,1))+1</definedName>
    <definedName name="Year">YearLookup[]</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1" i="14" l="1"/>
  <c r="B1" i="22"/>
  <c r="C13" i="32"/>
  <c r="B13" i="32"/>
  <c r="H11" i="32"/>
  <c r="G11" i="32"/>
  <c r="F11" i="32"/>
  <c r="E11" i="32"/>
  <c r="D11" i="32"/>
  <c r="C11" i="32"/>
  <c r="B11" i="32"/>
  <c r="H9" i="32"/>
  <c r="G9" i="32"/>
  <c r="F9" i="32"/>
  <c r="E9" i="32"/>
  <c r="D9" i="32"/>
  <c r="C9" i="32"/>
  <c r="B9" i="32"/>
  <c r="H7" i="32"/>
  <c r="G7" i="32"/>
  <c r="F7" i="32"/>
  <c r="E7" i="32"/>
  <c r="D7" i="32"/>
  <c r="C7" i="32"/>
  <c r="B7" i="32"/>
  <c r="H5" i="32"/>
  <c r="G5" i="32"/>
  <c r="F5" i="32"/>
  <c r="E5" i="32"/>
  <c r="D5" i="32"/>
  <c r="C5" i="32"/>
  <c r="B5" i="32"/>
  <c r="H3" i="32"/>
  <c r="G3" i="32"/>
  <c r="F3" i="32"/>
  <c r="E3" i="32"/>
  <c r="D3" i="32"/>
  <c r="C3" i="32"/>
  <c r="B3" i="32"/>
  <c r="B1" i="32"/>
  <c r="B1" i="28"/>
  <c r="C13" i="31"/>
  <c r="B13" i="31"/>
  <c r="H11" i="31"/>
  <c r="G11" i="31"/>
  <c r="F11" i="31"/>
  <c r="E11" i="31"/>
  <c r="D11" i="31"/>
  <c r="C11" i="31"/>
  <c r="B11" i="31"/>
  <c r="H9" i="31"/>
  <c r="G9" i="31"/>
  <c r="F9" i="31"/>
  <c r="E9" i="31"/>
  <c r="D9" i="31"/>
  <c r="C9" i="31"/>
  <c r="B9" i="31"/>
  <c r="H7" i="31"/>
  <c r="G7" i="31"/>
  <c r="F7" i="31"/>
  <c r="E7" i="31"/>
  <c r="D7" i="31"/>
  <c r="C7" i="31"/>
  <c r="B7" i="31"/>
  <c r="H5" i="31"/>
  <c r="G5" i="31"/>
  <c r="F5" i="31"/>
  <c r="E5" i="31"/>
  <c r="D5" i="31"/>
  <c r="C5" i="31"/>
  <c r="B5" i="31"/>
  <c r="H3" i="31"/>
  <c r="G3" i="31"/>
  <c r="F3" i="31"/>
  <c r="E3" i="31"/>
  <c r="D3" i="31"/>
  <c r="C3" i="31"/>
  <c r="B3" i="31"/>
  <c r="B1" i="31"/>
  <c r="B13" i="30"/>
  <c r="H11" i="30"/>
  <c r="G11" i="30"/>
  <c r="F11" i="30"/>
  <c r="E11" i="30"/>
  <c r="D11" i="30"/>
  <c r="C11" i="30"/>
  <c r="B11" i="30"/>
  <c r="H9" i="30"/>
  <c r="G9" i="30"/>
  <c r="F9" i="30"/>
  <c r="E9" i="30"/>
  <c r="D9" i="30"/>
  <c r="C9" i="30"/>
  <c r="B9" i="30"/>
  <c r="H7" i="30"/>
  <c r="G7" i="30"/>
  <c r="F7" i="30"/>
  <c r="E7" i="30"/>
  <c r="D7" i="30"/>
  <c r="C7" i="30"/>
  <c r="B7" i="30"/>
  <c r="H5" i="30"/>
  <c r="G5" i="30"/>
  <c r="F5" i="30"/>
  <c r="E5" i="30"/>
  <c r="D5" i="30"/>
  <c r="C5" i="30"/>
  <c r="B5" i="30"/>
  <c r="H3" i="30"/>
  <c r="G3" i="30"/>
  <c r="F3" i="30"/>
  <c r="E3" i="30"/>
  <c r="D3" i="30"/>
  <c r="C3" i="30"/>
  <c r="B3" i="30"/>
  <c r="B1" i="30"/>
  <c r="C13" i="29"/>
  <c r="B13" i="29"/>
  <c r="H11" i="29"/>
  <c r="G11" i="29"/>
  <c r="F11" i="29"/>
  <c r="E11" i="29"/>
  <c r="D11" i="29"/>
  <c r="C11" i="29"/>
  <c r="B11" i="29"/>
  <c r="H9" i="29"/>
  <c r="G9" i="29"/>
  <c r="F9" i="29"/>
  <c r="E9" i="29"/>
  <c r="D9" i="29"/>
  <c r="C9" i="29"/>
  <c r="B9" i="29"/>
  <c r="H7" i="29"/>
  <c r="G7" i="29"/>
  <c r="F7" i="29"/>
  <c r="E7" i="29"/>
  <c r="D7" i="29"/>
  <c r="C7" i="29"/>
  <c r="B7" i="29"/>
  <c r="H5" i="29"/>
  <c r="G5" i="29"/>
  <c r="F5" i="29"/>
  <c r="E5" i="29"/>
  <c r="D5" i="29"/>
  <c r="C5" i="29"/>
  <c r="B5" i="29"/>
  <c r="H3" i="29"/>
  <c r="G3" i="29"/>
  <c r="F3" i="29"/>
  <c r="E3" i="29"/>
  <c r="D3" i="29"/>
  <c r="C3" i="29"/>
  <c r="B3" i="29"/>
  <c r="B1" i="29"/>
  <c r="B13" i="28"/>
  <c r="H11" i="28"/>
  <c r="G11" i="28"/>
  <c r="F11" i="28"/>
  <c r="E11" i="28"/>
  <c r="D11" i="28"/>
  <c r="C11" i="28"/>
  <c r="B11" i="28"/>
  <c r="H9" i="28"/>
  <c r="G9" i="28"/>
  <c r="F9" i="28"/>
  <c r="E9" i="28"/>
  <c r="D9" i="28"/>
  <c r="C9" i="28"/>
  <c r="B9" i="28"/>
  <c r="H7" i="28"/>
  <c r="G7" i="28"/>
  <c r="F7" i="28"/>
  <c r="E7" i="28"/>
  <c r="D7" i="28"/>
  <c r="C7" i="28"/>
  <c r="B7" i="28"/>
  <c r="H5" i="28"/>
  <c r="G5" i="28"/>
  <c r="F5" i="28"/>
  <c r="E5" i="28"/>
  <c r="D5" i="28"/>
  <c r="C5" i="28"/>
  <c r="B5" i="28"/>
  <c r="H3" i="28"/>
  <c r="G3" i="28"/>
  <c r="F3" i="28"/>
  <c r="E3" i="28"/>
  <c r="D3" i="28"/>
  <c r="C3" i="28"/>
  <c r="B3" i="28"/>
  <c r="C13" i="26"/>
  <c r="B13" i="26"/>
  <c r="H11" i="26"/>
  <c r="G11" i="26"/>
  <c r="F11" i="26"/>
  <c r="E11" i="26"/>
  <c r="D11" i="26"/>
  <c r="C11" i="26"/>
  <c r="B11" i="26"/>
  <c r="H9" i="26"/>
  <c r="G9" i="26"/>
  <c r="F9" i="26"/>
  <c r="E9" i="26"/>
  <c r="D9" i="26"/>
  <c r="C9" i="26"/>
  <c r="B9" i="26"/>
  <c r="H7" i="26"/>
  <c r="G7" i="26"/>
  <c r="F7" i="26"/>
  <c r="E7" i="26"/>
  <c r="D7" i="26"/>
  <c r="C7" i="26"/>
  <c r="B7" i="26"/>
  <c r="H5" i="26"/>
  <c r="G5" i="26"/>
  <c r="F5" i="26"/>
  <c r="E5" i="26"/>
  <c r="D5" i="26"/>
  <c r="C5" i="26"/>
  <c r="B5" i="26"/>
  <c r="H3" i="26"/>
  <c r="G3" i="26"/>
  <c r="F3" i="26"/>
  <c r="E3" i="26"/>
  <c r="D3" i="26"/>
  <c r="C3" i="26"/>
  <c r="B3" i="26"/>
  <c r="B1" i="26"/>
  <c r="B13" i="25"/>
  <c r="H11" i="25"/>
  <c r="G11" i="25"/>
  <c r="F11" i="25"/>
  <c r="E11" i="25"/>
  <c r="D11" i="25"/>
  <c r="C11" i="25"/>
  <c r="B11" i="25"/>
  <c r="H9" i="25"/>
  <c r="G9" i="25"/>
  <c r="F9" i="25"/>
  <c r="E9" i="25"/>
  <c r="D9" i="25"/>
  <c r="C9" i="25"/>
  <c r="B9" i="25"/>
  <c r="H7" i="25"/>
  <c r="G7" i="25"/>
  <c r="F7" i="25"/>
  <c r="E7" i="25"/>
  <c r="D7" i="25"/>
  <c r="C7" i="25"/>
  <c r="B7" i="25"/>
  <c r="H5" i="25"/>
  <c r="G5" i="25"/>
  <c r="F5" i="25"/>
  <c r="E5" i="25"/>
  <c r="D5" i="25"/>
  <c r="C5" i="25"/>
  <c r="B5" i="25"/>
  <c r="H3" i="25"/>
  <c r="G3" i="25"/>
  <c r="F3" i="25"/>
  <c r="E3" i="25"/>
  <c r="D3" i="25"/>
  <c r="C3" i="25"/>
  <c r="B3" i="25"/>
  <c r="B1" i="25"/>
  <c r="C13" i="24"/>
  <c r="B13" i="24"/>
  <c r="H11" i="24"/>
  <c r="G11" i="24"/>
  <c r="F11" i="24"/>
  <c r="E11" i="24"/>
  <c r="D11" i="24"/>
  <c r="C11" i="24"/>
  <c r="B11" i="24"/>
  <c r="H9" i="24"/>
  <c r="G9" i="24"/>
  <c r="F9" i="24"/>
  <c r="E9" i="24"/>
  <c r="D9" i="24"/>
  <c r="C9" i="24"/>
  <c r="B9" i="24"/>
  <c r="H7" i="24"/>
  <c r="G7" i="24"/>
  <c r="F7" i="24"/>
  <c r="E7" i="24"/>
  <c r="D7" i="24"/>
  <c r="C7" i="24"/>
  <c r="B7" i="24"/>
  <c r="H5" i="24"/>
  <c r="G5" i="24"/>
  <c r="F5" i="24"/>
  <c r="E5" i="24"/>
  <c r="D5" i="24"/>
  <c r="C5" i="24"/>
  <c r="B5" i="24"/>
  <c r="H3" i="24"/>
  <c r="G3" i="24"/>
  <c r="F3" i="24"/>
  <c r="E3" i="24"/>
  <c r="D3" i="24"/>
  <c r="C3" i="24"/>
  <c r="B3" i="24"/>
  <c r="B1" i="24"/>
  <c r="B13" i="22"/>
  <c r="H11" i="22"/>
  <c r="G11" i="22"/>
  <c r="F11" i="22"/>
  <c r="E11" i="22"/>
  <c r="D11" i="22"/>
  <c r="C11" i="22"/>
  <c r="B11" i="22"/>
  <c r="H9" i="22"/>
  <c r="G9" i="22"/>
  <c r="F9" i="22"/>
  <c r="E9" i="22"/>
  <c r="D9" i="22"/>
  <c r="C9" i="22"/>
  <c r="B9" i="22"/>
  <c r="H7" i="22"/>
  <c r="G7" i="22"/>
  <c r="F7" i="22"/>
  <c r="E7" i="22"/>
  <c r="D7" i="22"/>
  <c r="C7" i="22"/>
  <c r="B7" i="22"/>
  <c r="H5" i="22"/>
  <c r="G5" i="22"/>
  <c r="F5" i="22"/>
  <c r="E5" i="22"/>
  <c r="D5" i="22"/>
  <c r="C5" i="22"/>
  <c r="B5" i="22"/>
  <c r="H3" i="22"/>
  <c r="G3" i="22"/>
  <c r="F3" i="22"/>
  <c r="E3" i="22"/>
  <c r="D3" i="22"/>
  <c r="C3" i="22"/>
  <c r="B3" i="22"/>
  <c r="H11" i="19"/>
  <c r="G11" i="19"/>
  <c r="F11" i="19"/>
  <c r="E11" i="19"/>
  <c r="D11" i="19"/>
  <c r="C11" i="19"/>
  <c r="B11" i="19"/>
  <c r="H9" i="19"/>
  <c r="G9" i="19"/>
  <c r="F9" i="19"/>
  <c r="E9" i="19"/>
  <c r="D9" i="19"/>
  <c r="C9" i="19"/>
  <c r="B9" i="19"/>
  <c r="H7" i="19"/>
  <c r="G7" i="19"/>
  <c r="F7" i="19"/>
  <c r="E7" i="19"/>
  <c r="D7" i="19"/>
  <c r="C7" i="19"/>
  <c r="B7" i="19"/>
  <c r="H5" i="19"/>
  <c r="G5" i="19"/>
  <c r="F5" i="19"/>
  <c r="E5" i="19"/>
  <c r="D5" i="19"/>
  <c r="C5" i="19"/>
  <c r="B5" i="19"/>
  <c r="H3" i="19"/>
  <c r="G3" i="19"/>
  <c r="F3" i="19"/>
  <c r="E3" i="19"/>
  <c r="D3" i="19"/>
  <c r="C3" i="19"/>
  <c r="B3" i="19"/>
  <c r="C13" i="20"/>
  <c r="B13" i="20"/>
  <c r="H11" i="20"/>
  <c r="G11" i="20"/>
  <c r="F11" i="20"/>
  <c r="E11" i="20"/>
  <c r="D11" i="20"/>
  <c r="C11" i="20"/>
  <c r="B11" i="20"/>
  <c r="H9" i="20"/>
  <c r="G9" i="20"/>
  <c r="F9" i="20"/>
  <c r="E9" i="20"/>
  <c r="D9" i="20"/>
  <c r="C9" i="20"/>
  <c r="B9" i="20"/>
  <c r="H7" i="20"/>
  <c r="G7" i="20"/>
  <c r="F7" i="20"/>
  <c r="E7" i="20"/>
  <c r="D7" i="20"/>
  <c r="C7" i="20"/>
  <c r="B7" i="20"/>
  <c r="H5" i="20"/>
  <c r="G5" i="20"/>
  <c r="F5" i="20"/>
  <c r="E5" i="20"/>
  <c r="D5" i="20"/>
  <c r="C5" i="20"/>
  <c r="B5" i="20"/>
  <c r="H3" i="20"/>
  <c r="G3" i="20"/>
  <c r="F3" i="20"/>
  <c r="E3" i="20"/>
  <c r="D3" i="20"/>
  <c r="C3" i="20"/>
  <c r="B3" i="20"/>
  <c r="B1" i="20"/>
  <c r="B1" i="19"/>
  <c r="C13" i="14"/>
  <c r="B13" i="14"/>
  <c r="H11" i="14"/>
  <c r="G11" i="14"/>
  <c r="F11" i="14"/>
  <c r="E11" i="14"/>
  <c r="D11" i="14"/>
  <c r="C11" i="14"/>
  <c r="B11" i="14"/>
  <c r="H9" i="14"/>
  <c r="G9" i="14"/>
  <c r="F9" i="14"/>
  <c r="E9" i="14"/>
  <c r="D9" i="14"/>
  <c r="B9" i="14"/>
  <c r="C9" i="14"/>
  <c r="H7" i="14"/>
  <c r="G7" i="14"/>
  <c r="F7" i="14"/>
  <c r="E7" i="14"/>
  <c r="D7" i="14"/>
  <c r="C7" i="14"/>
  <c r="B7" i="14"/>
  <c r="H5" i="14"/>
  <c r="G5" i="14"/>
  <c r="F5" i="14"/>
  <c r="E5" i="14"/>
  <c r="D5" i="14"/>
  <c r="C5" i="14"/>
  <c r="B5" i="14"/>
  <c r="F3" i="14"/>
  <c r="H3" i="14"/>
  <c r="G3" i="14"/>
  <c r="E3" i="14"/>
  <c r="D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J4" authorId="0" shapeId="0" xr:uid="{00000000-0006-0000-0200-000001000000}">
      <text>
        <r>
          <rPr>
            <sz val="12"/>
            <color rgb="FF000000"/>
            <rFont val="Geneva"/>
          </rPr>
          <t xml:space="preserve">I CALL JANUARY THE MONTH OF RESOLUTIONS -
</t>
        </r>
        <r>
          <rPr>
            <sz val="12"/>
            <color rgb="FF000000"/>
            <rFont val="Geneva"/>
          </rPr>
          <t xml:space="preserve">
</t>
        </r>
        <r>
          <rPr>
            <sz val="12"/>
            <color rgb="FF000000"/>
            <rFont val="Geneva"/>
          </rPr>
          <t xml:space="preserve">For some reason people believe you have to start the New Year with a list of resolutions which is hogwash. Most people don't stick to them and year after year, if you are not careful, you will find yourself with repeats and the remix to old goals and intentions that were never realized. Instead I use the month TO RESOLVE &amp; RECONCILE. 
</t>
        </r>
        <r>
          <rPr>
            <sz val="12"/>
            <color rgb="FF000000"/>
            <rFont val="Geneva"/>
          </rPr>
          <t xml:space="preserve">
</t>
        </r>
        <r>
          <rPr>
            <sz val="12"/>
            <color rgb="FF000000"/>
            <rFont val="Geneva"/>
          </rPr>
          <t xml:space="preserve">To me, people rush into the NEW YEAR without ever resolving the old one. They are eager to jumpstart and RESET without ever RESOLVING. The problem with that is LOOSE ENDS will always follow and work their way to the top, so it's always better to cut them off, tie them up, or pull them apart.
</t>
        </r>
        <r>
          <rPr>
            <sz val="12"/>
            <color rgb="FF000000"/>
            <rFont val="Geneva"/>
          </rPr>
          <t xml:space="preserve">
</t>
        </r>
        <r>
          <rPr>
            <sz val="12"/>
            <color rgb="FF000000"/>
            <rFont val="Geneva"/>
          </rPr>
          <t>Either way use January as your NEW START to RESOLVE and RECONCILE so you can RESET with CONFIDENCE!</t>
        </r>
      </text>
    </comment>
    <comment ref="J11" authorId="0" shapeId="0" xr:uid="{00000000-0006-0000-0200-000002000000}">
      <text>
        <r>
          <rPr>
            <u/>
            <sz val="11"/>
            <color indexed="81"/>
            <rFont val="Geneva"/>
          </rPr>
          <t>RESOLVE &amp; RECONCILE THE PAST:</t>
        </r>
        <r>
          <rPr>
            <sz val="11"/>
            <color indexed="81"/>
            <rFont val="Geneva"/>
          </rPr>
          <t xml:space="preserve">
"SUCCESS on the outside always starts with PROGRESS from the inside."
Make sure you are CLEAR &amp; CONFIDENT in the following areas so you can finish the year successfully - Mentally, Physically, Spiritually, Emotionally, and Financially. You know what you have to do to get there. You have 31 days to make it happen!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Stefany Jones</author>
  </authors>
  <commentList>
    <comment ref="J4" authorId="0" shapeId="0" xr:uid="{00000000-0006-0000-0300-000001000000}">
      <text>
        <r>
          <rPr>
            <sz val="11"/>
            <color indexed="81"/>
            <rFont val="Century Gothic"/>
          </rPr>
          <t>REMEMBER:
The race is not won to the swift, but to the one who endures until the very end. Too many times we self-sabotage and defeat ourselves going in because we are always measuring ourselves, our accomplishments, our own pace to others and that is the first step to failing miserably.
Everyone's walk is different and you can not worry yourself with the walk, skip, run, or leaps of others. Instead, your time is better spent if you focus on DECIDING to make whatever change in your life you see fit (be it personal and/or professional), DEFINING what brings you joy within, DREAMING Big enough to get, be, and remain inspired and called to action, and DEVELOPING what is a good and comfortable fit and pace for you to be optimal in your outlook and performance!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Stefany Jones</author>
  </authors>
  <commentList>
    <comment ref="K4" authorId="0" shapeId="0" xr:uid="{00000000-0006-0000-0400-000001000000}">
      <text>
        <r>
          <rPr>
            <sz val="12"/>
            <color indexed="81"/>
            <rFont val="Century Gothic"/>
          </rPr>
          <t>Now that we've completed the 1st Quarter of the NEW YEAR, you should have a pretty good vibration of inspiration and be ready to go strong! By this time you have RESOLVED, DREAMED BIG, DECIDED, DEVELOPED, and DESIGNED YOUR RECIPE for success towards achieving your goals. By this end of this month you should have a clear picture on THE DELIVERY method and whom you've chosen to MENTOR your executiion for accomplishment.</t>
        </r>
        <r>
          <rPr>
            <sz val="9"/>
            <color indexed="81"/>
            <rFont val="Century Gothic"/>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Stefany Jones</author>
  </authors>
  <commentList>
    <comment ref="K4" authorId="0" shapeId="0" xr:uid="{00000000-0006-0000-0500-000001000000}">
      <text>
        <r>
          <rPr>
            <sz val="14"/>
            <color indexed="81"/>
            <rFont val="Century Gothic"/>
          </rPr>
          <t>The reason I keep honing in on what you need, want, and have to have happen is because any type of success in what I call CHANGE MANAGEMENT BEHAVIOR has to occur systematically and methodically. It can't be rushed or breezed through because then it will be absent of the foundation necessary to be able to withstand adverstity. Remember what I said earlier in that the race is not won to the swift, but to he who endures to the end??? That is because the winner is not the person who gets to the finish line first, that is just the person who gets their first... the winners are everyone who decide to stay in the race and finish no matter how long it takes them because COMPLETION OF THE GOAL IS SUCCESS and creates the WIN because the goal is always going to be to finish, accomplish, and achieve what you set out to do which is to go from point A to point B.</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Stefany Jones</author>
  </authors>
  <commentList>
    <comment ref="J4" authorId="0" shapeId="0" xr:uid="{00000000-0006-0000-0600-000001000000}">
      <text>
        <r>
          <rPr>
            <sz val="12"/>
            <color rgb="FF000000"/>
            <rFont val="Century Gothic"/>
          </rPr>
          <t xml:space="preserve">I know that for me, I am a VISUAL, AUDITORY, and SENSORY learner. Very rarely is one absolute in only one area. There are always dominant characteristics but no absolutes (at least not in my world). The reason why I believe the CALENDAR METHOD Of SETTING, EXECUTING and ACCOMPLISHING GOALS has worked so well for me is because it gives you the BIG and small picture of everything you want to do, have done, and need to do in one picture scape. 
</t>
        </r>
        <r>
          <rPr>
            <sz val="12"/>
            <color rgb="FF000000"/>
            <rFont val="Century Gothic"/>
          </rPr>
          <t xml:space="preserve">
</t>
        </r>
        <r>
          <rPr>
            <sz val="12"/>
            <color rgb="FF000000"/>
            <rFont val="Century Gothic"/>
          </rPr>
          <t xml:space="preserve">I remember one of Steve Job's references in his speech to Stanford Graduates that life only makes sense when you connect the dots, and that is usually done AFTER THE FACT or when LOOKING BACK. That has always resonated with me, because it is so true. We connect dots as we look back and see how far we've traveld, and are actually more able to feel accomplished when we do. THIS CALENDAR METHODOLOGY is a way of Acommplishing by Numbers so to speak, in that when you record your daily activities in the squares, you are writing everything  you've done to support the Week's tasks as I have outlined in mine. Remember you can change all of the text or any of the text to fit and meet your needs. I am just sharing with you what has and continues to work for me.
</t>
        </r>
        <r>
          <rPr>
            <sz val="12"/>
            <color rgb="FF000000"/>
            <rFont val="Century Gothic"/>
          </rPr>
          <t xml:space="preserve">
</t>
        </r>
        <r>
          <rPr>
            <sz val="12"/>
            <color rgb="FF000000"/>
            <rFont val="Century Gothic"/>
          </rPr>
          <t>Here we are in MAY and have spent the first 5 months resolving, designing, defining, and planning. We have, by this time, secured 2 MENTORS and should be ready ot move forward, like a kid in a candy store, towards the finish line (DECEMBER 2021) of our goals.</t>
        </r>
        <r>
          <rPr>
            <sz val="9"/>
            <color rgb="FF000000"/>
            <rFont val="Century Gothic"/>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Stefany Jones</author>
  </authors>
  <commentList>
    <comment ref="J6" authorId="0" shapeId="0" xr:uid="{00000000-0006-0000-0700-000001000000}">
      <text>
        <r>
          <rPr>
            <sz val="14"/>
            <color indexed="81"/>
            <rFont val="Century Gothic"/>
          </rPr>
          <t>An important part of success is REST. Make sure you stick to the plan for giving yourself the 5 days of rest as outlined at the end of this month. You will need to be ready to go in July and resting is a big part of that.</t>
        </r>
        <r>
          <rPr>
            <sz val="9"/>
            <color indexed="81"/>
            <rFont val="Century Gothic"/>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Stefany Jones</author>
  </authors>
  <commentList>
    <comment ref="J3" authorId="0" shapeId="0" xr:uid="{00000000-0006-0000-0800-000001000000}">
      <text>
        <r>
          <rPr>
            <sz val="12"/>
            <color indexed="81"/>
            <rFont val="Century Gothic"/>
          </rPr>
          <t>IF YOU DON'T REMEMBER ANYTHING ELSE, PLEASE REMEMBER THAT THE CALENDAR BOXES ARE TO BE FILLED WITH DATA AT THE END OF YOUR DAY NOT AT THE BEGINNING. THIS IS A SUCCESS CALENDAR WHICH MEANS IT'S ALL ABOUT RECORDING EVERYTHING YOU HAVE DONE TO MAKE THE WEEKLY GOALS WORK IN YOUR FAVOR.</t>
        </r>
        <r>
          <rPr>
            <sz val="9"/>
            <color indexed="81"/>
            <rFont val="Century Gothic"/>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C4" authorId="0" shapeId="0" xr:uid="{00000000-0006-0000-0E00-000001000000}">
      <text>
        <r>
          <rPr>
            <b/>
            <sz val="9"/>
            <color indexed="81"/>
            <rFont val="Geneva"/>
          </rPr>
          <t>This list populates the options that appear in the pop-up list for the year on the January sheet. To add additional years, begin typing in the cell directly beneath the last existing entry and the list will automatically expand.</t>
        </r>
      </text>
    </comment>
  </commentList>
</comments>
</file>

<file path=xl/sharedStrings.xml><?xml version="1.0" encoding="utf-8"?>
<sst xmlns="http://schemas.openxmlformats.org/spreadsheetml/2006/main" count="185" uniqueCount="100">
  <si>
    <t>Sunday</t>
  </si>
  <si>
    <t>Monday</t>
  </si>
  <si>
    <t>Tuesday</t>
  </si>
  <si>
    <t>Wednesday</t>
  </si>
  <si>
    <t>Thursday</t>
  </si>
  <si>
    <t>Friday</t>
  </si>
  <si>
    <t>Saturday</t>
  </si>
  <si>
    <t>Year</t>
  </si>
  <si>
    <t>Select
Year:</t>
  </si>
  <si>
    <t>MENTAL RESOLVE - Clear up your head space</t>
  </si>
  <si>
    <t>PHYSICAL - Don't dream of being fit, do 1 new thing each day to become fit.</t>
  </si>
  <si>
    <t>SPIRITUAL - Prayer &amp; Meditation and/or silence for 10 min daily does wonders</t>
  </si>
  <si>
    <t>EMOTIONAL - Let go of any baggage. Forgive yourself and others. Move on.</t>
  </si>
  <si>
    <t>FINANCIAL - Start with saving something each week, even if only $5.</t>
  </si>
  <si>
    <t>For me, I don't do TO DO LISTS ON CALLENDARS, instead I do, WHAT I HAVE DONE LISTS. I have found that putting my goals as lists on the calendar only remind me of everything I have to do and haven't done. Instead I make TO DO LISTS of only 5 things per day and then in the calendar squares at the end of each day I write what I've DONE!</t>
  </si>
  <si>
    <t>Notes: THE KEY TO MAKING THIS MONTH OF RESOLVING WORK | This is called DOING THE INSIDE WORK FIRST.</t>
  </si>
  <si>
    <t>Notes: THE KEY TO MAKING THE POWER MONTH WORK | While February is the shortest month of the year, to me I call it the HIGHEST IMPACT month of all!</t>
  </si>
  <si>
    <t>THE MONTH OF RESOLVING |RESOLVE &amp; Close Out THE PAST YEAR of 2015</t>
  </si>
  <si>
    <t>DECIDE what you want this year to look like. Sit down and PAINT the picture.</t>
  </si>
  <si>
    <t>DEFINE using specific language what you need to have happen to be well.</t>
  </si>
  <si>
    <t>DREAM BIG and translate everything you do as part of that dream.</t>
  </si>
  <si>
    <t>DEVELOP YOUR SYSTEM of Operation that works for YOU!</t>
  </si>
  <si>
    <t>In my opinion there is nothing wrong with following formulas. I am an avid believer that you should not look to reinvent the wheel, however, you must only use the wheel that is the right FIT for you. What I mean by that is, while systems are always replicatable, sustainability is something that can only come from the person and the process and neither one of the aformenetioned absent of the other. That is why I am an advocate for Soul-Centered leadership in Business.</t>
  </si>
  <si>
    <t>WHAT DO YOU HAVE A TASTE FOR? | Decide on what you want to make happen first.</t>
  </si>
  <si>
    <t>WHAT INGREDIENTS WILL YOU NEED? | Make a list of what you need.</t>
  </si>
  <si>
    <t>WHO CARRIES THOSE INGREDIENTS &amp; AT WHAT PRICE POINT? | Start your research</t>
  </si>
  <si>
    <t>TIME TO GO SHOPPING! | After doing comparisons, choose your vendor.</t>
  </si>
  <si>
    <t xml:space="preserve">THE POWER PACKED HIGH IMPACT MONTH </t>
  </si>
  <si>
    <r>
      <rPr>
        <b/>
        <sz val="10"/>
        <color theme="1" tint="0.249977111117893"/>
        <rFont val="Century Gothic"/>
        <scheme val="minor"/>
      </rPr>
      <t xml:space="preserve">THE RECIPE MONTH </t>
    </r>
    <r>
      <rPr>
        <sz val="10"/>
        <color theme="1" tint="0.249977111117893"/>
        <rFont val="Century Gothic"/>
        <family val="2"/>
        <scheme val="minor"/>
      </rPr>
      <t>| Make your shopping list made to order</t>
    </r>
  </si>
  <si>
    <t>Notes: THE KEY TO MAKING THE FORMULA WORK FOR YOU | Always go for what YOU WANT, not what others tell you to want.</t>
  </si>
  <si>
    <t xml:space="preserve"> </t>
  </si>
  <si>
    <t xml:space="preserve">The key to making this month WORK FOR YOU, is honing in on what makes YOU happy, brings YOU joy, and is at the CORE of YOU. Jumping for dollars and going after what you think will make you happy will never be enough to sustain your puprose. True purpose is defined from within and can only be inspired by YOU. </t>
  </si>
  <si>
    <t>DEFINE THE NEED |YOUR WHAT FACTOR -  What do you want?</t>
  </si>
  <si>
    <t>DEFINE THE NOW |YOUR WHEN FACTOR -  The time frame you have.</t>
  </si>
  <si>
    <t>DEFINE THE KNOW | YOUR Checks &amp; Balances of Knowledge Bank.</t>
  </si>
  <si>
    <r>
      <rPr>
        <b/>
        <sz val="10"/>
        <color theme="1" tint="0.249977111117893"/>
        <rFont val="Century Gothic"/>
        <scheme val="minor"/>
      </rPr>
      <t>THINKING OF A MASTER PLAN MONTH</t>
    </r>
    <r>
      <rPr>
        <sz val="10"/>
        <color theme="1" tint="0.249977111117893"/>
        <rFont val="Century Gothic"/>
        <family val="2"/>
        <scheme val="minor"/>
      </rPr>
      <t>| Time to Work Backwards</t>
    </r>
  </si>
  <si>
    <t>Notes THE KEY TO THE MASTER PLAN MONTH is to be CLEAR, CONCISE, STEADY and DIRECTED towards what you want.</t>
  </si>
  <si>
    <t>Again, in my opinion we are in the midst and dealing with the remnants of a NOW generation of thirsting and quenching. What is missing is the BRIDGING that should exist inbetween but does not because people have become accustomed to demanding without labor and then giving too much without expecting much in return. This is a crucial month because here you will begin to build the framework for the rest of the year and what you are trying to do.</t>
  </si>
  <si>
    <t>DEFINE THE NEXT | BUILD your FOCUS task lists.- CHOOSE MENTOR #2</t>
  </si>
  <si>
    <t xml:space="preserve">THE MONTH OF REALIZATION </t>
  </si>
  <si>
    <t>DEVELOP YOUR PACE</t>
  </si>
  <si>
    <t>STICK TO THE PLAN</t>
  </si>
  <si>
    <t>REVIEW, REVISE, &amp; EDIT YOUR STRATEGY</t>
  </si>
  <si>
    <t>BEGIN TO SHAPE YOUR DIRECTION &amp; FOCUS</t>
  </si>
  <si>
    <t>Notes: THE KEY TO MAKING THE MONTH OF REALIZATION WORK IS TO GET REAL WITH YOURSELF</t>
  </si>
  <si>
    <t>It is important at this time that you begin to realize after choosing a delivery vendor (MENTOR #1) and an executing vendor (MENTOR #2) to assist you with your initiatives that you REASSESS everything you have DEFINED, DESIGNED, and PURPOSED to have happen this year. If you are not excited and do not have your calendar boxes filled in with all of your accomplishings, then something needs to be tweaked. The calendar will show you where.</t>
  </si>
  <si>
    <r>
      <rPr>
        <b/>
        <sz val="10"/>
        <color theme="1" tint="0.249977111117893"/>
        <rFont val="Century Gothic"/>
        <scheme val="minor"/>
      </rPr>
      <t xml:space="preserve">THE BIG START  MONTH| </t>
    </r>
    <r>
      <rPr>
        <sz val="10"/>
        <color theme="1" tint="0.249977111117893"/>
        <rFont val="Century Gothic"/>
        <family val="2"/>
        <scheme val="minor"/>
      </rPr>
      <t>Month 1 of Execution</t>
    </r>
  </si>
  <si>
    <t>Design the 6 month plan for the next 6 mos (July - Dec)</t>
  </si>
  <si>
    <t>Create your budget of time and money and resources</t>
  </si>
  <si>
    <t>Make the life changes that will support your commitment needs</t>
  </si>
  <si>
    <t>GET REST SO YOU CAN BE READY!</t>
  </si>
  <si>
    <t>Notes: THE KEY TO THE BIG START MONTH is understanding THIS WILL BE YOUR BLUEPRINT, YOUR ROADMAP, &amp; YOUR GOAL LIST.</t>
  </si>
  <si>
    <t>The beauty of the conclusion of month 6 is that you are at the half way mark to SUCCESS. By now you have narrowed down your focus, put your mentorship relationship in place, and should be ready to kick butt over the next 6 months as the CREATOR of your DESTINED SUCCESS and the AUTHOR of your PURPOSE.</t>
  </si>
  <si>
    <t>THE MONTH OF CREATING FIREWORKS!</t>
  </si>
  <si>
    <t>Create your customized TO DO LIST by making your GOALS list similar</t>
  </si>
  <si>
    <t>BREAK DOWN EACH SECTION INTO 5 COMPONENTS</t>
  </si>
  <si>
    <t>BREAK DOWN EACH COMPONENT INTO A LIST OF ACTION ITEMS</t>
  </si>
  <si>
    <t>Notes: THE KEY TO MAKING THE MONTH FULL OF FIREWORKS IS MAKING THAT TO DO LIST CRYSTAL CLEAR</t>
  </si>
  <si>
    <t>By now you realize that my calendar is not telling you what to do but HOW TO DO what you NEED TO DO to be successful at what you want to do. There is a saying that if you give a man a fish you feed him for the day, but if you teach him HOW to fish, you feed him for a lifetime. This strategy is my sharing with you HOW to accomplish instead of telling you what to do. Again, remember your "tweaking" to make it work and twerk will seal the deal!</t>
  </si>
  <si>
    <r>
      <rPr>
        <b/>
        <sz val="10"/>
        <color theme="1" tint="0.249977111117893"/>
        <rFont val="Century Gothic"/>
        <scheme val="minor"/>
      </rPr>
      <t>THE MONTH OF TAKE YOUR TIME</t>
    </r>
    <r>
      <rPr>
        <sz val="10"/>
        <color theme="1" tint="0.249977111117893"/>
        <rFont val="Century Gothic"/>
        <family val="2"/>
        <scheme val="minor"/>
      </rPr>
      <t xml:space="preserve"> | </t>
    </r>
    <r>
      <rPr>
        <sz val="9"/>
        <color theme="1" tint="0.249977111117893"/>
        <rFont val="Century Gothic"/>
        <scheme val="minor"/>
      </rPr>
      <t>Progress is measured in the currency of fulfillment.</t>
    </r>
  </si>
  <si>
    <t>REPEAT FOR COMPONENT #2</t>
  </si>
  <si>
    <t>REPEAT FOR COMPONENT #3</t>
  </si>
  <si>
    <t>REPEAT FOR COMPONENT #4</t>
  </si>
  <si>
    <t>THE MONTH OF CONTINUITY</t>
  </si>
  <si>
    <t>REPEAT FOR COMPONENT #5</t>
  </si>
  <si>
    <t>ASSESS SECTION 1 &amp; BEGIN MODIFICATIONS</t>
  </si>
  <si>
    <t>PROOFING, CORRECTION, &amp; REVISIONS</t>
  </si>
  <si>
    <t>IMPLEMENTATION OF TWEAKS</t>
  </si>
  <si>
    <t>THE MONTH OF CREATING A METHODOLOGY</t>
  </si>
  <si>
    <r>
      <t>WORK ON</t>
    </r>
    <r>
      <rPr>
        <b/>
        <sz val="10"/>
        <color theme="1" tint="0.249977111117893"/>
        <rFont val="Century Gothic"/>
        <scheme val="minor"/>
      </rPr>
      <t xml:space="preserve"> SECTION 2 </t>
    </r>
    <r>
      <rPr>
        <sz val="10"/>
        <color theme="1" tint="0.249977111117893"/>
        <rFont val="Century Gothic"/>
        <family val="2"/>
        <scheme val="minor"/>
      </rPr>
      <t>COMPONENT #1 BY CREATING TO DO LISTS FOR EACH DAY</t>
    </r>
  </si>
  <si>
    <t>REST &amp; TAKE A SPIRITUAL MINDFULNESS BREAK</t>
  </si>
  <si>
    <t>BREAK DOWN YOUR GOALS INTO 3 SECTIONS</t>
  </si>
  <si>
    <r>
      <t xml:space="preserve">WORK ON </t>
    </r>
    <r>
      <rPr>
        <b/>
        <sz val="10"/>
        <color theme="1" tint="0.249977111117893"/>
        <rFont val="Century Gothic"/>
        <scheme val="minor"/>
      </rPr>
      <t xml:space="preserve">SECTION 3 </t>
    </r>
    <r>
      <rPr>
        <sz val="10"/>
        <color theme="1" tint="0.249977111117893"/>
        <rFont val="Century Gothic"/>
        <family val="2"/>
        <scheme val="minor"/>
      </rPr>
      <t>COMPONENT #1 BY CREATING TO DO LISTS FOR EACH DAY</t>
    </r>
  </si>
  <si>
    <t>ASSESS, CORRECT, &amp; TWEAK</t>
  </si>
  <si>
    <t>CELEBRATE!!</t>
  </si>
  <si>
    <t>THE MONTH OF THE GIFT!</t>
  </si>
  <si>
    <t>THE MONTH OF GRATEFUL EVOLUTION</t>
  </si>
  <si>
    <r>
      <t xml:space="preserve">WORK ON </t>
    </r>
    <r>
      <rPr>
        <b/>
        <sz val="10"/>
        <color theme="1" tint="0.249977111117893"/>
        <rFont val="Century Gothic"/>
        <scheme val="minor"/>
      </rPr>
      <t>SECTION 1</t>
    </r>
    <r>
      <rPr>
        <sz val="10"/>
        <color theme="1" tint="0.249977111117893"/>
        <rFont val="Century Gothic"/>
        <family val="2"/>
        <scheme val="minor"/>
      </rPr>
      <t xml:space="preserve"> COMPONENT #1 BY CREATING TO DO LISTS FOR EACH DAY</t>
    </r>
  </si>
  <si>
    <t>Notes: THE KEY TO MAKING THE MONTH OF TAKE YOUR TIME WORK</t>
  </si>
  <si>
    <t>Everyone should dream, think, and expect BIG things… but don't confuse that will taking on things that are too big too much at one time. The best way to ensure your success is to realize that time is not your enemy it is your gift and you have time to educate yourself, learn, practice, test, correct, perfect, and improve. Time is your friend if you allow it to be.</t>
  </si>
  <si>
    <t>Notes: THE KEY TO MAKING THE MONTH OF CONTINUITY WORK IS TO REMAIN FOCUSED AND BE CONSISTENT.</t>
  </si>
  <si>
    <t>They say that repitition is the mother of skill and that good habits yield good results. Well this CALENDAR METHOD OF SUCCESS is designed and geared to do just that. Sometimes people need a little push along the way and would rather have company on their journey to success rather than having to go it alone. Please think of my words as encouragement and support during your journey. I am here with you to see this through.</t>
  </si>
  <si>
    <t>Notes: THE MONTH OF CREATING A METHODOLOGY</t>
  </si>
  <si>
    <t>Developing your skills thorugh good work habits means that the methodology that is created will then become part of your MO when starting any new business venture or idea. It is the underlying factor to building the foundation for a good framework for you to have the proper grounding in how you approach your goals.</t>
  </si>
  <si>
    <t>Notes: THE KEY TO THE MONTH OF GRATEFUL EVOLUTION IS SIMPLE, BE AWARE, BE GRATEFUL, and BE PROUD OF YOURSELF.</t>
  </si>
  <si>
    <t>Too often, we are made to feel guilty about our accomplishments and we tend to impart a sense of arrogance on those who are confident enough to revel and share with others their self-endorsed kudos and successes. Instead of rejecting the shine of others, we would be better off being warmed by the shared 'shine' and then follow suit to do the same. It's not bragging if it's sharing, it's caring enough to want you to do and feel the same!</t>
  </si>
  <si>
    <t>Notes: THE KEY TO MAKING THE MONTH OF THE GIFT WORK IS REALIZING THAT YOU ARE THE GIFT!</t>
  </si>
  <si>
    <t>When you have accomplished your goals, tasks, and what you have set out to do for the year you have actually gifted people in the universe with your impartations, your learning curve, and your happiness… because each and every interaction you have had with another human being these past 365 days has hopefully been met with a new you doing a new thing for the NEW YEAR you started in January 2016. Now for YEAR NEXT!!!</t>
  </si>
  <si>
    <t>ENTER ALL OF THE ITEMS IN EACH CELL AT THE END OF EACH DAY.</t>
  </si>
  <si>
    <t>Thanks so much and I am absolutely pleased that we have connected!!!!</t>
  </si>
  <si>
    <t>Copyright 2016. ALL RIGHTS RESERVED.</t>
  </si>
  <si>
    <r>
      <t>1.</t>
    </r>
    <r>
      <rPr>
        <b/>
        <sz val="14"/>
        <rFont val="Century Gothic"/>
        <scheme val="minor"/>
      </rPr>
      <t xml:space="preserve"> Everything</t>
    </r>
    <r>
      <rPr>
        <sz val="14"/>
        <rFont val="Century Gothic"/>
        <scheme val="minor"/>
      </rPr>
      <t xml:space="preserve"> in the calendar is </t>
    </r>
    <r>
      <rPr>
        <b/>
        <sz val="14"/>
        <rFont val="Century Gothic"/>
        <scheme val="minor"/>
      </rPr>
      <t>customizable</t>
    </r>
    <r>
      <rPr>
        <sz val="14"/>
        <rFont val="Century Gothic"/>
        <scheme val="minor"/>
      </rPr>
      <t>. Whatever parts of what I have provided that don't work for you don't have to stay. Just click on the cell and delete the data and modify to your own liking.</t>
    </r>
  </si>
  <si>
    <r>
      <t>2. For the most part it is a systematic method of</t>
    </r>
    <r>
      <rPr>
        <b/>
        <sz val="14"/>
        <rFont val="Century Gothic"/>
        <scheme val="minor"/>
      </rPr>
      <t xml:space="preserve"> HOW TO BE SUCCESSFU</t>
    </r>
    <r>
      <rPr>
        <sz val="14"/>
        <rFont val="Century Gothic"/>
        <scheme val="minor"/>
      </rPr>
      <t xml:space="preserve">L at accomplishing your goals over the course of a year. Surely for some it will carry over into the next year, or may even be accomplished in less time. Either way, it is </t>
    </r>
    <r>
      <rPr>
        <b/>
        <sz val="14"/>
        <rFont val="Century Gothic"/>
        <scheme val="minor"/>
      </rPr>
      <t>a good starting point</t>
    </r>
    <r>
      <rPr>
        <sz val="14"/>
        <rFont val="Century Gothic"/>
        <scheme val="minor"/>
      </rPr>
      <t xml:space="preserve"> and</t>
    </r>
    <r>
      <rPr>
        <b/>
        <sz val="14"/>
        <rFont val="Century Gothic"/>
        <scheme val="minor"/>
      </rPr>
      <t xml:space="preserve"> blueprint</t>
    </r>
    <r>
      <rPr>
        <sz val="14"/>
        <rFont val="Century Gothic"/>
        <scheme val="minor"/>
      </rPr>
      <t xml:space="preserve"> for designing a concrete methodology for executing on your goals and aspirations.</t>
    </r>
  </si>
  <si>
    <r>
      <t xml:space="preserve">4. Don't be hard on yourself. By all means you can </t>
    </r>
    <r>
      <rPr>
        <b/>
        <sz val="14"/>
        <rFont val="Century Gothic"/>
        <scheme val="minor"/>
      </rPr>
      <t>start whenever</t>
    </r>
    <r>
      <rPr>
        <sz val="14"/>
        <rFont val="Century Gothic"/>
        <scheme val="minor"/>
      </rPr>
      <t xml:space="preserve"> you feel like it, just make the starting month (mine is always January) and month you wish and start when you are most comfortable, prepared, and ready to commit!</t>
    </r>
  </si>
  <si>
    <t>HELLO and WELCOME to my CALENDAR FOR SUCCESS 2017 EDITION!</t>
  </si>
  <si>
    <r>
      <t xml:space="preserve">It is my hope that sharing my </t>
    </r>
    <r>
      <rPr>
        <b/>
        <sz val="14"/>
        <color rgb="FF00B0F0"/>
        <rFont val="Century Gothic (Body)"/>
      </rPr>
      <t>PERSONAL CALENDAR for SUCCESS</t>
    </r>
    <r>
      <rPr>
        <sz val="14"/>
        <rFont val="Century Gothic"/>
        <scheme val="minor"/>
      </rPr>
      <t xml:space="preserve"> and for creating successful strategies and businesses is a blessing to you and proves to be the very thing you need to help you get started on your own journey. I have compiled a list of things to remember as you jump into the calendar and methodology for how I approach personal and professional goals year after year.</t>
    </r>
  </si>
  <si>
    <r>
      <t xml:space="preserve">3. I am </t>
    </r>
    <r>
      <rPr>
        <b/>
        <sz val="14"/>
        <rFont val="Century Gothic"/>
        <scheme val="minor"/>
      </rPr>
      <t>REALLY BIG ON BUILDING THINGS</t>
    </r>
    <r>
      <rPr>
        <sz val="14"/>
        <rFont val="Century Gothic"/>
        <scheme val="minor"/>
      </rPr>
      <t>, especially communities, so please don't forget to share with me all of your successes as you begin implementing the calendar in your day to day life. In fact, I welcome any suggestions or tips you have to contribute that may help me become better at using my instrument. After all love is not the only 2-way street, learning is too! #TheHustleMama</t>
    </r>
  </si>
  <si>
    <t>Stefany J. | The Hustle MAMA</t>
  </si>
  <si>
    <r>
      <t xml:space="preserve">6. Don't forget to get filled up by visiting my blog at </t>
    </r>
    <r>
      <rPr>
        <b/>
        <sz val="14"/>
        <rFont val="Century Gothic"/>
        <scheme val="minor"/>
      </rPr>
      <t>(www.thehustlemama.com)</t>
    </r>
    <r>
      <rPr>
        <sz val="14"/>
        <rFont val="Century Gothic"/>
        <scheme val="minor"/>
      </rPr>
      <t xml:space="preserve"> and subscribe to my magazine. Hustle Mama: The Magazine for Today's POWERHOUSE Woman of Noble Purpose at </t>
    </r>
    <r>
      <rPr>
        <b/>
        <sz val="14"/>
        <rFont val="Century Gothic"/>
        <scheme val="minor"/>
      </rPr>
      <t>(www.hustlemamamagazine.com)</t>
    </r>
  </si>
  <si>
    <r>
      <t xml:space="preserve">5. And last but certainly not least, I would always appreciate it if you would </t>
    </r>
    <r>
      <rPr>
        <b/>
        <sz val="14"/>
        <rFont val="Century Gothic"/>
        <scheme val="minor"/>
      </rPr>
      <t xml:space="preserve">share my website http://www.stefanyj.com </t>
    </r>
    <r>
      <rPr>
        <sz val="14"/>
        <rFont val="Century Gothic"/>
        <scheme val="minor"/>
      </rPr>
      <t>my school Hustle Mama University at</t>
    </r>
    <r>
      <rPr>
        <b/>
        <sz val="14"/>
        <rFont val="Century Gothic"/>
        <scheme val="minor"/>
      </rPr>
      <t xml:space="preserve"> http://www.hustlemamauniversity.com </t>
    </r>
    <r>
      <rPr>
        <sz val="14"/>
        <rFont val="Century Gothic"/>
        <scheme val="minor"/>
      </rPr>
      <t xml:space="preserve">and my social media with your friends, family, and consituents if you feel so inclined to do so. I have 2 handles on social media </t>
    </r>
    <r>
      <rPr>
        <b/>
        <sz val="14"/>
        <rFont val="Century Gothic"/>
        <scheme val="minor"/>
      </rPr>
      <t>@thehustlemama.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</si>
</sst>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d"/>
  </numFmts>
  <fonts count="34">
    <font>
      <sz val="11"/>
      <name val="Century Gothic"/>
      <family val="2"/>
      <scheme val="minor"/>
    </font>
    <font>
      <sz val="8"/>
      <name val="Arial"/>
      <family val="2"/>
    </font>
    <font>
      <b/>
      <sz val="11"/>
      <color theme="0"/>
      <name val="Century Gothic"/>
      <family val="2"/>
      <scheme val="minor"/>
    </font>
    <font>
      <sz val="11"/>
      <color theme="0"/>
      <name val="Century Gothic"/>
      <family val="2"/>
      <scheme val="minor"/>
    </font>
    <font>
      <sz val="11"/>
      <name val="Arial"/>
      <family val="2"/>
    </font>
    <font>
      <sz val="11"/>
      <name val="Century Gothic"/>
      <family val="2"/>
    </font>
    <font>
      <sz val="11"/>
      <name val="Century Gothic"/>
      <family val="2"/>
      <scheme val="minor"/>
    </font>
    <font>
      <sz val="11"/>
      <color theme="1" tint="0.249977111117893"/>
      <name val="Arial"/>
      <family val="2"/>
    </font>
    <font>
      <sz val="11"/>
      <color theme="1" tint="0.249977111117893"/>
      <name val="Century Gothic"/>
      <family val="2"/>
      <scheme val="minor"/>
    </font>
    <font>
      <b/>
      <sz val="28"/>
      <color theme="1" tint="0.34998626667073579"/>
      <name val="Century Gothic"/>
      <family val="2"/>
      <scheme val="minor"/>
    </font>
    <font>
      <b/>
      <sz val="14"/>
      <color theme="0"/>
      <name val="Century Gothic"/>
      <family val="2"/>
      <scheme val="minor"/>
    </font>
    <font>
      <sz val="14"/>
      <color theme="1" tint="0.34998626667073579"/>
      <name val="Century Gothic"/>
      <family val="2"/>
      <scheme val="minor"/>
    </font>
    <font>
      <sz val="10"/>
      <color theme="1" tint="0.249977111117893"/>
      <name val="Century Gothic"/>
      <family val="2"/>
      <scheme val="minor"/>
    </font>
    <font>
      <sz val="14"/>
      <color theme="1" tint="0.249977111117893"/>
      <name val="Century Gothic"/>
      <family val="2"/>
      <scheme val="minor"/>
    </font>
    <font>
      <b/>
      <sz val="9"/>
      <color indexed="81"/>
      <name val="Geneva"/>
    </font>
    <font>
      <b/>
      <sz val="10"/>
      <color theme="1" tint="0.249977111117893"/>
      <name val="Century Gothic"/>
      <scheme val="minor"/>
    </font>
    <font>
      <sz val="9"/>
      <color indexed="81"/>
      <name val="Century Gothic"/>
      <family val="2"/>
    </font>
    <font>
      <u/>
      <sz val="11"/>
      <color theme="10"/>
      <name val="Century Gothic"/>
      <family val="2"/>
      <scheme val="minor"/>
    </font>
    <font>
      <u/>
      <sz val="11"/>
      <color theme="11"/>
      <name val="Century Gothic"/>
      <family val="2"/>
      <scheme val="minor"/>
    </font>
    <font>
      <sz val="12"/>
      <color indexed="81"/>
      <name val="Century Gothic"/>
    </font>
    <font>
      <sz val="11"/>
      <color indexed="81"/>
      <name val="Century Gothic"/>
    </font>
    <font>
      <u/>
      <sz val="11"/>
      <color indexed="81"/>
      <name val="Geneva"/>
    </font>
    <font>
      <sz val="11"/>
      <color indexed="81"/>
      <name val="Geneva"/>
    </font>
    <font>
      <sz val="14"/>
      <color indexed="81"/>
      <name val="Century Gothic"/>
    </font>
    <font>
      <sz val="9"/>
      <color theme="1" tint="0.249977111117893"/>
      <name val="Century Gothic"/>
      <scheme val="minor"/>
    </font>
    <font>
      <b/>
      <sz val="14"/>
      <name val="Century Gothic"/>
      <scheme val="minor"/>
    </font>
    <font>
      <b/>
      <sz val="20"/>
      <name val="Century Gothic"/>
      <scheme val="minor"/>
    </font>
    <font>
      <sz val="14"/>
      <name val="Century Gothic"/>
      <scheme val="minor"/>
    </font>
    <font>
      <b/>
      <sz val="14"/>
      <color rgb="FF00B0F0"/>
      <name val="Century Gothic (Body)"/>
    </font>
    <font>
      <sz val="8"/>
      <name val="Century Gothic"/>
      <family val="2"/>
      <scheme val="minor"/>
    </font>
    <font>
      <sz val="20"/>
      <name val="Century Gothic"/>
      <family val="2"/>
      <scheme val="minor"/>
    </font>
    <font>
      <sz val="12"/>
      <color rgb="FF000000"/>
      <name val="Geneva"/>
    </font>
    <font>
      <sz val="12"/>
      <color rgb="FF000000"/>
      <name val="Century Gothic"/>
    </font>
    <font>
      <sz val="9"/>
      <color rgb="FF000000"/>
      <name val="Century Gothic"/>
      <family val="2"/>
    </font>
  </fonts>
  <fills count="7">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4"/>
      </patternFill>
    </fill>
    <fill>
      <patternFill patternType="solid">
        <fgColor theme="4" tint="0.59999389629810485"/>
        <bgColor indexed="65"/>
      </patternFill>
    </fill>
    <fill>
      <patternFill patternType="solid">
        <fgColor theme="8"/>
      </patternFill>
    </fill>
  </fills>
  <borders count="22">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bottom style="thin">
        <color theme="4" tint="0.39994506668294322"/>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style="medium">
        <color theme="4" tint="-0.24994659260841701"/>
      </left>
      <right style="thin">
        <color theme="4" tint="0.39994506668294322"/>
      </right>
      <top style="thin">
        <color theme="4" tint="0.39994506668294322"/>
      </top>
      <bottom style="thin">
        <color theme="4" tint="0.39994506668294322"/>
      </bottom>
      <diagonal/>
    </border>
    <border>
      <left style="thin">
        <color theme="4" tint="0.39994506668294322"/>
      </left>
      <right style="medium">
        <color theme="4" tint="-0.24994659260841701"/>
      </right>
      <top style="thin">
        <color theme="4" tint="0.39994506668294322"/>
      </top>
      <bottom style="thin">
        <color theme="4" tint="0.39994506668294322"/>
      </bottom>
      <diagonal/>
    </border>
    <border>
      <left style="thin">
        <color theme="4" tint="0.39994506668294322"/>
      </left>
      <right style="medium">
        <color theme="4" tint="-0.24994659260841701"/>
      </right>
      <top/>
      <bottom style="thin">
        <color theme="4" tint="0.39994506668294322"/>
      </bottom>
      <diagonal/>
    </border>
    <border>
      <left style="medium">
        <color theme="4" tint="-0.24994659260841701"/>
      </left>
      <right style="thin">
        <color theme="4" tint="0.39994506668294322"/>
      </right>
      <top style="thin">
        <color theme="4" tint="0.39994506668294322"/>
      </top>
      <bottom style="medium">
        <color theme="4" tint="-0.24994659260841701"/>
      </bottom>
      <diagonal/>
    </border>
    <border>
      <left style="thin">
        <color theme="4" tint="0.39994506668294322"/>
      </left>
      <right style="thin">
        <color theme="4" tint="0.39994506668294322"/>
      </right>
      <top style="thin">
        <color theme="4" tint="0.39994506668294322"/>
      </top>
      <bottom style="medium">
        <color theme="4" tint="-0.24994659260841701"/>
      </bottom>
      <diagonal/>
    </border>
    <border>
      <left style="medium">
        <color theme="4" tint="-0.24994659260841701"/>
      </left>
      <right style="thin">
        <color theme="4" tint="0.39994506668294322"/>
      </right>
      <top style="medium">
        <color theme="4" tint="-0.24994659260841701"/>
      </top>
      <bottom/>
      <diagonal/>
    </border>
    <border>
      <left style="thin">
        <color theme="4" tint="0.39994506668294322"/>
      </left>
      <right style="thin">
        <color theme="4" tint="0.39994506668294322"/>
      </right>
      <top style="medium">
        <color theme="4" tint="-0.24994659260841701"/>
      </top>
      <bottom/>
      <diagonal/>
    </border>
    <border>
      <left style="thin">
        <color theme="4" tint="0.39994506668294322"/>
      </left>
      <right style="medium">
        <color theme="4" tint="-0.24994659260841701"/>
      </right>
      <top style="medium">
        <color theme="4" tint="-0.24994659260841701"/>
      </top>
      <bottom/>
      <diagonal/>
    </border>
    <border>
      <left style="medium">
        <color theme="4" tint="-0.24994659260841701"/>
      </left>
      <right style="thin">
        <color theme="4" tint="0.39994506668294322"/>
      </right>
      <top style="medium">
        <color theme="4" tint="-0.24994659260841701"/>
      </top>
      <bottom style="thin">
        <color theme="4" tint="0.39994506668294322"/>
      </bottom>
      <diagonal/>
    </border>
    <border>
      <left style="thin">
        <color theme="4" tint="0.39994506668294322"/>
      </left>
      <right style="thin">
        <color theme="4" tint="0.39994506668294322"/>
      </right>
      <top style="medium">
        <color theme="4" tint="-0.24994659260841701"/>
      </top>
      <bottom style="thin">
        <color theme="4" tint="0.39994506668294322"/>
      </bottom>
      <diagonal/>
    </border>
    <border>
      <left style="thin">
        <color theme="4" tint="0.39994506668294322"/>
      </left>
      <right style="medium">
        <color theme="4" tint="-0.24994659260841701"/>
      </right>
      <top style="medium">
        <color theme="4" tint="-0.24994659260841701"/>
      </top>
      <bottom style="thin">
        <color theme="4" tint="0.39994506668294322"/>
      </bottom>
      <diagonal/>
    </border>
    <border>
      <left style="medium">
        <color theme="4" tint="-0.24994659260841701"/>
      </left>
      <right style="thin">
        <color theme="4" tint="0.39994506668294322"/>
      </right>
      <top/>
      <bottom style="thin">
        <color theme="4" tint="0.39994506668294322"/>
      </bottom>
      <diagonal/>
    </border>
    <border>
      <left style="thin">
        <color theme="4" tint="0.39994506668294322"/>
      </left>
      <right/>
      <top style="thin">
        <color theme="4" tint="0.39994506668294322"/>
      </top>
      <bottom style="medium">
        <color theme="4" tint="-0.24994659260841701"/>
      </bottom>
      <diagonal/>
    </border>
    <border>
      <left/>
      <right/>
      <top style="thin">
        <color theme="4" tint="0.39994506668294322"/>
      </top>
      <bottom style="medium">
        <color theme="4" tint="-0.24994659260841701"/>
      </bottom>
      <diagonal/>
    </border>
    <border>
      <left/>
      <right style="medium">
        <color theme="4" tint="-0.24994659260841701"/>
      </right>
      <top style="thin">
        <color theme="4" tint="0.39994506668294322"/>
      </top>
      <bottom style="medium">
        <color theme="4" tint="-0.24994659260841701"/>
      </bottom>
      <diagonal/>
    </border>
    <border>
      <left style="medium">
        <color theme="4" tint="-0.24994659260841701"/>
      </left>
      <right/>
      <top style="thin">
        <color theme="4" tint="0.39994506668294322"/>
      </top>
      <bottom style="medium">
        <color theme="4" tint="-0.24994659260841701"/>
      </bottom>
      <diagonal/>
    </border>
  </borders>
  <cellStyleXfs count="13">
    <xf numFmtId="0" fontId="0" fillId="0" borderId="0"/>
    <xf numFmtId="0" fontId="9" fillId="0" borderId="0" applyNumberFormat="0" applyFill="0" applyAlignment="0" applyProtection="0"/>
    <xf numFmtId="0" fontId="2" fillId="4" borderId="1" applyNumberFormat="0" applyAlignment="0" applyProtection="0"/>
    <xf numFmtId="0" fontId="11" fillId="5" borderId="0" applyNumberFormat="0" applyBorder="0" applyAlignment="0" applyProtection="0"/>
    <xf numFmtId="0" fontId="10" fillId="6" borderId="3" applyNumberFormat="0" applyProtection="0">
      <alignment vertical="center"/>
    </xf>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54">
    <xf numFmtId="0" fontId="0" fillId="0" borderId="0" xfId="0"/>
    <xf numFmtId="0" fontId="4" fillId="2" borderId="0" xfId="0" applyFont="1" applyFill="1"/>
    <xf numFmtId="0" fontId="5" fillId="2" borderId="0" xfId="0" applyFont="1" applyFill="1"/>
    <xf numFmtId="0" fontId="5" fillId="0" borderId="0" xfId="0" applyFont="1"/>
    <xf numFmtId="0" fontId="4" fillId="0" borderId="0" xfId="0" applyFont="1"/>
    <xf numFmtId="165" fontId="8" fillId="0" borderId="1" xfId="0" applyNumberFormat="1" applyFont="1" applyFill="1" applyBorder="1" applyAlignment="1">
      <alignment horizontal="left" vertical="center" wrapText="1" indent="1"/>
    </xf>
    <xf numFmtId="165" fontId="8" fillId="2" borderId="1" xfId="0" applyNumberFormat="1" applyFont="1" applyFill="1" applyBorder="1" applyAlignment="1">
      <alignment horizontal="left" vertical="center" wrapText="1" indent="1"/>
    </xf>
    <xf numFmtId="0" fontId="11" fillId="5" borderId="4" xfId="3" applyBorder="1" applyAlignment="1">
      <alignment horizontal="right" vertical="center" wrapText="1"/>
    </xf>
    <xf numFmtId="0" fontId="11" fillId="5" borderId="5" xfId="3" applyBorder="1" applyAlignment="1">
      <alignment vertical="center"/>
    </xf>
    <xf numFmtId="165" fontId="7" fillId="0" borderId="6" xfId="0" applyNumberFormat="1" applyFont="1" applyBorder="1" applyAlignment="1">
      <alignment horizontal="left" vertical="center" indent="1"/>
    </xf>
    <xf numFmtId="165" fontId="8" fillId="0" borderId="7" xfId="0" applyNumberFormat="1" applyFont="1" applyFill="1" applyBorder="1" applyAlignment="1">
      <alignment horizontal="left" vertical="center" wrapText="1" indent="1"/>
    </xf>
    <xf numFmtId="165" fontId="8" fillId="0" borderId="6" xfId="0" applyNumberFormat="1" applyFont="1" applyFill="1" applyBorder="1" applyAlignment="1">
      <alignment horizontal="left" vertical="center" wrapText="1" indent="1"/>
    </xf>
    <xf numFmtId="165" fontId="8" fillId="2" borderId="6" xfId="0" applyNumberFormat="1" applyFont="1" applyFill="1" applyBorder="1" applyAlignment="1">
      <alignment horizontal="left" vertical="center" wrapText="1" indent="1"/>
    </xf>
    <xf numFmtId="165" fontId="8" fillId="2" borderId="7" xfId="0" applyNumberFormat="1" applyFont="1" applyFill="1" applyBorder="1" applyAlignment="1">
      <alignment horizontal="left" vertical="center" wrapText="1" indent="1"/>
    </xf>
    <xf numFmtId="0" fontId="8" fillId="0" borderId="10" xfId="0" applyFont="1" applyFill="1" applyBorder="1" applyAlignment="1">
      <alignment horizontal="left" vertical="center" wrapText="1" indent="1"/>
    </xf>
    <xf numFmtId="0" fontId="2" fillId="4" borderId="11" xfId="2" applyBorder="1" applyAlignment="1">
      <alignment horizontal="center" vertical="center"/>
    </xf>
    <xf numFmtId="0" fontId="2" fillId="4" borderId="12" xfId="2" applyBorder="1" applyAlignment="1">
      <alignment horizontal="center" vertical="center"/>
    </xf>
    <xf numFmtId="0" fontId="2" fillId="4" borderId="13" xfId="2" applyBorder="1" applyAlignment="1">
      <alignment horizontal="center" vertical="center"/>
    </xf>
    <xf numFmtId="0" fontId="2" fillId="4" borderId="14" xfId="2" applyBorder="1" applyAlignment="1">
      <alignment horizontal="center" vertical="center"/>
    </xf>
    <xf numFmtId="0" fontId="2" fillId="4" borderId="15" xfId="2" applyBorder="1" applyAlignment="1">
      <alignment horizontal="center" vertical="center"/>
    </xf>
    <xf numFmtId="0" fontId="2" fillId="4" borderId="16" xfId="2" applyBorder="1" applyAlignment="1">
      <alignment horizontal="center" vertical="center"/>
    </xf>
    <xf numFmtId="0" fontId="4" fillId="0" borderId="0" xfId="0" applyFont="1"/>
    <xf numFmtId="0" fontId="6" fillId="0" borderId="0" xfId="0" applyFont="1"/>
    <xf numFmtId="0" fontId="6" fillId="0" borderId="0" xfId="0" applyFont="1" applyFill="1"/>
    <xf numFmtId="165" fontId="8" fillId="2" borderId="2" xfId="0" applyNumberFormat="1" applyFont="1" applyFill="1" applyBorder="1" applyAlignment="1">
      <alignment horizontal="left" vertical="center" wrapText="1" indent="1"/>
    </xf>
    <xf numFmtId="0" fontId="12" fillId="0" borderId="1" xfId="0" applyFont="1" applyFill="1" applyBorder="1" applyAlignment="1">
      <alignment horizontal="left" vertical="center" wrapText="1" indent="1"/>
    </xf>
    <xf numFmtId="0" fontId="12" fillId="2" borderId="1" xfId="0" applyFont="1" applyFill="1" applyBorder="1" applyAlignment="1">
      <alignment horizontal="left" vertical="center" wrapText="1" indent="1"/>
    </xf>
    <xf numFmtId="0" fontId="12" fillId="0" borderId="10" xfId="0" applyFont="1" applyFill="1" applyBorder="1" applyAlignment="1">
      <alignment horizontal="left" vertical="center" wrapText="1" indent="1"/>
    </xf>
    <xf numFmtId="165" fontId="8" fillId="2" borderId="17" xfId="0" applyNumberFormat="1" applyFont="1" applyFill="1" applyBorder="1" applyAlignment="1">
      <alignment horizontal="left" vertical="center" wrapText="1" indent="1"/>
    </xf>
    <xf numFmtId="0" fontId="12" fillId="5" borderId="6" xfId="3" applyFont="1" applyBorder="1" applyAlignment="1">
      <alignment horizontal="left" vertical="center" wrapText="1" indent="1"/>
    </xf>
    <xf numFmtId="0" fontId="12" fillId="5" borderId="7" xfId="3" applyFont="1" applyBorder="1" applyAlignment="1">
      <alignment horizontal="left" vertical="center" wrapText="1" indent="1"/>
    </xf>
    <xf numFmtId="0" fontId="12" fillId="5" borderId="9" xfId="3" applyFont="1" applyBorder="1" applyAlignment="1">
      <alignment horizontal="left" vertical="center" wrapText="1" indent="1"/>
    </xf>
    <xf numFmtId="0" fontId="13" fillId="5" borderId="9" xfId="3" applyFont="1" applyBorder="1" applyAlignment="1">
      <alignment horizontal="left" vertical="center" wrapText="1" indent="1"/>
    </xf>
    <xf numFmtId="0" fontId="12" fillId="3" borderId="6" xfId="0" applyFont="1" applyFill="1" applyBorder="1" applyAlignment="1">
      <alignment horizontal="left" vertical="center" wrapText="1" indent="1"/>
    </xf>
    <xf numFmtId="0" fontId="15" fillId="5" borderId="6" xfId="3" applyFont="1" applyBorder="1" applyAlignment="1">
      <alignment horizontal="left" vertical="center" wrapText="1" indent="1"/>
    </xf>
    <xf numFmtId="0" fontId="0" fillId="0" borderId="0" xfId="0" applyFont="1"/>
    <xf numFmtId="0" fontId="15" fillId="0" borderId="1" xfId="0" applyFont="1" applyFill="1" applyBorder="1" applyAlignment="1">
      <alignment horizontal="left" vertical="center" wrapText="1" indent="1"/>
    </xf>
    <xf numFmtId="0" fontId="0" fillId="0" borderId="0" xfId="0" applyAlignment="1">
      <alignment wrapText="1"/>
    </xf>
    <xf numFmtId="0" fontId="25" fillId="0" borderId="0" xfId="0" applyFont="1" applyAlignment="1">
      <alignment wrapText="1"/>
    </xf>
    <xf numFmtId="17" fontId="26" fillId="0" borderId="0" xfId="0" applyNumberFormat="1" applyFont="1" applyAlignment="1">
      <alignment horizontal="center" wrapText="1"/>
    </xf>
    <xf numFmtId="0" fontId="27" fillId="0" borderId="0" xfId="0" applyFont="1" applyAlignment="1">
      <alignment wrapText="1"/>
    </xf>
    <xf numFmtId="0" fontId="30" fillId="0" borderId="0" xfId="0" applyFont="1"/>
    <xf numFmtId="164" fontId="9" fillId="2" borderId="0" xfId="1" applyNumberFormat="1" applyFill="1" applyAlignment="1">
      <alignment horizontal="center" vertical="center"/>
    </xf>
    <xf numFmtId="0" fontId="3" fillId="4" borderId="18" xfId="2" applyFont="1" applyBorder="1" applyAlignment="1">
      <alignment horizontal="left" vertical="center" wrapText="1"/>
    </xf>
    <xf numFmtId="0" fontId="3" fillId="4" borderId="19" xfId="2" applyFont="1" applyBorder="1" applyAlignment="1">
      <alignment horizontal="left" vertical="center" wrapText="1"/>
    </xf>
    <xf numFmtId="0" fontId="3" fillId="4" borderId="20" xfId="2" applyFont="1" applyBorder="1" applyAlignment="1">
      <alignment horizontal="left" vertical="center" wrapText="1"/>
    </xf>
    <xf numFmtId="165" fontId="2" fillId="4" borderId="2" xfId="2" applyNumberFormat="1" applyBorder="1" applyAlignment="1">
      <alignment horizontal="left" vertical="center" wrapText="1"/>
    </xf>
    <xf numFmtId="165" fontId="2" fillId="4" borderId="8" xfId="2" applyNumberFormat="1" applyBorder="1" applyAlignment="1">
      <alignment horizontal="left" vertical="center" wrapText="1"/>
    </xf>
    <xf numFmtId="0" fontId="3" fillId="4" borderId="21" xfId="2" applyFont="1" applyBorder="1" applyAlignment="1">
      <alignment horizontal="left" vertical="center" wrapText="1"/>
    </xf>
    <xf numFmtId="165" fontId="2" fillId="4" borderId="6" xfId="2" applyNumberFormat="1" applyFont="1" applyBorder="1" applyAlignment="1">
      <alignment horizontal="left" vertical="center" wrapText="1"/>
    </xf>
    <xf numFmtId="165" fontId="2" fillId="4" borderId="1" xfId="2" applyNumberFormat="1" applyFont="1" applyBorder="1" applyAlignment="1">
      <alignment horizontal="left" vertical="center" wrapText="1"/>
    </xf>
    <xf numFmtId="165" fontId="2" fillId="4" borderId="7" xfId="2" applyNumberFormat="1" applyFont="1" applyBorder="1" applyAlignment="1">
      <alignment horizontal="left" vertical="center" wrapText="1"/>
    </xf>
    <xf numFmtId="165" fontId="2" fillId="4" borderId="1" xfId="2" applyNumberFormat="1" applyBorder="1" applyAlignment="1">
      <alignment horizontal="left" vertical="center" wrapText="1"/>
    </xf>
    <xf numFmtId="165" fontId="2" fillId="4" borderId="7" xfId="2" applyNumberFormat="1" applyBorder="1" applyAlignment="1">
      <alignment horizontal="left" vertical="center" wrapText="1"/>
    </xf>
  </cellXfs>
  <cellStyles count="13">
    <cellStyle name="40% - Accent1" xfId="3" builtinId="31" customBuiltin="1"/>
    <cellStyle name="Accent1" xfId="2" builtinId="29" customBuiltin="1"/>
    <cellStyle name="Accent5" xfId="4" builtinId="45" customBuiltin="1"/>
    <cellStyle name="Followed Hyperlink" xfId="6" builtinId="9" hidden="1"/>
    <cellStyle name="Followed Hyperlink" xfId="8" builtinId="9" hidden="1"/>
    <cellStyle name="Followed Hyperlink" xfId="10" builtinId="9" hidden="1"/>
    <cellStyle name="Followed Hyperlink" xfId="12" builtinId="9" hidden="1"/>
    <cellStyle name="Heading 1" xfId="1" builtinId="16" customBuiltin="1"/>
    <cellStyle name="Hyperlink" xfId="5" builtinId="8" hidden="1"/>
    <cellStyle name="Hyperlink" xfId="7" builtinId="8" hidden="1"/>
    <cellStyle name="Hyperlink" xfId="9" builtinId="8" hidden="1"/>
    <cellStyle name="Hyperlink" xfId="11" builtinId="8" hidden="1"/>
    <cellStyle name="Normal" xfId="0" builtinId="0" customBuiltin="1"/>
  </cellStyles>
  <dxfs count="3">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1F2F5"/>
      <rgbColor rgb="00008080"/>
      <rgbColor rgb="00E4EAF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4265"/>
      <rgbColor rgb="00CCFFCC"/>
      <rgbColor rgb="00FFEECD"/>
      <rgbColor rgb="00D0D8E2"/>
      <rgbColor rgb="00FF99CC"/>
      <rgbColor rgb="00CC99FF"/>
      <rgbColor rgb="00FFCC99"/>
      <rgbColor rgb="003366FF"/>
      <rgbColor rgb="0033CCCC"/>
      <rgbColor rgb="0099CC00"/>
      <rgbColor rgb="00FFCC00"/>
      <rgbColor rgb="00FF9900"/>
      <rgbColor rgb="00FF6600"/>
      <rgbColor rgb="00717789"/>
      <rgbColor rgb="00969696"/>
      <rgbColor rgb="00003366"/>
      <rgbColor rgb="00339966"/>
      <rgbColor rgb="00003300"/>
      <rgbColor rgb="00333300"/>
      <rgbColor rgb="00993300"/>
      <rgbColor rgb="00993366"/>
      <rgbColor rgb="00333399"/>
      <rgbColor rgb="004B4B4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10</xdr:col>
      <xdr:colOff>749300</xdr:colOff>
      <xdr:row>19</xdr:row>
      <xdr:rowOff>241300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800" y="50800"/>
          <a:ext cx="8953500" cy="6223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YearLookup" displayName="YearLookup" ref="A1:A9" totalsRowShown="0" headerRowDxfId="2" dataDxfId="1">
  <autoFilter ref="A1:A9" xr:uid="{00000000-0009-0000-0100-000001000000}"/>
  <tableColumns count="1">
    <tableColumn id="1" xr3:uid="{00000000-0010-0000-0000-000001000000}" name="Year" dataDxfId="0"/>
  </tableColumns>
  <tableStyleInfo name="TableStyleMedium23"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pothecary">
  <a:themeElements>
    <a:clrScheme name="Apothecary">
      <a:dk1>
        <a:sysClr val="windowText" lastClr="000000"/>
      </a:dk1>
      <a:lt1>
        <a:sysClr val="window" lastClr="FFFFFF"/>
      </a:lt1>
      <a:dk2>
        <a:srgbClr val="564B3C"/>
      </a:dk2>
      <a:lt2>
        <a:srgbClr val="ECEDD1"/>
      </a:lt2>
      <a:accent1>
        <a:srgbClr val="93A299"/>
      </a:accent1>
      <a:accent2>
        <a:srgbClr val="CF543F"/>
      </a:accent2>
      <a:accent3>
        <a:srgbClr val="B5AE53"/>
      </a:accent3>
      <a:accent4>
        <a:srgbClr val="848058"/>
      </a:accent4>
      <a:accent5>
        <a:srgbClr val="E8B54D"/>
      </a:accent5>
      <a:accent6>
        <a:srgbClr val="786C71"/>
      </a:accent6>
      <a:hlink>
        <a:srgbClr val="CCCC00"/>
      </a:hlink>
      <a:folHlink>
        <a:srgbClr val="B2B2B2"/>
      </a:folHlink>
    </a:clrScheme>
    <a:fontScheme name="Calendar">
      <a:majorFont>
        <a:latin typeface="Century Gothic"/>
        <a:ea typeface=""/>
        <a:cs typeface=""/>
      </a:majorFont>
      <a:minorFont>
        <a:latin typeface="Century Gothic"/>
        <a:ea typeface=""/>
        <a:cs typeface=""/>
      </a:minorFont>
    </a:fontScheme>
    <a:fmtScheme name="Apothecary">
      <a:fillStyleLst>
        <a:solidFill>
          <a:schemeClr val="phClr"/>
        </a:solidFill>
        <a:gradFill rotWithShape="1">
          <a:gsLst>
            <a:gs pos="0">
              <a:schemeClr val="phClr">
                <a:tint val="1000"/>
                <a:satMod val="100000"/>
              </a:schemeClr>
            </a:gs>
            <a:gs pos="68000">
              <a:schemeClr val="phClr">
                <a:tint val="77000"/>
                <a:satMod val="100000"/>
              </a:schemeClr>
            </a:gs>
            <a:gs pos="81000">
              <a:schemeClr val="phClr">
                <a:tint val="79000"/>
                <a:satMod val="100000"/>
              </a:schemeClr>
            </a:gs>
            <a:gs pos="86000">
              <a:schemeClr val="phClr">
                <a:tint val="73000"/>
                <a:satMod val="100000"/>
              </a:schemeClr>
            </a:gs>
            <a:gs pos="100000">
              <a:schemeClr val="phClr">
                <a:tint val="35000"/>
                <a:satMod val="100000"/>
              </a:schemeClr>
            </a:gs>
          </a:gsLst>
          <a:lin ang="5400000" scaled="0"/>
        </a:gradFill>
        <a:gradFill rotWithShape="1">
          <a:gsLst>
            <a:gs pos="0">
              <a:schemeClr val="phClr">
                <a:tint val="73000"/>
                <a:shade val="100000"/>
                <a:satMod val="150000"/>
              </a:schemeClr>
            </a:gs>
            <a:gs pos="25000">
              <a:schemeClr val="phClr">
                <a:tint val="96000"/>
                <a:shade val="80000"/>
                <a:satMod val="105000"/>
              </a:schemeClr>
            </a:gs>
            <a:gs pos="38000">
              <a:schemeClr val="phClr">
                <a:tint val="96000"/>
                <a:shade val="59000"/>
                <a:satMod val="120000"/>
              </a:schemeClr>
            </a:gs>
            <a:gs pos="55000">
              <a:schemeClr val="phClr">
                <a:tint val="100000"/>
                <a:shade val="57000"/>
                <a:satMod val="120000"/>
              </a:schemeClr>
            </a:gs>
            <a:gs pos="80000">
              <a:schemeClr val="phClr">
                <a:tint val="100000"/>
                <a:shade val="56000"/>
                <a:satMod val="145000"/>
              </a:schemeClr>
            </a:gs>
            <a:gs pos="88000">
              <a:schemeClr val="phClr">
                <a:tint val="100000"/>
                <a:shade val="63000"/>
                <a:satMod val="160000"/>
              </a:schemeClr>
            </a:gs>
            <a:gs pos="100000">
              <a:schemeClr val="phClr">
                <a:tint val="99000"/>
                <a:shade val="100000"/>
                <a:satMod val="155000"/>
              </a:schemeClr>
            </a:gs>
          </a:gsLst>
          <a:lin ang="54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scene3d>
            <a:camera prst="orthographicFront">
              <a:rot lat="0" lon="0" rev="0"/>
            </a:camera>
            <a:lightRig rig="glow" dir="tl">
              <a:rot lat="0" lon="0" rev="1800000"/>
            </a:lightRig>
          </a:scene3d>
          <a:sp3d contourW="10160" prstMaterial="dkEdge">
            <a:bevelT w="0" h="0" prst="angle"/>
            <a:contourClr>
              <a:schemeClr val="phClr">
                <a:shade val="30000"/>
                <a:satMod val="150000"/>
              </a:schemeClr>
            </a:contourClr>
          </a:sp3d>
        </a:effectStyle>
        <a:effectStyle>
          <a:effectLst>
            <a:glow rad="50800">
              <a:schemeClr val="phClr">
                <a:tint val="68000"/>
                <a:shade val="93000"/>
                <a:alpha val="37000"/>
                <a:satMod val="250000"/>
              </a:schemeClr>
            </a:glow>
          </a:effectLst>
          <a:scene3d>
            <a:camera prst="orthographicFront">
              <a:rot lat="0" lon="0" rev="0"/>
            </a:camera>
            <a:lightRig rig="glow" dir="t">
              <a:rot lat="0" lon="0" rev="1800000"/>
            </a:lightRig>
          </a:scene3d>
          <a:sp3d contourW="10160" prstMaterial="dkEdge">
            <a:bevelT w="20320" h="19050" prst="angle"/>
            <a:contourClr>
              <a:schemeClr val="phClr">
                <a:shade val="30000"/>
                <a:satMod val="150000"/>
              </a:schemeClr>
            </a:contourClr>
          </a:sp3d>
        </a:effectStyle>
      </a:effectStyleLst>
      <a:bgFillStyleLst>
        <a:solidFill>
          <a:schemeClr val="phClr"/>
        </a:solidFill>
        <a:solidFill>
          <a:schemeClr val="phClr">
            <a:tint val="93000"/>
            <a:satMod val="140000"/>
          </a:schemeClr>
        </a:solidFill>
        <a:blipFill rotWithShape="1">
          <a:blip xmlns:r="http://schemas.openxmlformats.org/officeDocument/2006/relationships" r:embed="rId1">
            <a:duotone>
              <a:schemeClr val="phClr">
                <a:tint val="70000"/>
                <a:satMod val="170000"/>
              </a:schemeClr>
              <a:schemeClr val="phClr">
                <a:shade val="70000"/>
                <a:satMod val="13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table" Target="../tables/table1.xml"/><Relationship Id="rId1" Type="http://schemas.openxmlformats.org/officeDocument/2006/relationships/vmlDrawing" Target="../drawings/vmlDrawing8.v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customProperty" Target="../customProperty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M5" sqref="M5"/>
    </sheetView>
  </sheetViews>
  <sheetFormatPr baseColWidth="10" defaultRowHeight="25"/>
  <cols>
    <col min="1" max="16384" width="10.83203125" style="41"/>
  </cols>
  <sheetData/>
  <phoneticPr fontId="29" type="noConversion"/>
  <pageMargins left="0.7" right="0.7" top="0.75" bottom="0.75" header="0.3" footer="0.3"/>
  <pageSetup orientation="landscape"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14"/>
  <sheetViews>
    <sheetView showGridLines="0" workbookViewId="0">
      <selection activeCell="J4" sqref="J4"/>
    </sheetView>
  </sheetViews>
  <sheetFormatPr baseColWidth="10" defaultColWidth="8.6640625" defaultRowHeight="14"/>
  <cols>
    <col min="1" max="1" width="2.5" style="1" customWidth="1"/>
    <col min="2" max="8" width="17.5" style="4" customWidth="1"/>
    <col min="9" max="16384" width="8.6640625" style="4"/>
  </cols>
  <sheetData>
    <row r="1" spans="1:8" s="1" customFormat="1" ht="59.25" customHeight="1" thickBot="1">
      <c r="B1" s="42">
        <f>DATE(CalendarYear,8,1)</f>
        <v>44409</v>
      </c>
      <c r="C1" s="42"/>
      <c r="D1" s="42"/>
      <c r="E1" s="42"/>
      <c r="F1" s="42"/>
      <c r="G1" s="42"/>
      <c r="H1" s="42"/>
    </row>
    <row r="2" spans="1:8" s="3" customFormat="1" ht="21.75" customHeight="1">
      <c r="A2" s="2"/>
      <c r="B2" s="18" t="s">
        <v>0</v>
      </c>
      <c r="C2" s="19" t="s">
        <v>1</v>
      </c>
      <c r="D2" s="19" t="s">
        <v>2</v>
      </c>
      <c r="E2" s="19" t="s">
        <v>3</v>
      </c>
      <c r="F2" s="19" t="s">
        <v>4</v>
      </c>
      <c r="G2" s="19" t="s">
        <v>5</v>
      </c>
      <c r="H2" s="20" t="s">
        <v>6</v>
      </c>
    </row>
    <row r="3" spans="1:8" ht="14" customHeight="1">
      <c r="B3" s="9">
        <f>IF(AND(YEAR(AugSun1)=CalendarYear,MONTH(AugSun1)=8),AugSun1, "")</f>
        <v>44409</v>
      </c>
      <c r="C3" s="5">
        <f>IF(AND(YEAR(AugSun1+1)=CalendarYear,MONTH(AugSun1+1)=8),AugSun1+1, "")</f>
        <v>44410</v>
      </c>
      <c r="D3" s="5">
        <f>IF(AND(YEAR(AugSun1+2)=CalendarYear,MONTH(AugSun1+2)=8),AugSun1+2, "")</f>
        <v>44411</v>
      </c>
      <c r="E3" s="5">
        <f>IF(AND(YEAR(AugSun1+3)=CalendarYear,MONTH(AugSun1+3)=8),AugSun1+3, "")</f>
        <v>44412</v>
      </c>
      <c r="F3" s="5">
        <f>IF(AND(YEAR(AugSun1+4)=CalendarYear,MONTH(AugSun1+4)=8),AugSun1+4, "")</f>
        <v>44413</v>
      </c>
      <c r="G3" s="5">
        <f>IF(AND(YEAR(AugSun1+5)=CalendarYear,MONTH(AugSun1+5)=8),AugSun1+5, "")</f>
        <v>44414</v>
      </c>
      <c r="H3" s="10">
        <f>IF(AND(YEAR(AugSun1+6)=CalendarYear,MONTH(AugSun1+6)=8),AugSun1+6, "")</f>
        <v>44415</v>
      </c>
    </row>
    <row r="4" spans="1:8" ht="58" customHeight="1">
      <c r="B4" s="29" t="s">
        <v>59</v>
      </c>
      <c r="C4" s="25"/>
      <c r="D4" s="26"/>
      <c r="E4" s="26"/>
      <c r="F4" s="26"/>
      <c r="G4" s="26"/>
      <c r="H4" s="30"/>
    </row>
    <row r="5" spans="1:8" ht="14" customHeight="1">
      <c r="B5" s="11">
        <f>IF(AND(YEAR(AugSun1+7)=CalendarYear,MONTH(AugSun1+7)=8),AugSun1+7, "")</f>
        <v>44416</v>
      </c>
      <c r="C5" s="5">
        <f>IF(AND(YEAR(AugSun1+8)=CalendarYear,MONTH(AugSun1+8)=8),AugSun1+8, "")</f>
        <v>44417</v>
      </c>
      <c r="D5" s="5">
        <f>IF(AND(YEAR(AugSun1+9)=CalendarYear,MONTH(AugSun1+9)=8),AugSun1+9, "")</f>
        <v>44418</v>
      </c>
      <c r="E5" s="5">
        <f>IF(AND(YEAR(AugSun1+10)=CalendarYear,MONTH(AugSun1+10)=8),AugSun1+10, "")</f>
        <v>44419</v>
      </c>
      <c r="F5" s="5">
        <f>IF(AND(YEAR(AugSun1+11)=CalendarYear,MONTH(AugSun1+11)=8),AugSun1+11, "")</f>
        <v>44420</v>
      </c>
      <c r="G5" s="5">
        <f>IF(AND(YEAR(AugSun1+12)=CalendarYear,MONTH(AugSun1+12)=8),AugSun1+12,"")</f>
        <v>44421</v>
      </c>
      <c r="H5" s="10">
        <f>IF(AND(YEAR(AugSun1+13)=CalendarYear,MONTH(AugSun1+13)=8),AugSun1+13, "")</f>
        <v>44422</v>
      </c>
    </row>
    <row r="6" spans="1:8" ht="58" customHeight="1">
      <c r="B6" s="29" t="s">
        <v>77</v>
      </c>
      <c r="C6" s="25"/>
      <c r="D6" s="26"/>
      <c r="E6" s="26"/>
      <c r="F6" s="26"/>
      <c r="G6" s="26"/>
      <c r="H6" s="30"/>
    </row>
    <row r="7" spans="1:8" ht="14" customHeight="1">
      <c r="B7" s="11">
        <f>IF(AND(YEAR(AugSun1+14)=CalendarYear,MONTH(AugSun1+14)=8),AugSun1+14, "")</f>
        <v>44423</v>
      </c>
      <c r="C7" s="5">
        <f>IF(AND(YEAR(AugSun1+15)=CalendarYear,MONTH(AugSun1+15)=8),AugSun1+15, "")</f>
        <v>44424</v>
      </c>
      <c r="D7" s="5">
        <f>IF(AND(YEAR(AugSun1+16)=CalendarYear,MONTH(AugSun1+16)=8),AugSun1+16, "")</f>
        <v>44425</v>
      </c>
      <c r="E7" s="5">
        <f>IF(AND(YEAR(AugSun1+17)=CalendarYear,MONTH(AugSun1+17)=8),AugSun1+17, "")</f>
        <v>44426</v>
      </c>
      <c r="F7" s="5">
        <f>IF(AND(YEAR(AugSun1+18)=CalendarYear,MONTH(AugSun1+18)=8),AugSun1+18, "")</f>
        <v>44427</v>
      </c>
      <c r="G7" s="5">
        <f>IF(AND(YEAR(AugSun1+19)=CalendarYear,MONTH(AugSun1+19)=8),AugSun1+19, "")</f>
        <v>44428</v>
      </c>
      <c r="H7" s="10">
        <f>IF(AND(YEAR(AugSun1+20)=CalendarYear,MONTH(AugSun1+20)=8),AugSun1+20, "")</f>
        <v>44429</v>
      </c>
    </row>
    <row r="8" spans="1:8" ht="58" customHeight="1">
      <c r="B8" s="29" t="s">
        <v>60</v>
      </c>
      <c r="C8" s="25"/>
      <c r="D8" s="26"/>
      <c r="E8" s="26"/>
      <c r="F8" s="26"/>
      <c r="G8" s="26"/>
      <c r="H8" s="30"/>
    </row>
    <row r="9" spans="1:8" ht="14" customHeight="1">
      <c r="B9" s="12">
        <f>IF(AND(YEAR(AugSun1+21)=CalendarYear,MONTH(AugSun1+21)=8),AugSun1+21, "")</f>
        <v>44430</v>
      </c>
      <c r="C9" s="6">
        <f>IF(AND(YEAR(AugSun1+22)=CalendarYear,MONTH(AugSun1+22)=8),AugSun1+22, "")</f>
        <v>44431</v>
      </c>
      <c r="D9" s="6">
        <f>IF(AND(YEAR(AugSun1+23)=CalendarYear,MONTH(AugSun1+23)=8),AugSun1+23, "")</f>
        <v>44432</v>
      </c>
      <c r="E9" s="6">
        <f>IF(AND(YEAR(AugSun1+24)=CalendarYear,MONTH(AugSun1+24)=8),AugSun1+24, "")</f>
        <v>44433</v>
      </c>
      <c r="F9" s="6">
        <f>IF(AND(YEAR(AugSun1+25)=CalendarYear,MONTH(AugSun1+25)=8),AugSun1+25, "")</f>
        <v>44434</v>
      </c>
      <c r="G9" s="6">
        <f>IF(AND(YEAR(AugSun1+26)=CalendarYear,MONTH(AugSun1+26)=8),AugSun1+26, "")</f>
        <v>44435</v>
      </c>
      <c r="H9" s="13">
        <f>IF(AND(YEAR(AugSun1+27)=CalendarYear,MONTH(AugSun1+27)=8),AugSun1+27, "")</f>
        <v>44436</v>
      </c>
    </row>
    <row r="10" spans="1:8" ht="58" customHeight="1">
      <c r="B10" s="29" t="s">
        <v>61</v>
      </c>
      <c r="C10" s="25"/>
      <c r="D10" s="26"/>
      <c r="E10" s="26"/>
      <c r="F10" s="26"/>
      <c r="G10" s="26"/>
      <c r="H10" s="30"/>
    </row>
    <row r="11" spans="1:8" ht="14" customHeight="1">
      <c r="B11" s="12">
        <f>IF(AND(YEAR(AugSun1+28)=CalendarYear,MONTH(AugSun1+28)=8),AugSun1+28, "")</f>
        <v>44437</v>
      </c>
      <c r="C11" s="6">
        <f>IF(AND(YEAR(AugSun1+29)=CalendarYear,MONTH(AugSun1+29)=8),AugSun1+29, "")</f>
        <v>44438</v>
      </c>
      <c r="D11" s="6">
        <f>IF(AND(YEAR(AugSun1+30)=CalendarYear,MONTH(AugSun1+30)=8),AugSun1+30, "")</f>
        <v>44439</v>
      </c>
      <c r="E11" s="6" t="str">
        <f>IF(AND(YEAR(AugSun1+31)=CalendarYear,MONTH(AugSun1+31)=8),AugSun1+31, "")</f>
        <v/>
      </c>
      <c r="F11" s="6" t="str">
        <f>IF(AND(YEAR(AugSun1+32)=CalendarYear,MONTH(AugSun1+32)=8),AugSun1+32, "")</f>
        <v/>
      </c>
      <c r="G11" s="6" t="str">
        <f>IF(AND(YEAR(AugSun1+33)=CalendarYear,MONTH(AugSun1+33)=8),AugSun1+33, "")</f>
        <v/>
      </c>
      <c r="H11" s="13" t="str">
        <f>IF(AND(YEAR(AugSun1+34)=CalendarYear,MONTH(AugSun1+34)=8),AugSun1+34, "")</f>
        <v/>
      </c>
    </row>
    <row r="12" spans="1:8" ht="58" customHeight="1">
      <c r="B12" s="29" t="s">
        <v>62</v>
      </c>
      <c r="C12" s="25"/>
      <c r="D12" s="26"/>
      <c r="E12" s="26"/>
      <c r="F12" s="25"/>
      <c r="G12" s="25"/>
      <c r="H12" s="30"/>
    </row>
    <row r="13" spans="1:8" ht="14" customHeight="1">
      <c r="B13" s="28" t="str">
        <f>IF(AND(YEAR(AugSun1+35)=CalendarYear,MONTH(AugSun1+35)=8),AugSun1+35, "")</f>
        <v/>
      </c>
      <c r="C13" s="24" t="str">
        <f>IF(AND(YEAR(AugSun1+36)=CalendarYear,MONTH(AugSun1+36)=8),AugSun1+36, "")</f>
        <v/>
      </c>
      <c r="D13" s="46" t="s">
        <v>78</v>
      </c>
      <c r="E13" s="46"/>
      <c r="F13" s="46"/>
      <c r="G13" s="46"/>
      <c r="H13" s="47"/>
    </row>
    <row r="14" spans="1:8" ht="58" customHeight="1" thickBot="1">
      <c r="B14" s="31"/>
      <c r="C14" s="27"/>
      <c r="D14" s="43" t="s">
        <v>79</v>
      </c>
      <c r="E14" s="44"/>
      <c r="F14" s="44"/>
      <c r="G14" s="44"/>
      <c r="H14" s="45"/>
    </row>
  </sheetData>
  <mergeCells count="3">
    <mergeCell ref="B1:H1"/>
    <mergeCell ref="D13:H13"/>
    <mergeCell ref="D14:H14"/>
  </mergeCells>
  <phoneticPr fontId="1" type="noConversion"/>
  <printOptions horizontalCentered="1"/>
  <pageMargins left="0.5" right="0.5" top="0.75" bottom="0.75" header="0.5" footer="0.5"/>
  <pageSetup scale="95" orientation="landscape" horizontalDpi="4294967292" verticalDpi="429496729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14"/>
  <sheetViews>
    <sheetView showGridLines="0" topLeftCell="A2" workbookViewId="0">
      <selection activeCell="J12" sqref="J12"/>
    </sheetView>
  </sheetViews>
  <sheetFormatPr baseColWidth="10" defaultColWidth="8.6640625" defaultRowHeight="14"/>
  <cols>
    <col min="1" max="1" width="2.5" style="1" customWidth="1"/>
    <col min="2" max="8" width="17.5" style="4" customWidth="1"/>
    <col min="9" max="16384" width="8.6640625" style="4"/>
  </cols>
  <sheetData>
    <row r="1" spans="1:8" s="1" customFormat="1" ht="59.25" customHeight="1" thickBot="1">
      <c r="B1" s="42">
        <f>DATE(CalendarYear,9,1)</f>
        <v>44440</v>
      </c>
      <c r="C1" s="42"/>
      <c r="D1" s="42"/>
      <c r="E1" s="42"/>
      <c r="F1" s="42"/>
      <c r="G1" s="42"/>
      <c r="H1" s="42"/>
    </row>
    <row r="2" spans="1:8" s="3" customFormat="1" ht="21.75" customHeight="1">
      <c r="A2" s="2"/>
      <c r="B2" s="18" t="s">
        <v>0</v>
      </c>
      <c r="C2" s="19" t="s">
        <v>1</v>
      </c>
      <c r="D2" s="19" t="s">
        <v>2</v>
      </c>
      <c r="E2" s="19" t="s">
        <v>3</v>
      </c>
      <c r="F2" s="19" t="s">
        <v>4</v>
      </c>
      <c r="G2" s="19" t="s">
        <v>5</v>
      </c>
      <c r="H2" s="20" t="s">
        <v>6</v>
      </c>
    </row>
    <row r="3" spans="1:8" ht="14" customHeight="1">
      <c r="B3" s="9" t="str">
        <f>IF(AND(YEAR(SepSun1)=CalendarYear,MONTH(SepSun1)=9),SepSun1, "")</f>
        <v/>
      </c>
      <c r="C3" s="5" t="str">
        <f>IF(AND(YEAR(SepSun1+1)=CalendarYear,MONTH(SepSun1+1)=9),SepSun1+1, "")</f>
        <v/>
      </c>
      <c r="D3" s="5" t="str">
        <f>IF(AND(YEAR(SepSun1+2)=CalendarYear,MONTH(SepSun1+2)=9),SepSun1+2, "")</f>
        <v/>
      </c>
      <c r="E3" s="5">
        <f>IF(AND(YEAR(SepSun1+3)=CalendarYear,MONTH(SepSun1+3)=9),SepSun1+3, "")</f>
        <v>44440</v>
      </c>
      <c r="F3" s="5">
        <f>IF(AND(YEAR(SepSun1+4)=CalendarYear,MONTH(SepSun1+4)=9),SepSun1+4, "")</f>
        <v>44441</v>
      </c>
      <c r="G3" s="5">
        <f>IF(AND(YEAR(SepSun1+5)=CalendarYear,MONTH(SepSun1+5)=9),SepSun1+5, "")</f>
        <v>44442</v>
      </c>
      <c r="H3" s="10">
        <f>IF(AND(YEAR(SepSun1+6)=CalendarYear,MONTH(SepSun1+6)=9),SepSun1+6, "")</f>
        <v>44443</v>
      </c>
    </row>
    <row r="4" spans="1:8" ht="58" customHeight="1">
      <c r="B4" s="34" t="s">
        <v>63</v>
      </c>
      <c r="C4" s="25"/>
      <c r="D4" s="26"/>
      <c r="E4" s="26"/>
      <c r="F4" s="26"/>
      <c r="G4" s="26"/>
      <c r="H4" s="30"/>
    </row>
    <row r="5" spans="1:8" ht="14" customHeight="1">
      <c r="B5" s="11">
        <f>IF(AND(YEAR(SepSun1+7)=CalendarYear,MONTH(SepSun1+7)=9),SepSun1+7, "")</f>
        <v>44444</v>
      </c>
      <c r="C5" s="5">
        <f>IF(AND(YEAR(SepSun1+8)=CalendarYear,MONTH(SepSun1+8)=9),SepSun1+8, "")</f>
        <v>44445</v>
      </c>
      <c r="D5" s="5">
        <f>IF(AND(YEAR(SepSun1+9)=CalendarYear,MONTH(SepSun1+9)=9),SepSun1+9, "")</f>
        <v>44446</v>
      </c>
      <c r="E5" s="5">
        <f>IF(AND(YEAR(SepSun1+10)=CalendarYear,MONTH(SepSun1+10)=9),SepSun1+10, "")</f>
        <v>44447</v>
      </c>
      <c r="F5" s="5">
        <f>IF(AND(YEAR(SepSun1+11)=CalendarYear,MONTH(SepSun1+11)=9),SepSun1+11, "")</f>
        <v>44448</v>
      </c>
      <c r="G5" s="5">
        <f>IF(AND(YEAR(SepSun1+12)=CalendarYear,MONTH(SepSun1+12)=9),SepSun1+12,"")</f>
        <v>44449</v>
      </c>
      <c r="H5" s="10">
        <f>IF(AND(YEAR(SepSun1+13)=CalendarYear,MONTH(SepSun1+13)=9),SepSun1+13, "")</f>
        <v>44450</v>
      </c>
    </row>
    <row r="6" spans="1:8" ht="58" customHeight="1">
      <c r="B6" s="29" t="s">
        <v>64</v>
      </c>
      <c r="C6" s="25"/>
      <c r="D6" s="26"/>
      <c r="E6" s="26"/>
      <c r="F6" s="26"/>
      <c r="G6" s="26"/>
      <c r="H6" s="30"/>
    </row>
    <row r="7" spans="1:8" ht="14" customHeight="1">
      <c r="B7" s="11">
        <f>IF(AND(YEAR(SepSun1+14)=CalendarYear,MONTH(SepSun1+14)=9),SepSun1+14, "")</f>
        <v>44451</v>
      </c>
      <c r="C7" s="5">
        <f>IF(AND(YEAR(SepSun1+15)=CalendarYear,MONTH(SepSun1+15)=9),SepSun1+15, "")</f>
        <v>44452</v>
      </c>
      <c r="D7" s="5">
        <f>IF(AND(YEAR(SepSun1+16)=CalendarYear,MONTH(SepSun1+16)=9),SepSun1+16, "")</f>
        <v>44453</v>
      </c>
      <c r="E7" s="5">
        <f>IF(AND(YEAR(SepSun1+17)=CalendarYear,MONTH(SepSun1+17)=9),SepSun1+17, "")</f>
        <v>44454</v>
      </c>
      <c r="F7" s="5">
        <f>IF(AND(YEAR(SepSun1+18)=CalendarYear,MONTH(SepSun1+18)=9),SepSun1+18, "")</f>
        <v>44455</v>
      </c>
      <c r="G7" s="5">
        <f>IF(AND(YEAR(SepSun1+19)=CalendarYear,MONTH(SepSun1+19)=9),SepSun1+19, "")</f>
        <v>44456</v>
      </c>
      <c r="H7" s="10">
        <f>IF(AND(YEAR(SepSun1+20)=CalendarYear,MONTH(SepSun1+20)=9),SepSun1+20, "")</f>
        <v>44457</v>
      </c>
    </row>
    <row r="8" spans="1:8" ht="58" customHeight="1">
      <c r="B8" s="29" t="s">
        <v>65</v>
      </c>
      <c r="C8" s="25"/>
      <c r="D8" s="26"/>
      <c r="E8" s="26"/>
      <c r="F8" s="26"/>
      <c r="G8" s="26"/>
      <c r="H8" s="30"/>
    </row>
    <row r="9" spans="1:8" ht="14" customHeight="1">
      <c r="B9" s="12">
        <f>IF(AND(YEAR(SepSun1+21)=CalendarYear,MONTH(SepSun1+21)=9),SepSun1+21, "")</f>
        <v>44458</v>
      </c>
      <c r="C9" s="6">
        <f>IF(AND(YEAR(SepSun1+22)=CalendarYear,MONTH(SepSun1+22)=9),SepSun1+22, "")</f>
        <v>44459</v>
      </c>
      <c r="D9" s="6">
        <f>IF(AND(YEAR(SepSun1+23)=CalendarYear,MONTH(SepSun1+23)=9),SepSun1+23, "")</f>
        <v>44460</v>
      </c>
      <c r="E9" s="6">
        <f>IF(AND(YEAR(SepSun1+24)=CalendarYear,MONTH(SepSun1+24)=9),SepSun1+24, "")</f>
        <v>44461</v>
      </c>
      <c r="F9" s="6">
        <f>IF(AND(YEAR(SepSun1+25)=CalendarYear,MONTH(SepSun1+25)=9),SepSun1+25, "")</f>
        <v>44462</v>
      </c>
      <c r="G9" s="6">
        <f>IF(AND(YEAR(SepSun1+26)=CalendarYear,MONTH(SepSun1+26)=9),SepSun1+26, "")</f>
        <v>44463</v>
      </c>
      <c r="H9" s="13">
        <f>IF(AND(YEAR(SepSun1+27)=CalendarYear,MONTH(SepSun1+27)=9),SepSun1+27, "")</f>
        <v>44464</v>
      </c>
    </row>
    <row r="10" spans="1:8" ht="58" customHeight="1">
      <c r="B10" s="29" t="s">
        <v>66</v>
      </c>
      <c r="C10" s="25"/>
      <c r="D10" s="26"/>
      <c r="E10" s="26"/>
      <c r="F10" s="26"/>
      <c r="G10" s="26"/>
      <c r="H10" s="30"/>
    </row>
    <row r="11" spans="1:8" ht="14" customHeight="1">
      <c r="B11" s="12">
        <f>IF(AND(YEAR(SepSun1+28)=CalendarYear,MONTH(SepSun1+28)=9),SepSun1+28, "")</f>
        <v>44465</v>
      </c>
      <c r="C11" s="6">
        <f>IF(AND(YEAR(SepSun1+29)=CalendarYear,MONTH(SepSun1+29)=9),SepSun1+29, "")</f>
        <v>44466</v>
      </c>
      <c r="D11" s="6">
        <f>IF(AND(YEAR(SepSun1+30)=CalendarYear,MONTH(SepSun1+30)=9),SepSun1+30, "")</f>
        <v>44467</v>
      </c>
      <c r="E11" s="6">
        <f>IF(AND(YEAR(SepSun1+31)=CalendarYear,MONTH(SepSun1+31)=9),SepSun1+31, "")</f>
        <v>44468</v>
      </c>
      <c r="F11" s="6">
        <f>IF(AND(YEAR(SepSun1+32)=CalendarYear,MONTH(SepSun1+32)=9),SepSun1+32, "")</f>
        <v>44469</v>
      </c>
      <c r="G11" s="6" t="str">
        <f>IF(AND(YEAR(SepSun1+33)=CalendarYear,MONTH(SepSun1+33)=9),SepSun1+33, "")</f>
        <v/>
      </c>
      <c r="H11" s="13" t="str">
        <f>IF(AND(YEAR(SepSun1+34)=CalendarYear,MONTH(SepSun1+34)=9),SepSun1+34, "")</f>
        <v/>
      </c>
    </row>
    <row r="12" spans="1:8" ht="58" customHeight="1">
      <c r="B12" s="29" t="s">
        <v>67</v>
      </c>
      <c r="C12" s="25"/>
      <c r="D12" s="26"/>
      <c r="E12" s="26"/>
      <c r="F12" s="25"/>
      <c r="G12" s="25"/>
      <c r="H12" s="30"/>
    </row>
    <row r="13" spans="1:8" ht="14" customHeight="1">
      <c r="B13" s="28" t="str">
        <f>IF(AND(YEAR(SepSun1+35)=CalendarYear,MONTH(SepSun1+35)=9),SepSun1+35, "")</f>
        <v/>
      </c>
      <c r="C13" s="46" t="s">
        <v>80</v>
      </c>
      <c r="D13" s="46"/>
      <c r="E13" s="46"/>
      <c r="F13" s="46"/>
      <c r="G13" s="46"/>
      <c r="H13" s="47"/>
    </row>
    <row r="14" spans="1:8" ht="58" customHeight="1" thickBot="1">
      <c r="B14" s="31"/>
      <c r="C14" s="43" t="s">
        <v>81</v>
      </c>
      <c r="D14" s="44"/>
      <c r="E14" s="44"/>
      <c r="F14" s="44"/>
      <c r="G14" s="44"/>
      <c r="H14" s="45"/>
    </row>
  </sheetData>
  <mergeCells count="3">
    <mergeCell ref="B1:H1"/>
    <mergeCell ref="C13:H13"/>
    <mergeCell ref="C14:H14"/>
  </mergeCells>
  <phoneticPr fontId="1" type="noConversion"/>
  <printOptions horizontalCentered="1"/>
  <pageMargins left="0.5" right="0.5" top="0.75" bottom="0.75" header="0.5" footer="0.5"/>
  <pageSetup scale="95" orientation="landscape" horizontalDpi="4294967292" verticalDpi="429496729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14"/>
  <sheetViews>
    <sheetView showGridLines="0" topLeftCell="A4" workbookViewId="0">
      <selection activeCell="I14" sqref="I14"/>
    </sheetView>
  </sheetViews>
  <sheetFormatPr baseColWidth="10" defaultColWidth="8.6640625" defaultRowHeight="14"/>
  <cols>
    <col min="1" max="1" width="2.5" style="1" customWidth="1"/>
    <col min="2" max="8" width="17.5" style="4" customWidth="1"/>
    <col min="9" max="16384" width="8.6640625" style="4"/>
  </cols>
  <sheetData>
    <row r="1" spans="1:8" s="1" customFormat="1" ht="59.25" customHeight="1" thickBot="1">
      <c r="B1" s="42">
        <f>DATE(CalendarYear,10,1)</f>
        <v>44470</v>
      </c>
      <c r="C1" s="42"/>
      <c r="D1" s="42"/>
      <c r="E1" s="42"/>
      <c r="F1" s="42"/>
      <c r="G1" s="42"/>
      <c r="H1" s="42"/>
    </row>
    <row r="2" spans="1:8" s="3" customFormat="1" ht="21.75" customHeight="1">
      <c r="A2" s="2"/>
      <c r="B2" s="18" t="s">
        <v>0</v>
      </c>
      <c r="C2" s="19" t="s">
        <v>1</v>
      </c>
      <c r="D2" s="19" t="s">
        <v>2</v>
      </c>
      <c r="E2" s="19" t="s">
        <v>3</v>
      </c>
      <c r="F2" s="19" t="s">
        <v>4</v>
      </c>
      <c r="G2" s="19" t="s">
        <v>5</v>
      </c>
      <c r="H2" s="20" t="s">
        <v>6</v>
      </c>
    </row>
    <row r="3" spans="1:8" ht="14" customHeight="1">
      <c r="B3" s="9" t="str">
        <f>IF(AND(YEAR(OctSun1)=CalendarYear,MONTH(OctSun1)=10),OctSun1, "")</f>
        <v/>
      </c>
      <c r="C3" s="5" t="str">
        <f>IF(AND(YEAR(OctSun1+1)=CalendarYear,MONTH(OctSun1+1)=10),OctSun1+1, "")</f>
        <v/>
      </c>
      <c r="D3" s="5" t="str">
        <f>IF(AND(YEAR(OctSun1+2)=CalendarYear,MONTH(OctSun1+2)=10),OctSun1+2, "")</f>
        <v/>
      </c>
      <c r="E3" s="5" t="str">
        <f>IF(AND(YEAR(OctSun1+3)=CalendarYear,MONTH(OctSun1+3)=10),OctSun1+3, "")</f>
        <v/>
      </c>
      <c r="F3" s="5" t="str">
        <f>IF(AND(YEAR(OctSun1+4)=CalendarYear,MONTH(OctSun1+4)=10),OctSun1+4, "")</f>
        <v/>
      </c>
      <c r="G3" s="5">
        <f>IF(AND(YEAR(OctSun1+5)=CalendarYear,MONTH(OctSun1+5)=10),OctSun1+5, "")</f>
        <v>44470</v>
      </c>
      <c r="H3" s="10">
        <f>IF(AND(YEAR(OctSun1+6)=CalendarYear,MONTH(OctSun1+6)=10),OctSun1+6, "")</f>
        <v>44471</v>
      </c>
    </row>
    <row r="4" spans="1:8" ht="58" customHeight="1">
      <c r="B4" s="34" t="s">
        <v>68</v>
      </c>
      <c r="C4" s="25"/>
      <c r="D4" s="26"/>
      <c r="E4" s="26"/>
      <c r="F4" s="26"/>
      <c r="G4" s="26"/>
      <c r="H4" s="30"/>
    </row>
    <row r="5" spans="1:8" ht="14" customHeight="1">
      <c r="B5" s="11">
        <f>IF(AND(YEAR(OctSun1+7)=CalendarYear,MONTH(OctSun1+7)=10),OctSun1+7, "")</f>
        <v>44472</v>
      </c>
      <c r="C5" s="5">
        <f>IF(AND(YEAR(OctSun1+8)=CalendarYear,MONTH(OctSun1+8)=10),OctSun1+8, "")</f>
        <v>44473</v>
      </c>
      <c r="D5" s="5">
        <f>IF(AND(YEAR(OctSun1+9)=CalendarYear,MONTH(OctSun1+9)=10),OctSun1+9, "")</f>
        <v>44474</v>
      </c>
      <c r="E5" s="5">
        <f>IF(AND(YEAR(OctSun1+10)=CalendarYear,MONTH(OctSun1+10)=10),OctSun1+10, "")</f>
        <v>44475</v>
      </c>
      <c r="F5" s="5">
        <f>IF(AND(YEAR(OctSun1+11)=CalendarYear,MONTH(OctSun1+11)=10),OctSun1+11, "")</f>
        <v>44476</v>
      </c>
      <c r="G5" s="5">
        <f>IF(AND(YEAR(OctSun1+12)=CalendarYear,MONTH(OctSun1+12)=10),OctSun1+12,"")</f>
        <v>44477</v>
      </c>
      <c r="H5" s="10">
        <f>IF(AND(YEAR(OctSun1+13)=CalendarYear,MONTH(OctSun1+13)=10),OctSun1+13, "")</f>
        <v>44478</v>
      </c>
    </row>
    <row r="6" spans="1:8" ht="58" customHeight="1">
      <c r="B6" s="29" t="s">
        <v>69</v>
      </c>
      <c r="C6" s="25"/>
      <c r="D6" s="26"/>
      <c r="E6" s="26"/>
      <c r="F6" s="26"/>
      <c r="G6" s="26"/>
      <c r="H6" s="30"/>
    </row>
    <row r="7" spans="1:8" ht="14" customHeight="1">
      <c r="B7" s="11">
        <f>IF(AND(YEAR(OctSun1+14)=CalendarYear,MONTH(OctSun1+14)=10),OctSun1+14, "")</f>
        <v>44479</v>
      </c>
      <c r="C7" s="5">
        <f>IF(AND(YEAR(OctSun1+15)=CalendarYear,MONTH(OctSun1+15)=10),OctSun1+15, "")</f>
        <v>44480</v>
      </c>
      <c r="D7" s="5">
        <f>IF(AND(YEAR(OctSun1+16)=CalendarYear,MONTH(OctSun1+16)=10),OctSun1+16, "")</f>
        <v>44481</v>
      </c>
      <c r="E7" s="5">
        <f>IF(AND(YEAR(OctSun1+17)=CalendarYear,MONTH(OctSun1+17)=10),OctSun1+17, "")</f>
        <v>44482</v>
      </c>
      <c r="F7" s="5">
        <f>IF(AND(YEAR(OctSun1+18)=CalendarYear,MONTH(OctSun1+18)=10),OctSun1+18, "")</f>
        <v>44483</v>
      </c>
      <c r="G7" s="5">
        <f>IF(AND(YEAR(OctSun1+19)=CalendarYear,MONTH(OctSun1+19)=10),OctSun1+19, "")</f>
        <v>44484</v>
      </c>
      <c r="H7" s="10">
        <f>IF(AND(YEAR(OctSun1+20)=CalendarYear,MONTH(OctSun1+20)=10),OctSun1+20, "")</f>
        <v>44485</v>
      </c>
    </row>
    <row r="8" spans="1:8" ht="58" customHeight="1">
      <c r="B8" s="29" t="s">
        <v>60</v>
      </c>
      <c r="C8" s="25"/>
      <c r="D8" s="26"/>
      <c r="E8" s="26"/>
      <c r="F8" s="26"/>
      <c r="G8" s="26"/>
      <c r="H8" s="30"/>
    </row>
    <row r="9" spans="1:8" ht="14" customHeight="1">
      <c r="B9" s="12">
        <f>IF(AND(YEAR(OctSun1+21)=CalendarYear,MONTH(OctSun1+21)=10),OctSun1+21, "")</f>
        <v>44486</v>
      </c>
      <c r="C9" s="6">
        <f>IF(AND(YEAR(OctSun1+22)=CalendarYear,MONTH(OctSun1+22)=10),OctSun1+22, "")</f>
        <v>44487</v>
      </c>
      <c r="D9" s="6">
        <f>IF(AND(YEAR(OctSun1+23)=CalendarYear,MONTH(OctSun1+23)=10),OctSun1+23, "")</f>
        <v>44488</v>
      </c>
      <c r="E9" s="6">
        <f>IF(AND(YEAR(OctSun1+24)=CalendarYear,MONTH(OctSun1+24)=10),OctSun1+24, "")</f>
        <v>44489</v>
      </c>
      <c r="F9" s="6">
        <f>IF(AND(YEAR(OctSun1+25)=CalendarYear,MONTH(OctSun1+25)=10),OctSun1+25, "")</f>
        <v>44490</v>
      </c>
      <c r="G9" s="6">
        <f>IF(AND(YEAR(OctSun1+26)=CalendarYear,MONTH(OctSun1+26)=10),OctSun1+26, "")</f>
        <v>44491</v>
      </c>
      <c r="H9" s="13">
        <f>IF(AND(YEAR(OctSun1+27)=CalendarYear,MONTH(OctSun1+27)=10),OctSun1+27, "")</f>
        <v>44492</v>
      </c>
    </row>
    <row r="10" spans="1:8" ht="58" customHeight="1">
      <c r="B10" s="29" t="s">
        <v>61</v>
      </c>
      <c r="C10" s="25"/>
      <c r="D10" s="26"/>
      <c r="E10" s="26"/>
      <c r="F10" s="26"/>
      <c r="G10" s="26"/>
      <c r="H10" s="30"/>
    </row>
    <row r="11" spans="1:8" ht="14" customHeight="1">
      <c r="B11" s="12">
        <f>IF(AND(YEAR(OctSun1+28)=CalendarYear,MONTH(OctSun1+28)=10),OctSun1+28, "")</f>
        <v>44493</v>
      </c>
      <c r="C11" s="6">
        <f>IF(AND(YEAR(OctSun1+29)=CalendarYear,MONTH(OctSun1+29)=10),OctSun1+29, "")</f>
        <v>44494</v>
      </c>
      <c r="D11" s="6">
        <f>IF(AND(YEAR(OctSun1+30)=CalendarYear,MONTH(OctSun1+30)=10),OctSun1+30, "")</f>
        <v>44495</v>
      </c>
      <c r="E11" s="6">
        <f>IF(AND(YEAR(OctSun1+31)=CalendarYear,MONTH(OctSun1+31)=10),OctSun1+31, "")</f>
        <v>44496</v>
      </c>
      <c r="F11" s="6">
        <f>IF(AND(YEAR(OctSun1+32)=CalendarYear,MONTH(OctSun1+32)=10),OctSun1+32, "")</f>
        <v>44497</v>
      </c>
      <c r="G11" s="6">
        <f>IF(AND(YEAR(OctSun1+33)=CalendarYear,MONTH(OctSun1+33)=10),OctSun1+33, "")</f>
        <v>44498</v>
      </c>
      <c r="H11" s="13">
        <f>IF(AND(YEAR(OctSun1+34)=CalendarYear,MONTH(OctSun1+34)=10),OctSun1+34, "")</f>
        <v>44499</v>
      </c>
    </row>
    <row r="12" spans="1:8" ht="58" customHeight="1">
      <c r="B12" s="29" t="s">
        <v>62</v>
      </c>
      <c r="C12" s="25"/>
      <c r="D12" s="26"/>
      <c r="E12" s="26"/>
      <c r="F12" s="25"/>
      <c r="G12" s="25"/>
      <c r="H12" s="30"/>
    </row>
    <row r="13" spans="1:8" ht="14" customHeight="1">
      <c r="B13" s="28">
        <f>IF(AND(YEAR(OctSun1+35)=CalendarYear,MONTH(OctSun1+35)=10),OctSun1+35, "")</f>
        <v>44500</v>
      </c>
      <c r="C13" s="24" t="str">
        <f>IF(AND(YEAR(OctSun1+36)=CalendarYear,MONTH(OctSun1+36)=10),OctSun1+36, "")</f>
        <v/>
      </c>
      <c r="D13" s="46" t="s">
        <v>82</v>
      </c>
      <c r="E13" s="46"/>
      <c r="F13" s="46"/>
      <c r="G13" s="46"/>
      <c r="H13" s="47"/>
    </row>
    <row r="14" spans="1:8" ht="58" customHeight="1" thickBot="1">
      <c r="B14" s="31" t="s">
        <v>70</v>
      </c>
      <c r="C14" s="27"/>
      <c r="D14" s="43" t="s">
        <v>83</v>
      </c>
      <c r="E14" s="44"/>
      <c r="F14" s="44"/>
      <c r="G14" s="44"/>
      <c r="H14" s="45"/>
    </row>
  </sheetData>
  <mergeCells count="3">
    <mergeCell ref="B1:H1"/>
    <mergeCell ref="D13:H13"/>
    <mergeCell ref="D14:H14"/>
  </mergeCells>
  <phoneticPr fontId="1" type="noConversion"/>
  <printOptions horizontalCentered="1"/>
  <pageMargins left="0.5" right="0.5" top="0.75" bottom="0.75" header="0.5" footer="0.5"/>
  <pageSetup scale="95" orientation="landscape" horizontalDpi="4294967292" verticalDpi="429496729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14"/>
  <sheetViews>
    <sheetView showGridLines="0" topLeftCell="A3" workbookViewId="0">
      <selection activeCell="K12" sqref="K12"/>
    </sheetView>
  </sheetViews>
  <sheetFormatPr baseColWidth="10" defaultColWidth="8.6640625" defaultRowHeight="14"/>
  <cols>
    <col min="1" max="1" width="2.5" style="1" customWidth="1"/>
    <col min="2" max="8" width="17.5" style="4" customWidth="1"/>
    <col min="9" max="16384" width="8.6640625" style="4"/>
  </cols>
  <sheetData>
    <row r="1" spans="1:8" s="1" customFormat="1" ht="59.25" customHeight="1" thickBot="1">
      <c r="B1" s="42">
        <f>DATE(CalendarYear,11,1)</f>
        <v>44501</v>
      </c>
      <c r="C1" s="42"/>
      <c r="D1" s="42"/>
      <c r="E1" s="42"/>
      <c r="F1" s="42"/>
      <c r="G1" s="42"/>
      <c r="H1" s="42"/>
    </row>
    <row r="2" spans="1:8" s="3" customFormat="1" ht="21.75" customHeight="1">
      <c r="A2" s="2"/>
      <c r="B2" s="18" t="s">
        <v>0</v>
      </c>
      <c r="C2" s="19" t="s">
        <v>1</v>
      </c>
      <c r="D2" s="19" t="s">
        <v>2</v>
      </c>
      <c r="E2" s="19" t="s">
        <v>3</v>
      </c>
      <c r="F2" s="19" t="s">
        <v>4</v>
      </c>
      <c r="G2" s="19" t="s">
        <v>5</v>
      </c>
      <c r="H2" s="20" t="s">
        <v>6</v>
      </c>
    </row>
    <row r="3" spans="1:8" ht="14" customHeight="1">
      <c r="B3" s="9" t="str">
        <f>IF(AND(YEAR(NovSun1)=CalendarYear,MONTH(NovSun1)=11),NovSun1, "")</f>
        <v/>
      </c>
      <c r="C3" s="5">
        <f>IF(AND(YEAR(NovSun1+1)=CalendarYear,MONTH(NovSun1+1)=11),NovSun1+1, "")</f>
        <v>44501</v>
      </c>
      <c r="D3" s="5">
        <f>IF(AND(YEAR(NovSun1+2)=CalendarYear,MONTH(NovSun1+2)=11),NovSun1+2, "")</f>
        <v>44502</v>
      </c>
      <c r="E3" s="5">
        <f>IF(AND(YEAR(NovSun1+3)=CalendarYear,MONTH(NovSun1+3)=11),NovSun1+3, "")</f>
        <v>44503</v>
      </c>
      <c r="F3" s="5">
        <f>IF(AND(YEAR(NovSun1+4)=CalendarYear,MONTH(NovSun1+4)=11),NovSun1+4, "")</f>
        <v>44504</v>
      </c>
      <c r="G3" s="5">
        <f>IF(AND(YEAR(NovSun1+5)=CalendarYear,MONTH(NovSun1+5)=11),NovSun1+5, "")</f>
        <v>44505</v>
      </c>
      <c r="H3" s="10">
        <f>IF(AND(YEAR(NovSun1+6)=CalendarYear,MONTH(NovSun1+6)=11),NovSun1+6, "")</f>
        <v>44506</v>
      </c>
    </row>
    <row r="4" spans="1:8" ht="58" customHeight="1">
      <c r="B4" s="34" t="s">
        <v>76</v>
      </c>
      <c r="C4" s="25"/>
      <c r="D4" s="26"/>
      <c r="E4" s="26"/>
      <c r="F4" s="26"/>
      <c r="G4" s="26"/>
      <c r="H4" s="30"/>
    </row>
    <row r="5" spans="1:8" ht="14" customHeight="1">
      <c r="B5" s="11">
        <f>IF(AND(YEAR(NovSun1+7)=CalendarYear,MONTH(NovSun1+7)=11),NovSun1+7, "")</f>
        <v>44507</v>
      </c>
      <c r="C5" s="5">
        <f>IF(AND(YEAR(NovSun1+8)=CalendarYear,MONTH(NovSun1+8)=11),NovSun1+8, "")</f>
        <v>44508</v>
      </c>
      <c r="D5" s="5">
        <f>IF(AND(YEAR(NovSun1+9)=CalendarYear,MONTH(NovSun1+9)=11),NovSun1+9, "")</f>
        <v>44509</v>
      </c>
      <c r="E5" s="5">
        <f>IF(AND(YEAR(NovSun1+10)=CalendarYear,MONTH(NovSun1+10)=11),NovSun1+10, "")</f>
        <v>44510</v>
      </c>
      <c r="F5" s="5">
        <f>IF(AND(YEAR(NovSun1+11)=CalendarYear,MONTH(NovSun1+11)=11),NovSun1+11, "")</f>
        <v>44511</v>
      </c>
      <c r="G5" s="5">
        <f>IF(AND(YEAR(NovSun1+12)=CalendarYear,MONTH(NovSun1+12)=11),NovSun1+12,"")</f>
        <v>44512</v>
      </c>
      <c r="H5" s="10">
        <f>IF(AND(YEAR(NovSun1+13)=CalendarYear,MONTH(NovSun1+13)=11),NovSun1+13, "")</f>
        <v>44513</v>
      </c>
    </row>
    <row r="6" spans="1:8" ht="58" customHeight="1">
      <c r="B6" s="29" t="s">
        <v>64</v>
      </c>
      <c r="C6" s="25"/>
      <c r="D6" s="26"/>
      <c r="E6" s="26"/>
      <c r="F6" s="26"/>
      <c r="G6" s="26"/>
      <c r="H6" s="30"/>
    </row>
    <row r="7" spans="1:8" ht="14" customHeight="1">
      <c r="B7" s="11">
        <f>IF(AND(YEAR(NovSun1+14)=CalendarYear,MONTH(NovSun1+14)=11),NovSun1+14, "")</f>
        <v>44514</v>
      </c>
      <c r="C7" s="5">
        <f>IF(AND(YEAR(NovSun1+15)=CalendarYear,MONTH(NovSun1+15)=11),NovSun1+15, "")</f>
        <v>44515</v>
      </c>
      <c r="D7" s="5">
        <f>IF(AND(YEAR(NovSun1+16)=CalendarYear,MONTH(NovSun1+16)=11),NovSun1+16, "")</f>
        <v>44516</v>
      </c>
      <c r="E7" s="5">
        <f>IF(AND(YEAR(NovSun1+17)=CalendarYear,MONTH(NovSun1+17)=11),NovSun1+17, "")</f>
        <v>44517</v>
      </c>
      <c r="F7" s="5">
        <f>IF(AND(YEAR(NovSun1+18)=CalendarYear,MONTH(NovSun1+18)=11),NovSun1+18, "")</f>
        <v>44518</v>
      </c>
      <c r="G7" s="5">
        <f>IF(AND(YEAR(NovSun1+19)=CalendarYear,MONTH(NovSun1+19)=11),NovSun1+19, "")</f>
        <v>44519</v>
      </c>
      <c r="H7" s="10">
        <f>IF(AND(YEAR(NovSun1+20)=CalendarYear,MONTH(NovSun1+20)=11),NovSun1+20, "")</f>
        <v>44520</v>
      </c>
    </row>
    <row r="8" spans="1:8" ht="58" customHeight="1">
      <c r="B8" s="29" t="s">
        <v>72</v>
      </c>
      <c r="C8" s="25"/>
      <c r="D8" s="26"/>
      <c r="E8" s="26"/>
      <c r="F8" s="26"/>
      <c r="G8" s="26"/>
      <c r="H8" s="30"/>
    </row>
    <row r="9" spans="1:8" ht="14" customHeight="1">
      <c r="B9" s="12">
        <f>IF(AND(YEAR(NovSun1+21)=CalendarYear,MONTH(NovSun1+21)=11),NovSun1+21, "")</f>
        <v>44521</v>
      </c>
      <c r="C9" s="6">
        <f>IF(AND(YEAR(NovSun1+22)=CalendarYear,MONTH(NovSun1+22)=11),NovSun1+22, "")</f>
        <v>44522</v>
      </c>
      <c r="D9" s="6">
        <f>IF(AND(YEAR(NovSun1+23)=CalendarYear,MONTH(NovSun1+23)=11),NovSun1+23, "")</f>
        <v>44523</v>
      </c>
      <c r="E9" s="6">
        <f>IF(AND(YEAR(NovSun1+24)=CalendarYear,MONTH(NovSun1+24)=11),NovSun1+24, "")</f>
        <v>44524</v>
      </c>
      <c r="F9" s="6">
        <f>IF(AND(YEAR(NovSun1+25)=CalendarYear,MONTH(NovSun1+25)=11),NovSun1+25, "")</f>
        <v>44525</v>
      </c>
      <c r="G9" s="6">
        <f>IF(AND(YEAR(NovSun1+26)=CalendarYear,MONTH(NovSun1+26)=11),NovSun1+26, "")</f>
        <v>44526</v>
      </c>
      <c r="H9" s="13">
        <f>IF(AND(YEAR(NovSun1+27)=CalendarYear,MONTH(NovSun1+27)=11),NovSun1+27, "")</f>
        <v>44527</v>
      </c>
    </row>
    <row r="10" spans="1:8" ht="58" customHeight="1">
      <c r="B10" s="29" t="s">
        <v>60</v>
      </c>
      <c r="C10" s="25"/>
      <c r="D10" s="26"/>
      <c r="E10" s="26"/>
      <c r="F10" s="26"/>
      <c r="G10" s="26"/>
      <c r="H10" s="30"/>
    </row>
    <row r="11" spans="1:8" ht="14" customHeight="1">
      <c r="B11" s="12">
        <f>IF(AND(YEAR(NovSun1+28)=CalendarYear,MONTH(NovSun1+28)=11),NovSun1+28, "")</f>
        <v>44528</v>
      </c>
      <c r="C11" s="6">
        <f>IF(AND(YEAR(NovSun1+29)=CalendarYear,MONTH(NovSun1+29)=11),NovSun1+29, "")</f>
        <v>44529</v>
      </c>
      <c r="D11" s="6">
        <f>IF(AND(YEAR(NovSun1+30)=CalendarYear,MONTH(NovSun1+30)=11),NovSun1+30, "")</f>
        <v>44530</v>
      </c>
      <c r="E11" s="6" t="str">
        <f>IF(AND(YEAR(NovSun1+31)=CalendarYear,MONTH(NovSun1+31)=11),NovSun1+31, "")</f>
        <v/>
      </c>
      <c r="F11" s="6" t="str">
        <f>IF(AND(YEAR(NovSun1+32)=CalendarYear,MONTH(NovSun1+32)=11),NovSun1+32, "")</f>
        <v/>
      </c>
      <c r="G11" s="6" t="str">
        <f>IF(AND(YEAR(NovSun1+33)=CalendarYear,MONTH(NovSun1+33)=11),NovSun1+33, "")</f>
        <v/>
      </c>
      <c r="H11" s="13" t="str">
        <f>IF(AND(YEAR(NovSun1+34)=CalendarYear,MONTH(NovSun1+34)=11),NovSun1+34, "")</f>
        <v/>
      </c>
    </row>
    <row r="12" spans="1:8" ht="58" customHeight="1">
      <c r="B12" s="29" t="s">
        <v>61</v>
      </c>
      <c r="C12" s="25"/>
      <c r="D12" s="26"/>
      <c r="E12" s="26"/>
      <c r="F12" s="25"/>
      <c r="G12" s="25"/>
      <c r="H12" s="30"/>
    </row>
    <row r="13" spans="1:8" ht="14" customHeight="1">
      <c r="B13" s="28" t="str">
        <f>IF(AND(YEAR(NovSun1+35)=CalendarYear,MONTH(NovSun1+35)=11),NovSun1+35, "")</f>
        <v/>
      </c>
      <c r="C13" s="52" t="s">
        <v>84</v>
      </c>
      <c r="D13" s="52"/>
      <c r="E13" s="52"/>
      <c r="F13" s="52"/>
      <c r="G13" s="52"/>
      <c r="H13" s="53"/>
    </row>
    <row r="14" spans="1:8" ht="58" customHeight="1" thickBot="1">
      <c r="B14" s="31"/>
      <c r="C14" s="43" t="s">
        <v>85</v>
      </c>
      <c r="D14" s="44"/>
      <c r="E14" s="44"/>
      <c r="F14" s="44"/>
      <c r="G14" s="44"/>
      <c r="H14" s="45"/>
    </row>
  </sheetData>
  <mergeCells count="3">
    <mergeCell ref="B1:H1"/>
    <mergeCell ref="C13:H13"/>
    <mergeCell ref="C14:H14"/>
  </mergeCells>
  <phoneticPr fontId="1" type="noConversion"/>
  <printOptions horizontalCentered="1"/>
  <pageMargins left="0.5" right="0.5" top="0.75" bottom="0.75" header="0.5" footer="0.5"/>
  <pageSetup scale="95" orientation="landscape" horizontalDpi="4294967292" verticalDpi="429496729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14"/>
  <sheetViews>
    <sheetView showGridLines="0" topLeftCell="A3" workbookViewId="0">
      <selection activeCell="N9" sqref="N9"/>
    </sheetView>
  </sheetViews>
  <sheetFormatPr baseColWidth="10" defaultColWidth="8.6640625" defaultRowHeight="14"/>
  <cols>
    <col min="1" max="1" width="2.5" style="1" customWidth="1"/>
    <col min="2" max="8" width="17.5" style="4" customWidth="1"/>
    <col min="9" max="16384" width="8.6640625" style="4"/>
  </cols>
  <sheetData>
    <row r="1" spans="1:8" s="1" customFormat="1" ht="59.25" customHeight="1" thickBot="1">
      <c r="B1" s="42">
        <f>DATE(CalendarYear,12,1)</f>
        <v>44531</v>
      </c>
      <c r="C1" s="42"/>
      <c r="D1" s="42"/>
      <c r="E1" s="42"/>
      <c r="F1" s="42"/>
      <c r="G1" s="42"/>
      <c r="H1" s="42"/>
    </row>
    <row r="2" spans="1:8" s="3" customFormat="1" ht="21.75" customHeight="1">
      <c r="A2" s="2"/>
      <c r="B2" s="18" t="s">
        <v>0</v>
      </c>
      <c r="C2" s="19" t="s">
        <v>1</v>
      </c>
      <c r="D2" s="19" t="s">
        <v>2</v>
      </c>
      <c r="E2" s="19" t="s">
        <v>3</v>
      </c>
      <c r="F2" s="19" t="s">
        <v>4</v>
      </c>
      <c r="G2" s="19" t="s">
        <v>5</v>
      </c>
      <c r="H2" s="20" t="s">
        <v>6</v>
      </c>
    </row>
    <row r="3" spans="1:8" ht="14" customHeight="1">
      <c r="B3" s="9" t="str">
        <f>IF(AND(YEAR(DecSun1)=CalendarYear,MONTH(DecSun1)=12),DecSun1, "")</f>
        <v/>
      </c>
      <c r="C3" s="5" t="str">
        <f>IF(AND(YEAR(DecSun1+1)=CalendarYear,MONTH(DecSun1+1)=12),DecSun1+1, "")</f>
        <v/>
      </c>
      <c r="D3" s="5" t="str">
        <f>IF(AND(YEAR(DecSun1+2)=CalendarYear,MONTH(DecSun1+2)=12),DecSun1+2, "")</f>
        <v/>
      </c>
      <c r="E3" s="5">
        <f>IF(AND(YEAR(DecSun1+3)=CalendarYear,MONTH(DecSun1+3)=12),DecSun1+3, "")</f>
        <v>44531</v>
      </c>
      <c r="F3" s="5">
        <f>IF(AND(YEAR(DecSun1+4)=CalendarYear,MONTH(DecSun1+4)=12),DecSun1+4, "")</f>
        <v>44532</v>
      </c>
      <c r="G3" s="5">
        <f>IF(AND(YEAR(DecSun1+5)=CalendarYear,MONTH(DecSun1+5)=12),DecSun1+5, "")</f>
        <v>44533</v>
      </c>
      <c r="H3" s="10">
        <f>IF(AND(YEAR(DecSun1+6)=CalendarYear,MONTH(DecSun1+6)=12),DecSun1+6, "")</f>
        <v>44534</v>
      </c>
    </row>
    <row r="4" spans="1:8" ht="58" customHeight="1">
      <c r="B4" s="34" t="s">
        <v>75</v>
      </c>
      <c r="C4" s="25"/>
      <c r="D4" s="26"/>
      <c r="E4" s="26"/>
      <c r="F4" s="26"/>
      <c r="G4" s="26"/>
      <c r="H4" s="30"/>
    </row>
    <row r="5" spans="1:8" ht="14" customHeight="1">
      <c r="B5" s="11">
        <f>IF(AND(YEAR(DecSun1+7)=CalendarYear,MONTH(DecSun1+7)=12),DecSun1+7, "")</f>
        <v>44535</v>
      </c>
      <c r="C5" s="5">
        <f>IF(AND(YEAR(DecSun1+8)=CalendarYear,MONTH(DecSun1+8)=12),DecSun1+8, "")</f>
        <v>44536</v>
      </c>
      <c r="D5" s="5">
        <f>IF(AND(YEAR(DecSun1+9)=CalendarYear,MONTH(DecSun1+9)=12),DecSun1+9, "")</f>
        <v>44537</v>
      </c>
      <c r="E5" s="5">
        <f>IF(AND(YEAR(DecSun1+10)=CalendarYear,MONTH(DecSun1+10)=12),DecSun1+10, "")</f>
        <v>44538</v>
      </c>
      <c r="F5" s="5">
        <f>IF(AND(YEAR(DecSun1+11)=CalendarYear,MONTH(DecSun1+11)=12),DecSun1+11, "")</f>
        <v>44539</v>
      </c>
      <c r="G5" s="5">
        <f>IF(AND(YEAR(DecSun1+12)=CalendarYear,MONTH(DecSun1+12)=12),DecSun1+12,"")</f>
        <v>44540</v>
      </c>
      <c r="H5" s="10">
        <f>IF(AND(YEAR(DecSun1+13)=CalendarYear,MONTH(DecSun1+13)=12),DecSun1+13, "")</f>
        <v>44541</v>
      </c>
    </row>
    <row r="6" spans="1:8" ht="58" customHeight="1">
      <c r="B6" s="29" t="s">
        <v>62</v>
      </c>
      <c r="C6" s="25"/>
      <c r="D6" s="26"/>
      <c r="E6" s="26"/>
      <c r="F6" s="26"/>
      <c r="G6" s="26"/>
      <c r="H6" s="30"/>
    </row>
    <row r="7" spans="1:8" ht="14" customHeight="1">
      <c r="B7" s="11">
        <f>IF(AND(YEAR(DecSun1+14)=CalendarYear,MONTH(DecSun1+14)=12),DecSun1+14, "")</f>
        <v>44542</v>
      </c>
      <c r="C7" s="5">
        <f>IF(AND(YEAR(DecSun1+15)=CalendarYear,MONTH(DecSun1+15)=12),DecSun1+15, "")</f>
        <v>44543</v>
      </c>
      <c r="D7" s="5">
        <f>IF(AND(YEAR(DecSun1+16)=CalendarYear,MONTH(DecSun1+16)=12),DecSun1+16, "")</f>
        <v>44544</v>
      </c>
      <c r="E7" s="5">
        <f>IF(AND(YEAR(DecSun1+17)=CalendarYear,MONTH(DecSun1+17)=12),DecSun1+17, "")</f>
        <v>44545</v>
      </c>
      <c r="F7" s="5">
        <f>IF(AND(YEAR(DecSun1+18)=CalendarYear,MONTH(DecSun1+18)=12),DecSun1+18, "")</f>
        <v>44546</v>
      </c>
      <c r="G7" s="5">
        <f>IF(AND(YEAR(DecSun1+19)=CalendarYear,MONTH(DecSun1+19)=12),DecSun1+19, "")</f>
        <v>44547</v>
      </c>
      <c r="H7" s="10">
        <f>IF(AND(YEAR(DecSun1+20)=CalendarYear,MONTH(DecSun1+20)=12),DecSun1+20, "")</f>
        <v>44548</v>
      </c>
    </row>
    <row r="8" spans="1:8" ht="58" customHeight="1">
      <c r="B8" s="29" t="s">
        <v>64</v>
      </c>
      <c r="C8" s="25"/>
      <c r="D8" s="26"/>
      <c r="E8" s="26"/>
      <c r="F8" s="26"/>
      <c r="G8" s="26"/>
      <c r="H8" s="30"/>
    </row>
    <row r="9" spans="1:8" ht="14" customHeight="1">
      <c r="B9" s="12">
        <f>IF(AND(YEAR(DecSun1+21)=CalendarYear,MONTH(DecSun1+21)=12),DecSun1+21, "")</f>
        <v>44549</v>
      </c>
      <c r="C9" s="6">
        <f>IF(AND(YEAR(DecSun1+22)=CalendarYear,MONTH(DecSun1+22)=12),DecSun1+22, "")</f>
        <v>44550</v>
      </c>
      <c r="D9" s="6">
        <f>IF(AND(YEAR(DecSun1+23)=CalendarYear,MONTH(DecSun1+23)=12),DecSun1+23, "")</f>
        <v>44551</v>
      </c>
      <c r="E9" s="6">
        <f>IF(AND(YEAR(DecSun1+24)=CalendarYear,MONTH(DecSun1+24)=12),DecSun1+24, "")</f>
        <v>44552</v>
      </c>
      <c r="F9" s="6">
        <f>IF(AND(YEAR(DecSun1+25)=CalendarYear,MONTH(DecSun1+25)=12),DecSun1+25, "")</f>
        <v>44553</v>
      </c>
      <c r="G9" s="6">
        <f>IF(AND(YEAR(DecSun1+26)=CalendarYear,MONTH(DecSun1+26)=12),DecSun1+26, "")</f>
        <v>44554</v>
      </c>
      <c r="H9" s="13">
        <f>IF(AND(YEAR(DecSun1+27)=CalendarYear,MONTH(DecSun1+27)=12),DecSun1+27, "")</f>
        <v>44555</v>
      </c>
    </row>
    <row r="10" spans="1:8" ht="58" customHeight="1">
      <c r="B10" s="29" t="s">
        <v>73</v>
      </c>
      <c r="C10" s="25"/>
      <c r="D10" s="26"/>
      <c r="E10" s="26"/>
      <c r="F10" s="26"/>
      <c r="G10" s="26"/>
      <c r="H10" s="30"/>
    </row>
    <row r="11" spans="1:8" ht="14" customHeight="1">
      <c r="B11" s="12">
        <f>IF(AND(YEAR(DecSun1+28)=CalendarYear,MONTH(DecSun1+28)=12),DecSun1+28, "")</f>
        <v>44556</v>
      </c>
      <c r="C11" s="6">
        <f>IF(AND(YEAR(DecSun1+29)=CalendarYear,MONTH(DecSun1+29)=12),DecSun1+29, "")</f>
        <v>44557</v>
      </c>
      <c r="D11" s="6">
        <f>IF(AND(YEAR(DecSun1+30)=CalendarYear,MONTH(DecSun1+30)=12),DecSun1+30, "")</f>
        <v>44558</v>
      </c>
      <c r="E11" s="6">
        <f>IF(AND(YEAR(DecSun1+31)=CalendarYear,MONTH(DecSun1+31)=12),DecSun1+31, "")</f>
        <v>44559</v>
      </c>
      <c r="F11" s="6">
        <f>IF(AND(YEAR(DecSun1+32)=CalendarYear,MONTH(DecSun1+32)=12),DecSun1+32, "")</f>
        <v>44560</v>
      </c>
      <c r="G11" s="6">
        <f>IF(AND(YEAR(DecSun1+33)=CalendarYear,MONTH(DecSun1+33)=12),DecSun1+33, "")</f>
        <v>44561</v>
      </c>
      <c r="H11" s="13" t="str">
        <f>IF(AND(YEAR(DecSun1+34)=CalendarYear,MONTH(DecSun1+34)=12),DecSun1+34, "")</f>
        <v/>
      </c>
    </row>
    <row r="12" spans="1:8" ht="58" customHeight="1">
      <c r="B12" s="29" t="s">
        <v>74</v>
      </c>
      <c r="C12" s="25"/>
      <c r="D12" s="26"/>
      <c r="E12" s="26"/>
      <c r="F12" s="25"/>
      <c r="G12" s="25"/>
      <c r="H12" s="30"/>
    </row>
    <row r="13" spans="1:8" ht="14" customHeight="1">
      <c r="B13" s="28" t="str">
        <f>IF(AND(YEAR(DecSun1+35)=CalendarYear,MONTH(DecSun1+35)=12),DecSun1+35, "")</f>
        <v/>
      </c>
      <c r="C13" s="24" t="str">
        <f>IF(AND(YEAR(DecSun1+36)=CalendarYear,MONTH(DecSun1+36)=12),DecSun1+36, "")</f>
        <v/>
      </c>
      <c r="D13" s="46" t="s">
        <v>86</v>
      </c>
      <c r="E13" s="46"/>
      <c r="F13" s="46"/>
      <c r="G13" s="46"/>
      <c r="H13" s="47"/>
    </row>
    <row r="14" spans="1:8" ht="58" customHeight="1" thickBot="1">
      <c r="B14" s="31"/>
      <c r="C14" s="27"/>
      <c r="D14" s="43" t="s">
        <v>87</v>
      </c>
      <c r="E14" s="44"/>
      <c r="F14" s="44"/>
      <c r="G14" s="44"/>
      <c r="H14" s="45"/>
    </row>
  </sheetData>
  <mergeCells count="3">
    <mergeCell ref="B1:H1"/>
    <mergeCell ref="D13:H13"/>
    <mergeCell ref="D14:H14"/>
  </mergeCells>
  <phoneticPr fontId="1" type="noConversion"/>
  <printOptions horizontalCentered="1"/>
  <pageMargins left="0.5" right="0.5" top="0.75" bottom="0.75" header="0.5" footer="0.5"/>
  <pageSetup scale="95" orientation="landscape" horizontalDpi="4294967292" verticalDpi="4294967292"/>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2"/>
  <sheetViews>
    <sheetView workbookViewId="0">
      <selection activeCell="J26" sqref="J26"/>
    </sheetView>
  </sheetViews>
  <sheetFormatPr baseColWidth="10" defaultColWidth="8.6640625" defaultRowHeight="14"/>
  <cols>
    <col min="1" max="1" width="10.5" style="4" customWidth="1"/>
    <col min="2" max="2" width="9.5" style="4" customWidth="1"/>
    <col min="3" max="3" width="9.6640625" style="4" customWidth="1"/>
    <col min="4" max="16384" width="8.6640625" style="4"/>
  </cols>
  <sheetData>
    <row r="1" spans="1:3">
      <c r="A1" s="21" t="s">
        <v>7</v>
      </c>
      <c r="B1" s="22"/>
    </row>
    <row r="2" spans="1:3">
      <c r="A2" s="35">
        <v>2016</v>
      </c>
      <c r="B2" s="22"/>
    </row>
    <row r="3" spans="1:3">
      <c r="A3" s="35">
        <v>2017</v>
      </c>
      <c r="B3" s="22"/>
    </row>
    <row r="4" spans="1:3">
      <c r="A4" s="35">
        <v>2018</v>
      </c>
      <c r="B4" s="22"/>
    </row>
    <row r="5" spans="1:3">
      <c r="A5" s="35">
        <v>2019</v>
      </c>
      <c r="B5" s="22"/>
    </row>
    <row r="6" spans="1:3">
      <c r="A6" s="35">
        <v>2020</v>
      </c>
      <c r="B6" s="22"/>
    </row>
    <row r="7" spans="1:3">
      <c r="A7" s="35">
        <v>2021</v>
      </c>
      <c r="B7" s="22"/>
    </row>
    <row r="8" spans="1:3">
      <c r="A8" s="23">
        <v>2022</v>
      </c>
      <c r="B8" s="22"/>
    </row>
    <row r="9" spans="1:3">
      <c r="A9" s="23">
        <v>2023</v>
      </c>
      <c r="B9" s="22"/>
    </row>
    <row r="10" spans="1:3">
      <c r="A10" s="23"/>
      <c r="B10" s="22"/>
    </row>
    <row r="11" spans="1:3">
      <c r="A11" s="22"/>
      <c r="B11" s="22"/>
    </row>
    <row r="12" spans="1:3">
      <c r="A12" s="22"/>
      <c r="B12" s="22"/>
    </row>
  </sheetData>
  <phoneticPr fontId="1" type="noConversion"/>
  <pageMargins left="0.7" right="0.7" top="0.75" bottom="0.75" header="0.3" footer="0.3"/>
  <pageSetup orientation="landscape" horizontalDpi="4294967292" verticalDpi="4294967292"/>
  <legacy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20"/>
  <sheetViews>
    <sheetView topLeftCell="A4" workbookViewId="0">
      <selection activeCell="B13" sqref="B13"/>
    </sheetView>
  </sheetViews>
  <sheetFormatPr baseColWidth="10" defaultRowHeight="14"/>
  <cols>
    <col min="1" max="1" width="2" customWidth="1"/>
    <col min="2" max="2" width="126" style="37" customWidth="1"/>
    <col min="3" max="3" width="3.1640625" customWidth="1"/>
  </cols>
  <sheetData>
    <row r="1" spans="2:2" ht="26">
      <c r="B1" s="39" t="s">
        <v>94</v>
      </c>
    </row>
    <row r="2" spans="2:2" ht="18">
      <c r="B2" s="38"/>
    </row>
    <row r="3" spans="2:2" ht="76">
      <c r="B3" s="40" t="s">
        <v>95</v>
      </c>
    </row>
    <row r="4" spans="2:2" ht="18">
      <c r="B4" s="40"/>
    </row>
    <row r="5" spans="2:2" ht="38">
      <c r="B5" s="40" t="s">
        <v>91</v>
      </c>
    </row>
    <row r="6" spans="2:2" ht="18">
      <c r="B6" s="40"/>
    </row>
    <row r="7" spans="2:2" ht="76">
      <c r="B7" s="40" t="s">
        <v>92</v>
      </c>
    </row>
    <row r="8" spans="2:2" ht="18">
      <c r="B8" s="40"/>
    </row>
    <row r="9" spans="2:2" ht="76">
      <c r="B9" s="40" t="s">
        <v>96</v>
      </c>
    </row>
    <row r="10" spans="2:2" ht="18">
      <c r="B10" s="40"/>
    </row>
    <row r="11" spans="2:2" ht="57">
      <c r="B11" s="40" t="s">
        <v>93</v>
      </c>
    </row>
    <row r="12" spans="2:2" ht="18">
      <c r="B12" s="40"/>
    </row>
    <row r="13" spans="2:2" ht="76">
      <c r="B13" s="40" t="s">
        <v>99</v>
      </c>
    </row>
    <row r="14" spans="2:2" ht="18">
      <c r="B14" s="40"/>
    </row>
    <row r="15" spans="2:2" ht="57">
      <c r="B15" s="40" t="s">
        <v>98</v>
      </c>
    </row>
    <row r="16" spans="2:2" ht="18">
      <c r="B16" s="40"/>
    </row>
    <row r="17" spans="2:2" ht="19">
      <c r="B17" s="40" t="s">
        <v>89</v>
      </c>
    </row>
    <row r="18" spans="2:2" ht="18">
      <c r="B18" s="38"/>
    </row>
    <row r="19" spans="2:2" ht="19">
      <c r="B19" s="38" t="s">
        <v>97</v>
      </c>
    </row>
    <row r="20" spans="2:2" ht="19">
      <c r="B20" s="38" t="s">
        <v>90</v>
      </c>
    </row>
  </sheetData>
  <phoneticPr fontId="29" type="noConversion"/>
  <pageMargins left="0.75" right="0.75" top="1" bottom="1" header="0.5" footer="0.5"/>
  <pageSetup orientation="landscape" horizontalDpi="0" verticalDpi="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4"/>
  <sheetViews>
    <sheetView showGridLines="0" topLeftCell="A3" workbookViewId="0">
      <selection activeCell="O4" sqref="O4"/>
    </sheetView>
  </sheetViews>
  <sheetFormatPr baseColWidth="10" defaultColWidth="8.6640625" defaultRowHeight="14"/>
  <cols>
    <col min="1" max="1" width="2.5" style="1" customWidth="1"/>
    <col min="2" max="8" width="17.5" style="4" customWidth="1"/>
    <col min="9" max="9" width="8.6640625" style="4"/>
    <col min="10" max="10" width="15.33203125" style="4" customWidth="1"/>
    <col min="11" max="11" width="16.6640625" style="4" customWidth="1"/>
    <col min="12" max="16384" width="8.6640625" style="4"/>
  </cols>
  <sheetData>
    <row r="1" spans="1:11" s="1" customFormat="1" ht="59.25" customHeight="1" thickBot="1">
      <c r="B1" s="42">
        <f>DATE(2019,1,1)</f>
        <v>43466</v>
      </c>
      <c r="C1" s="42"/>
      <c r="D1" s="42"/>
      <c r="E1" s="42"/>
      <c r="F1" s="42"/>
      <c r="G1" s="42"/>
      <c r="H1" s="42"/>
      <c r="J1" s="7" t="s">
        <v>8</v>
      </c>
      <c r="K1" s="8">
        <v>2021</v>
      </c>
    </row>
    <row r="2" spans="1:11" s="3" customFormat="1" ht="21.75" customHeight="1">
      <c r="A2" s="2"/>
      <c r="B2" s="15" t="s">
        <v>0</v>
      </c>
      <c r="C2" s="16" t="s">
        <v>1</v>
      </c>
      <c r="D2" s="16" t="s">
        <v>2</v>
      </c>
      <c r="E2" s="16" t="s">
        <v>3</v>
      </c>
      <c r="F2" s="16" t="s">
        <v>4</v>
      </c>
      <c r="G2" s="16" t="s">
        <v>5</v>
      </c>
      <c r="H2" s="17" t="s">
        <v>6</v>
      </c>
    </row>
    <row r="3" spans="1:11" ht="14" customHeight="1">
      <c r="B3" s="9"/>
      <c r="C3" s="5"/>
      <c r="D3" s="5" t="str">
        <f>IF(AND(YEAR(JanSun1+2)=CalendarYear,MONTH(JanSun1+2)=1),JanSun1+2, "")</f>
        <v/>
      </c>
      <c r="E3" s="5" t="str">
        <f>IF(AND(YEAR(JanSun1+3)=CalendarYear,MONTH(JanSun1+3)=1),JanSun1+3, "")</f>
        <v/>
      </c>
      <c r="F3" s="5" t="str">
        <f>IF(AND(YEAR(JanSun1+4)=CalendarYear,MONTH(JanSun1+4)=1),JanSun1+4, "")</f>
        <v/>
      </c>
      <c r="G3" s="5">
        <f>IF(AND(YEAR(JanSun1+5)=CalendarYear,MONTH(JanSun1+5)=1),JanSun1+5, "")</f>
        <v>44197</v>
      </c>
      <c r="H3" s="10">
        <f>IF(AND(YEAR(JanSun1+6)=CalendarYear,MONTH(JanSun1+6)=1),JanSun1+6, "")</f>
        <v>44198</v>
      </c>
    </row>
    <row r="4" spans="1:11" ht="58" customHeight="1">
      <c r="B4" s="34" t="s">
        <v>17</v>
      </c>
      <c r="C4" s="36" t="s">
        <v>88</v>
      </c>
      <c r="D4" s="26"/>
      <c r="E4" s="26"/>
      <c r="F4" s="26"/>
      <c r="G4" s="26"/>
      <c r="H4" s="30"/>
    </row>
    <row r="5" spans="1:11" ht="14" customHeight="1">
      <c r="B5" s="11">
        <f>IF(AND(YEAR(JanSun1+7)=CalendarYear,MONTH(JanSun1+7)=1),JanSun1+7, "")</f>
        <v>44199</v>
      </c>
      <c r="C5" s="5">
        <f>IF(AND(YEAR(JanSun1+8)=CalendarYear,MONTH(JanSun1+8)=1),JanSun1+8, "")</f>
        <v>44200</v>
      </c>
      <c r="D5" s="5">
        <f>IF(AND(YEAR(JanSun1+9)=CalendarYear,MONTH(JanSun1+9)=1),JanSun1+9, "")</f>
        <v>44201</v>
      </c>
      <c r="E5" s="5">
        <f>IF(AND(YEAR(JanSun1+10)=CalendarYear,MONTH(JanSun1+10)=1),JanSun1+10, "")</f>
        <v>44202</v>
      </c>
      <c r="F5" s="5">
        <f>IF(AND(YEAR(JanSun1+11)=CalendarYear,MONTH(JanSun1+11)=1),JanSun1+11, "")</f>
        <v>44203</v>
      </c>
      <c r="G5" s="5">
        <f>IF(AND(YEAR(JanSun1+12)=CalendarYear,MONTH(JanSun1+12)=1),JanSun1+12,"")</f>
        <v>44204</v>
      </c>
      <c r="H5" s="10">
        <f>IF(AND(YEAR(JanSun1+13)=CalendarYear,MONTH(JanSun1+13)=1),JanSun1+13, "")</f>
        <v>44205</v>
      </c>
    </row>
    <row r="6" spans="1:11" ht="58" customHeight="1">
      <c r="B6" s="29" t="s">
        <v>9</v>
      </c>
      <c r="C6" s="25"/>
      <c r="D6" s="26"/>
      <c r="E6" s="26"/>
      <c r="F6" s="26"/>
      <c r="G6" s="26"/>
      <c r="H6" s="30"/>
    </row>
    <row r="7" spans="1:11" ht="14" customHeight="1">
      <c r="B7" s="11">
        <f>IF(AND(YEAR(JanSun1+14)=CalendarYear,MONTH(JanSun1+14)=1),JanSun1+14, "")</f>
        <v>44206</v>
      </c>
      <c r="C7" s="5">
        <f>IF(AND(YEAR(JanSun1+15)=CalendarYear,MONTH(JanSun1+15)=1),JanSun1+15, "")</f>
        <v>44207</v>
      </c>
      <c r="D7" s="5">
        <f>IF(AND(YEAR(JanSun1+16)=CalendarYear,MONTH(JanSun1+16)=1),JanSun1+16, "")</f>
        <v>44208</v>
      </c>
      <c r="E7" s="5">
        <f>IF(AND(YEAR(JanSun1+17)=CalendarYear,MONTH(JanSun1+17)=1),JanSun1+17, "")</f>
        <v>44209</v>
      </c>
      <c r="F7" s="5">
        <f>IF(AND(YEAR(JanSun1+18)=CalendarYear,MONTH(JanSun1+18)=1),JanSun1+18, "")</f>
        <v>44210</v>
      </c>
      <c r="G7" s="5">
        <f>IF(AND(YEAR(JanSun1+19)=CalendarYear,MONTH(JanSun1+19)=1),JanSun1+19, "")</f>
        <v>44211</v>
      </c>
      <c r="H7" s="10">
        <f>IF(AND(YEAR(JanSun1+20)=CalendarYear,MONTH(JanSun1+20)=1),JanSun1+20, "")</f>
        <v>44212</v>
      </c>
    </row>
    <row r="8" spans="1:11" ht="58" customHeight="1">
      <c r="B8" s="29" t="s">
        <v>10</v>
      </c>
      <c r="C8" s="25"/>
      <c r="D8" s="26"/>
      <c r="E8" s="26"/>
      <c r="F8" s="26"/>
      <c r="G8" s="26"/>
      <c r="H8" s="30"/>
    </row>
    <row r="9" spans="1:11" ht="14" customHeight="1">
      <c r="B9" s="12">
        <f>IF(AND(YEAR(JanSun1+21)=CalendarYear,MONTH(JanSun1+21)=1),JanSun1+21, "")</f>
        <v>44213</v>
      </c>
      <c r="C9" s="6">
        <f>IF(AND(YEAR(JanSun1+22)=CalendarYear,MONTH(JanSun1+22)=1),JanSun1+22, "")</f>
        <v>44214</v>
      </c>
      <c r="D9" s="6">
        <f>IF(AND(YEAR(JanSun1+23)=CalendarYear,MONTH(JanSun1+23)=1),JanSun1+23, "")</f>
        <v>44215</v>
      </c>
      <c r="E9" s="6">
        <f>IF(AND(YEAR(JanSun1+24)=CalendarYear,MONTH(JanSun1+24)=1),JanSun1+24, "")</f>
        <v>44216</v>
      </c>
      <c r="F9" s="6">
        <f>IF(AND(YEAR(JanSun1+25)=CalendarYear,MONTH(JanSun1+25)=1),JanSun1+25, "")</f>
        <v>44217</v>
      </c>
      <c r="G9" s="6">
        <f>IF(AND(YEAR(JanSun1+26)=CalendarYear,MONTH(JanSun1+26)=1),JanSun1+26, "")</f>
        <v>44218</v>
      </c>
      <c r="H9" s="13">
        <f>IF(AND(YEAR(JanSun1+27)=CalendarYear,MONTH(JanSun1+27)=1),JanSun1+27, "")</f>
        <v>44219</v>
      </c>
    </row>
    <row r="10" spans="1:11" ht="58" customHeight="1">
      <c r="B10" s="29" t="s">
        <v>11</v>
      </c>
      <c r="C10" s="25"/>
      <c r="D10" s="26"/>
      <c r="E10" s="26"/>
      <c r="F10" s="26"/>
      <c r="G10" s="26"/>
      <c r="H10" s="30"/>
    </row>
    <row r="11" spans="1:11" ht="14" customHeight="1">
      <c r="B11" s="12">
        <f>IF(AND(YEAR(JanSun1+28)=CalendarYear,MONTH(JanSun1+28)=1),JanSun1+28, "")</f>
        <v>44220</v>
      </c>
      <c r="C11" s="6">
        <f>IF(AND(YEAR(JanSun1+29)=CalendarYear,MONTH(JanSun1+29)=1),JanSun1+29, "")</f>
        <v>44221</v>
      </c>
      <c r="D11" s="6">
        <f>IF(AND(YEAR(JanSun1+30)=CalendarYear,MONTH(JanSun1+30)=1),JanSun1+30, "")</f>
        <v>44222</v>
      </c>
      <c r="E11" s="6">
        <f>IF(AND(YEAR(JanSun1+31)=CalendarYear,MONTH(JanSun1+31)=1),JanSun1+31, "")</f>
        <v>44223</v>
      </c>
      <c r="F11" s="6">
        <f>IF(AND(YEAR(JanSun1+32)=CalendarYear,MONTH(JanSun1+32)=1),JanSun1+32, "")</f>
        <v>44224</v>
      </c>
      <c r="G11" s="6">
        <f>IF(AND(YEAR(JanSun1+33)=CalendarYear,MONTH(JanSun1+33)=1),JanSun1+33, "")</f>
        <v>44225</v>
      </c>
      <c r="H11" s="13">
        <f>IF(AND(YEAR(JanSun1+34)=CalendarYear,MONTH(JanSun1+34)=1),JanSun1+34, "")</f>
        <v>44226</v>
      </c>
    </row>
    <row r="12" spans="1:11" ht="58" customHeight="1">
      <c r="B12" s="29" t="s">
        <v>12</v>
      </c>
      <c r="C12" s="25"/>
      <c r="D12" s="26"/>
      <c r="E12" s="26"/>
      <c r="F12" s="25"/>
      <c r="G12" s="25"/>
      <c r="H12" s="30"/>
    </row>
    <row r="13" spans="1:11" ht="14" customHeight="1">
      <c r="B13" s="12">
        <f>IF(AND(YEAR(JanSun1+35)=CalendarYear,MONTH(JanSun1+35)=1),JanSun1+35, "")</f>
        <v>44227</v>
      </c>
      <c r="C13" s="6" t="str">
        <f>IF(AND(YEAR(JanSun1+36)=CalendarYear,MONTH(JanSun1+36)=1),JanSun1+36, "")</f>
        <v/>
      </c>
      <c r="D13" s="46" t="s">
        <v>15</v>
      </c>
      <c r="E13" s="46"/>
      <c r="F13" s="46"/>
      <c r="G13" s="46"/>
      <c r="H13" s="47"/>
    </row>
    <row r="14" spans="1:11" ht="58" customHeight="1" thickBot="1">
      <c r="B14" s="31" t="s">
        <v>13</v>
      </c>
      <c r="C14" s="27"/>
      <c r="D14" s="43" t="s">
        <v>14</v>
      </c>
      <c r="E14" s="44"/>
      <c r="F14" s="44"/>
      <c r="G14" s="44"/>
      <c r="H14" s="45"/>
    </row>
  </sheetData>
  <mergeCells count="3">
    <mergeCell ref="B1:H1"/>
    <mergeCell ref="D14:H14"/>
    <mergeCell ref="D13:H13"/>
  </mergeCells>
  <phoneticPr fontId="1" type="noConversion"/>
  <dataValidations count="1">
    <dataValidation type="list" allowBlank="1" showInputMessage="1" showErrorMessage="1" sqref="K1" xr:uid="{00000000-0002-0000-0200-000000000000}">
      <formula1>Year</formula1>
    </dataValidation>
  </dataValidations>
  <printOptions horizontalCentered="1"/>
  <pageMargins left="0.25" right="0.25" top="0.75" bottom="0.5" header="0.5" footer="0.5"/>
  <pageSetup scale="68" orientation="landscape" horizontalDpi="4294967292" verticalDpi="4294967292"/>
  <headerFooter alignWithMargins="0"/>
  <customProperties>
    <customPr name="SheetChanged" r:id="rId1"/>
  </customPropertie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4"/>
  <sheetViews>
    <sheetView showGridLines="0" workbookViewId="0">
      <selection activeCell="P9" sqref="P9"/>
    </sheetView>
  </sheetViews>
  <sheetFormatPr baseColWidth="10" defaultColWidth="8.6640625" defaultRowHeight="14"/>
  <cols>
    <col min="1" max="1" width="2.5" style="1" customWidth="1"/>
    <col min="2" max="8" width="17.5" style="4" customWidth="1"/>
    <col min="9" max="9" width="8.6640625" style="4"/>
    <col min="10" max="10" width="6.6640625" style="4" customWidth="1"/>
    <col min="11" max="16384" width="8.6640625" style="4"/>
  </cols>
  <sheetData>
    <row r="1" spans="1:12" s="1" customFormat="1" ht="59.25" customHeight="1" thickBot="1">
      <c r="B1" s="42">
        <f>DATE(CalendarYear,2,1)</f>
        <v>44228</v>
      </c>
      <c r="C1" s="42"/>
      <c r="D1" s="42"/>
      <c r="E1" s="42"/>
      <c r="F1" s="42"/>
      <c r="G1" s="42"/>
      <c r="H1" s="42"/>
    </row>
    <row r="2" spans="1:12" s="3" customFormat="1" ht="21.75" customHeight="1">
      <c r="A2" s="2"/>
      <c r="B2" s="18" t="s">
        <v>0</v>
      </c>
      <c r="C2" s="19" t="s">
        <v>1</v>
      </c>
      <c r="D2" s="19" t="s">
        <v>2</v>
      </c>
      <c r="E2" s="19" t="s">
        <v>3</v>
      </c>
      <c r="F2" s="19" t="s">
        <v>4</v>
      </c>
      <c r="G2" s="19" t="s">
        <v>5</v>
      </c>
      <c r="H2" s="20" t="s">
        <v>6</v>
      </c>
    </row>
    <row r="3" spans="1:12" ht="14" customHeight="1">
      <c r="B3" s="9" t="str">
        <f>IF(AND(YEAR(FebSun1)=CalendarYear,MONTH(FebSun1)=2),FebSun1, "")</f>
        <v/>
      </c>
      <c r="C3" s="5">
        <f>IF(AND(YEAR(FebSun1+1)=CalendarYear,MONTH(FebSun1+1)=2),FebSun1+1, "")</f>
        <v>44228</v>
      </c>
      <c r="D3" s="5">
        <f>IF(AND(YEAR(FebSun1+2)=CalendarYear,MONTH(FebSun1+2)=2),FebSun1+2, "")</f>
        <v>44229</v>
      </c>
      <c r="E3" s="5">
        <f>IF(AND(YEAR(FebSun1+3)=CalendarYear,MONTH(FebSun1+3)=2),FebSun1+3, "")</f>
        <v>44230</v>
      </c>
      <c r="F3" s="5">
        <f>IF(AND(YEAR(FebSun1+4)=CalendarYear,MONTH(FebSun1+4)=2),FebSun1+4, "")</f>
        <v>44231</v>
      </c>
      <c r="G3" s="5">
        <f>IF(AND(YEAR(FebSun1+5)=CalendarYear,MONTH(FebSun1+5)=2),FebSun1+5, "")</f>
        <v>44232</v>
      </c>
      <c r="H3" s="10">
        <f>IF(AND(YEAR(FebSun1+6)=CalendarYear,MONTH(FebSun1+6)=2),FebSun1+6, "")</f>
        <v>44233</v>
      </c>
      <c r="K3" s="21"/>
      <c r="L3" s="21"/>
    </row>
    <row r="4" spans="1:12" ht="58" customHeight="1">
      <c r="B4" s="34" t="s">
        <v>27</v>
      </c>
      <c r="C4" s="25"/>
      <c r="D4" s="26"/>
      <c r="E4" s="26"/>
      <c r="F4" s="26"/>
      <c r="G4" s="26"/>
      <c r="H4" s="30"/>
      <c r="K4" s="21"/>
    </row>
    <row r="5" spans="1:12" ht="14" customHeight="1">
      <c r="B5" s="11">
        <f>IF(AND(YEAR(FebSun1+7)=CalendarYear,MONTH(FebSun1+7)=2),FebSun1+7, "")</f>
        <v>44234</v>
      </c>
      <c r="C5" s="5">
        <f>IF(AND(YEAR(FebSun1+8)=CalendarYear,MONTH(FebSun1+8)=2),FebSun1+8, "")</f>
        <v>44235</v>
      </c>
      <c r="D5" s="5">
        <f>IF(AND(YEAR(FebSun1+9)=CalendarYear,MONTH(FebSun1+9)=2),FebSun1+9, "")</f>
        <v>44236</v>
      </c>
      <c r="E5" s="5">
        <f>IF(AND(YEAR(FebSun1+10)=CalendarYear,MONTH(FebSun1+10)=2),FebSun1+10, "")</f>
        <v>44237</v>
      </c>
      <c r="F5" s="5">
        <f>IF(AND(YEAR(FebSun1+11)=CalendarYear,MONTH(FebSun1+11)=2),FebSun1+11, "")</f>
        <v>44238</v>
      </c>
      <c r="G5" s="5">
        <f>IF(AND(YEAR(FebSun1+12)=CalendarYear,MONTH(FebSun1+12)=2),FebSun1+12,"")</f>
        <v>44239</v>
      </c>
      <c r="H5" s="10">
        <f>IF(AND(YEAR(FebSun1+13)=CalendarYear,MONTH(FebSun1+13)=2),FebSun1+13, "")</f>
        <v>44240</v>
      </c>
      <c r="J5" s="21"/>
      <c r="K5" s="21"/>
    </row>
    <row r="6" spans="1:12" ht="58" customHeight="1">
      <c r="B6" s="29" t="s">
        <v>18</v>
      </c>
      <c r="C6" s="25"/>
      <c r="D6" s="26"/>
      <c r="E6" s="26"/>
      <c r="F6" s="26"/>
      <c r="G6" s="26"/>
      <c r="H6" s="30"/>
      <c r="J6" s="21"/>
      <c r="K6" s="21"/>
    </row>
    <row r="7" spans="1:12" ht="14" customHeight="1">
      <c r="B7" s="11">
        <f>IF(AND(YEAR(FebSun1+14)=CalendarYear,MONTH(FebSun1+14)=2),FebSun1+14, "")</f>
        <v>44241</v>
      </c>
      <c r="C7" s="5">
        <f>IF(AND(YEAR(FebSun1+15)=CalendarYear,MONTH(FebSun1+15)=2),FebSun1+15, "")</f>
        <v>44242</v>
      </c>
      <c r="D7" s="5">
        <f>IF(AND(YEAR(FebSun1+16)=CalendarYear,MONTH(FebSun1+16)=2),FebSun1+16, "")</f>
        <v>44243</v>
      </c>
      <c r="E7" s="5">
        <f>IF(AND(YEAR(FebSun1+17)=CalendarYear,MONTH(FebSun1+17)=2),FebSun1+17, "")</f>
        <v>44244</v>
      </c>
      <c r="F7" s="5">
        <f>IF(AND(YEAR(FebSun1+18)=CalendarYear,MONTH(FebSun1+18)=2),FebSun1+18, "")</f>
        <v>44245</v>
      </c>
      <c r="G7" s="5">
        <f>IF(AND(YEAR(FebSun1+19)=CalendarYear,MONTH(FebSun1+19)=2),FebSun1+19, "")</f>
        <v>44246</v>
      </c>
      <c r="H7" s="10">
        <f>IF(AND(YEAR(FebSun1+20)=CalendarYear,MONTH(FebSun1+20)=2),FebSun1+20, "")</f>
        <v>44247</v>
      </c>
      <c r="J7" s="21"/>
      <c r="K7" s="21"/>
    </row>
    <row r="8" spans="1:12" ht="58" customHeight="1">
      <c r="B8" s="29" t="s">
        <v>19</v>
      </c>
      <c r="C8" s="25"/>
      <c r="D8" s="26"/>
      <c r="E8" s="26"/>
      <c r="F8" s="26"/>
      <c r="G8" s="26"/>
      <c r="H8" s="30"/>
      <c r="J8" s="21"/>
      <c r="K8" s="21"/>
    </row>
    <row r="9" spans="1:12" ht="14" customHeight="1">
      <c r="B9" s="12">
        <f>IF(AND(YEAR(FebSun1+21)=CalendarYear,MONTH(FebSun1+21)=2),FebSun1+21, "")</f>
        <v>44248</v>
      </c>
      <c r="C9" s="6">
        <f>IF(AND(YEAR(FebSun1+22)=CalendarYear,MONTH(FebSun1+22)=2),FebSun1+22, "")</f>
        <v>44249</v>
      </c>
      <c r="D9" s="6">
        <f>IF(AND(YEAR(FebSun1+23)=CalendarYear,MONTH(FebSun1+23)=2),FebSun1+23, "")</f>
        <v>44250</v>
      </c>
      <c r="E9" s="6">
        <f>IF(AND(YEAR(FebSun1+24)=CalendarYear,MONTH(FebSun1+24)=2),FebSun1+24, "")</f>
        <v>44251</v>
      </c>
      <c r="F9" s="6">
        <f>IF(AND(YEAR(FebSun1+25)=CalendarYear,MONTH(FebSun1+25)=2),FebSun1+25, "")</f>
        <v>44252</v>
      </c>
      <c r="G9" s="6">
        <f>IF(AND(YEAR(FebSun1+26)=CalendarYear,MONTH(FebSun1+26)=2),FebSun1+26, "")</f>
        <v>44253</v>
      </c>
      <c r="H9" s="13">
        <f>IF(AND(YEAR(FebSun1+27)=CalendarYear,MONTH(FebSun1+27)=2),FebSun1+27, "")</f>
        <v>44254</v>
      </c>
      <c r="J9" s="21"/>
      <c r="K9" s="21"/>
    </row>
    <row r="10" spans="1:12" ht="58" customHeight="1">
      <c r="B10" s="29" t="s">
        <v>20</v>
      </c>
      <c r="C10" s="25"/>
      <c r="D10" s="26"/>
      <c r="E10" s="26"/>
      <c r="F10" s="26"/>
      <c r="G10" s="26"/>
      <c r="H10" s="30"/>
      <c r="J10" s="21"/>
      <c r="K10" s="21"/>
    </row>
    <row r="11" spans="1:12" ht="14" customHeight="1">
      <c r="B11" s="12">
        <f>IF(AND(YEAR(FebSun1+28)=CalendarYear,MONTH(FebSun1+28)=2),FebSun1+28, "")</f>
        <v>44255</v>
      </c>
      <c r="C11" s="6" t="str">
        <f>IF(AND(YEAR(FebSun1+29)=CalendarYear,MONTH(FebSun1+29)=2),FebSun1+29, "")</f>
        <v/>
      </c>
      <c r="D11" s="6" t="str">
        <f>IF(AND(YEAR(FebSun1+30)=CalendarYear,MONTH(FebSun1+30)=2),FebSun1+30, "")</f>
        <v/>
      </c>
      <c r="E11" s="6" t="str">
        <f>IF(AND(YEAR(FebSun1+31)=CalendarYear,MONTH(FebSun1+31)=2),FebSun1+31, "")</f>
        <v/>
      </c>
      <c r="F11" s="6" t="str">
        <f>IF(AND(YEAR(FebSun1+32)=CalendarYear,MONTH(FebSun1+32)=2),FebSun1+32, "")</f>
        <v/>
      </c>
      <c r="G11" s="6" t="str">
        <f>IF(AND(YEAR(FebSun1+33)=CalendarYear,MONTH(FebSun1+33)=2),FebSun1+33, "")</f>
        <v/>
      </c>
      <c r="H11" s="13" t="str">
        <f>IF(AND(YEAR(FebSun1+34)=CalendarYear,MONTH(FebSun1+34)=2),FebSun1+34, "")</f>
        <v/>
      </c>
    </row>
    <row r="12" spans="1:12" ht="58" customHeight="1">
      <c r="B12" s="29" t="s">
        <v>21</v>
      </c>
      <c r="C12" s="25"/>
      <c r="D12" s="26"/>
      <c r="E12" s="26"/>
      <c r="F12" s="25"/>
      <c r="G12" s="25"/>
      <c r="H12" s="30"/>
    </row>
    <row r="13" spans="1:12" ht="14" customHeight="1">
      <c r="B13" s="49" t="s">
        <v>16</v>
      </c>
      <c r="C13" s="50"/>
      <c r="D13" s="50"/>
      <c r="E13" s="50"/>
      <c r="F13" s="50"/>
      <c r="G13" s="50"/>
      <c r="H13" s="51"/>
    </row>
    <row r="14" spans="1:12" ht="58" customHeight="1" thickBot="1">
      <c r="B14" s="48" t="s">
        <v>22</v>
      </c>
      <c r="C14" s="44"/>
      <c r="D14" s="44"/>
      <c r="E14" s="44"/>
      <c r="F14" s="44"/>
      <c r="G14" s="44"/>
      <c r="H14" s="45"/>
    </row>
  </sheetData>
  <mergeCells count="3">
    <mergeCell ref="B1:H1"/>
    <mergeCell ref="B14:H14"/>
    <mergeCell ref="B13:H13"/>
  </mergeCells>
  <phoneticPr fontId="1" type="noConversion"/>
  <printOptions horizontalCentered="1"/>
  <pageMargins left="0.5" right="0.5" top="0.75" bottom="0.75" header="0.5" footer="0.5"/>
  <pageSetup scale="76" orientation="landscape" horizontalDpi="4294967292" verticalDpi="4294967292"/>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6"/>
  <sheetViews>
    <sheetView showGridLines="0" workbookViewId="0">
      <selection activeCell="O7" sqref="O7"/>
    </sheetView>
  </sheetViews>
  <sheetFormatPr baseColWidth="10" defaultColWidth="8.6640625" defaultRowHeight="14"/>
  <cols>
    <col min="1" max="1" width="2.5" style="1" customWidth="1"/>
    <col min="2" max="8" width="17.5" style="4" customWidth="1"/>
    <col min="9" max="16384" width="8.6640625" style="4"/>
  </cols>
  <sheetData>
    <row r="1" spans="1:11" s="1" customFormat="1" ht="59.25" customHeight="1" thickBot="1">
      <c r="B1" s="42">
        <f>DATE(CalendarYear,3,1)</f>
        <v>44256</v>
      </c>
      <c r="C1" s="42"/>
      <c r="D1" s="42"/>
      <c r="E1" s="42"/>
      <c r="F1" s="42"/>
      <c r="G1" s="42"/>
      <c r="H1" s="42"/>
    </row>
    <row r="2" spans="1:11" s="3" customFormat="1" ht="21.75" customHeight="1">
      <c r="A2" s="2"/>
      <c r="B2" s="15" t="s">
        <v>0</v>
      </c>
      <c r="C2" s="16" t="s">
        <v>1</v>
      </c>
      <c r="D2" s="16" t="s">
        <v>2</v>
      </c>
      <c r="E2" s="16" t="s">
        <v>3</v>
      </c>
      <c r="F2" s="16" t="s">
        <v>4</v>
      </c>
      <c r="G2" s="16" t="s">
        <v>5</v>
      </c>
      <c r="H2" s="17" t="s">
        <v>6</v>
      </c>
    </row>
    <row r="3" spans="1:11" ht="14" customHeight="1">
      <c r="B3" s="9" t="str">
        <f>IF(AND(YEAR(MarSun1)=CalendarYear,MONTH(MarSun1)=3),MarSun1, "")</f>
        <v/>
      </c>
      <c r="C3" s="5">
        <f>IF(AND(YEAR(MarSun1+1)=CalendarYear,MONTH(MarSun1+1)=3),MarSun1+1, "")</f>
        <v>44256</v>
      </c>
      <c r="D3" s="5">
        <f>IF(AND(YEAR(MarSun1+2)=CalendarYear,MONTH(MarSun1+2)=3),MarSun1+2, "")</f>
        <v>44257</v>
      </c>
      <c r="E3" s="5">
        <f>IF(AND(YEAR(MarSun1+3)=CalendarYear,MONTH(MarSun1+3)=3),MarSun1+3, "")</f>
        <v>44258</v>
      </c>
      <c r="F3" s="5">
        <f>IF(AND(YEAR(MarSun1+4)=CalendarYear,MONTH(MarSun1+4)=3),MarSun1+4, "")</f>
        <v>44259</v>
      </c>
      <c r="G3" s="5">
        <f>IF(AND(YEAR(MarSun1+5)=CalendarYear,MONTH(MarSun1+5)=3),MarSun1+5, "")</f>
        <v>44260</v>
      </c>
      <c r="H3" s="10">
        <f>IF(AND(YEAR(MarSun1+6)=CalendarYear,MONTH(MarSun1+6)=3),MarSun1+6, "")</f>
        <v>44261</v>
      </c>
    </row>
    <row r="4" spans="1:11" ht="58" customHeight="1">
      <c r="B4" s="29" t="s">
        <v>28</v>
      </c>
      <c r="C4" s="25"/>
      <c r="D4" s="26"/>
      <c r="E4" s="26"/>
      <c r="F4" s="26"/>
      <c r="G4" s="26"/>
      <c r="H4" s="30"/>
    </row>
    <row r="5" spans="1:11" ht="14" customHeight="1">
      <c r="B5" s="11">
        <f>IF(AND(YEAR(MarSun1+7)=CalendarYear,MONTH(MarSun1+7)=3),MarSun1+7, "")</f>
        <v>44262</v>
      </c>
      <c r="C5" s="5">
        <f>IF(AND(YEAR(MarSun1+8)=CalendarYear,MONTH(MarSun1+8)=3),MarSun1+8, "")</f>
        <v>44263</v>
      </c>
      <c r="D5" s="5">
        <f>IF(AND(YEAR(MarSun1+9)=CalendarYear,MONTH(MarSun1+9)=3),MarSun1+9, "")</f>
        <v>44264</v>
      </c>
      <c r="E5" s="5">
        <f>IF(AND(YEAR(MarSun1+10)=CalendarYear,MONTH(MarSun1+10)=3),MarSun1+10, "")</f>
        <v>44265</v>
      </c>
      <c r="F5" s="5">
        <f>IF(AND(YEAR(MarSun1+11)=CalendarYear,MONTH(MarSun1+11)=3),MarSun1+11, "")</f>
        <v>44266</v>
      </c>
      <c r="G5" s="5">
        <f>IF(AND(YEAR(MarSun1+12)=CalendarYear,MONTH(MarSun1+12)=3),MarSun1+12,"")</f>
        <v>44267</v>
      </c>
      <c r="H5" s="10">
        <f>IF(AND(YEAR(MarSun1+13)=CalendarYear,MONTH(MarSun1+13)=3),MarSun1+13, "")</f>
        <v>44268</v>
      </c>
    </row>
    <row r="6" spans="1:11" ht="58" customHeight="1">
      <c r="B6" s="29" t="s">
        <v>23</v>
      </c>
      <c r="C6" s="25"/>
      <c r="D6" s="26"/>
      <c r="E6" s="26"/>
      <c r="F6" s="26"/>
      <c r="G6" s="26"/>
      <c r="H6" s="30"/>
      <c r="J6" s="21"/>
    </row>
    <row r="7" spans="1:11" ht="14" customHeight="1">
      <c r="B7" s="11">
        <f>IF(AND(YEAR(MarSun1+14)=CalendarYear,MONTH(MarSun1+14)=3),MarSun1+14, "")</f>
        <v>44269</v>
      </c>
      <c r="C7" s="5">
        <f>IF(AND(YEAR(MarSun1+15)=CalendarYear,MONTH(MarSun1+15)=3),MarSun1+15, "")</f>
        <v>44270</v>
      </c>
      <c r="D7" s="5">
        <f>IF(AND(YEAR(MarSun1+16)=CalendarYear,MONTH(MarSun1+16)=3),MarSun1+16, "")</f>
        <v>44271</v>
      </c>
      <c r="E7" s="5">
        <f>IF(AND(YEAR(MarSun1+17)=CalendarYear,MONTH(MarSun1+17)=3),MarSun1+17, "")</f>
        <v>44272</v>
      </c>
      <c r="F7" s="5">
        <f>IF(AND(YEAR(MarSun1+18)=CalendarYear,MONTH(MarSun1+18)=3),MarSun1+18, "")</f>
        <v>44273</v>
      </c>
      <c r="G7" s="5">
        <f>IF(AND(YEAR(MarSun1+19)=CalendarYear,MONTH(MarSun1+19)=3),MarSun1+19, "")</f>
        <v>44274</v>
      </c>
      <c r="H7" s="10">
        <f>IF(AND(YEAR(MarSun1+20)=CalendarYear,MONTH(MarSun1+20)=3),MarSun1+20, "")</f>
        <v>44275</v>
      </c>
    </row>
    <row r="8" spans="1:11" ht="58" customHeight="1">
      <c r="B8" s="29" t="s">
        <v>24</v>
      </c>
      <c r="C8" s="25"/>
      <c r="D8" s="26"/>
      <c r="E8" s="26"/>
      <c r="F8" s="26"/>
      <c r="G8" s="26"/>
      <c r="H8" s="30"/>
    </row>
    <row r="9" spans="1:11" ht="14" customHeight="1">
      <c r="B9" s="12">
        <f>IF(AND(YEAR(MarSun1+21)=CalendarYear,MONTH(MarSun1+21)=3),MarSun1+21, "")</f>
        <v>44276</v>
      </c>
      <c r="C9" s="6">
        <f>IF(AND(YEAR(MarSun1+22)=CalendarYear,MONTH(MarSun1+22)=3),MarSun1+22, "")</f>
        <v>44277</v>
      </c>
      <c r="D9" s="6">
        <f>IF(AND(YEAR(MarSun1+23)=CalendarYear,MONTH(MarSun1+23)=3),MarSun1+23, "")</f>
        <v>44278</v>
      </c>
      <c r="E9" s="6">
        <f>IF(AND(YEAR(MarSun1+24)=CalendarYear,MONTH(MarSun1+24)=3),MarSun1+24, "")</f>
        <v>44279</v>
      </c>
      <c r="F9" s="6">
        <f>IF(AND(YEAR(MarSun1+25)=CalendarYear,MONTH(MarSun1+25)=3),MarSun1+25, "")</f>
        <v>44280</v>
      </c>
      <c r="G9" s="6">
        <f>IF(AND(YEAR(MarSun1+26)=CalendarYear,MONTH(MarSun1+26)=3),MarSun1+26, "")</f>
        <v>44281</v>
      </c>
      <c r="H9" s="13">
        <f>IF(AND(YEAR(MarSun1+27)=CalendarYear,MONTH(MarSun1+27)=3),MarSun1+27, "")</f>
        <v>44282</v>
      </c>
    </row>
    <row r="10" spans="1:11" ht="58" customHeight="1">
      <c r="B10" s="29" t="s">
        <v>25</v>
      </c>
      <c r="C10" s="25"/>
      <c r="D10" s="26"/>
      <c r="E10" s="26"/>
      <c r="F10" s="26"/>
      <c r="G10" s="26"/>
      <c r="H10" s="30"/>
    </row>
    <row r="11" spans="1:11" ht="14" customHeight="1">
      <c r="B11" s="12">
        <f>IF(AND(YEAR(MarSun1+28)=CalendarYear,MONTH(MarSun1+28)=3),MarSun1+28, "")</f>
        <v>44283</v>
      </c>
      <c r="C11" s="6">
        <f>IF(AND(YEAR(MarSun1+29)=CalendarYear,MONTH(MarSun1+29)=3),MarSun1+29, "")</f>
        <v>44284</v>
      </c>
      <c r="D11" s="6">
        <f>IF(AND(YEAR(MarSun1+30)=CalendarYear,MONTH(MarSun1+30)=3),MarSun1+30, "")</f>
        <v>44285</v>
      </c>
      <c r="E11" s="6">
        <f>IF(AND(YEAR(MarSun1+31)=CalendarYear,MONTH(MarSun1+31)=3),MarSun1+31, "")</f>
        <v>44286</v>
      </c>
      <c r="F11" s="6" t="str">
        <f>IF(AND(YEAR(MarSun1+32)=CalendarYear,MONTH(MarSun1+32)=3),MarSun1+32, "")</f>
        <v/>
      </c>
      <c r="G11" s="6" t="str">
        <f>IF(AND(YEAR(MarSun1+33)=CalendarYear,MONTH(MarSun1+33)=3),MarSun1+33, "")</f>
        <v/>
      </c>
      <c r="H11" s="13" t="str">
        <f>IF(AND(YEAR(MarSun1+34)=CalendarYear,MONTH(MarSun1+34)=3),MarSun1+34, "")</f>
        <v/>
      </c>
    </row>
    <row r="12" spans="1:11" ht="58" customHeight="1">
      <c r="B12" s="29" t="s">
        <v>26</v>
      </c>
      <c r="C12" s="25"/>
      <c r="D12" s="26"/>
      <c r="E12" s="26"/>
      <c r="F12" s="25"/>
      <c r="G12" s="25"/>
      <c r="H12" s="30"/>
    </row>
    <row r="13" spans="1:11" ht="14" customHeight="1">
      <c r="B13" s="12" t="str">
        <f>IF(AND(YEAR(MarSun1+35)=CalendarYear,MONTH(MarSun1+35)=3),MarSun1+35, "")</f>
        <v/>
      </c>
      <c r="C13" s="6" t="str">
        <f>IF(AND(YEAR(MarSun1+36)=CalendarYear,MONTH(MarSun1+36)=3),MarSun1+36, "")</f>
        <v/>
      </c>
      <c r="D13" s="46" t="s">
        <v>29</v>
      </c>
      <c r="E13" s="46"/>
      <c r="F13" s="46"/>
      <c r="G13" s="46"/>
      <c r="H13" s="47"/>
    </row>
    <row r="14" spans="1:11" ht="58" customHeight="1" thickBot="1">
      <c r="B14" s="32"/>
      <c r="C14" s="14"/>
      <c r="D14" s="43" t="s">
        <v>31</v>
      </c>
      <c r="E14" s="44"/>
      <c r="F14" s="44"/>
      <c r="G14" s="44"/>
      <c r="H14" s="45"/>
    </row>
    <row r="16" spans="1:11">
      <c r="C16" s="21"/>
    </row>
  </sheetData>
  <mergeCells count="3">
    <mergeCell ref="B1:H1"/>
    <mergeCell ref="D14:H14"/>
    <mergeCell ref="D13:H13"/>
  </mergeCells>
  <phoneticPr fontId="1" type="noConversion"/>
  <printOptions horizontalCentered="1"/>
  <pageMargins left="0.5" right="0.5" top="0.75" bottom="0.75" header="0.5" footer="0.5"/>
  <pageSetup scale="79" orientation="landscape" horizontalDpi="4294967292" verticalDpi="4294967292"/>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4"/>
  <sheetViews>
    <sheetView showGridLines="0" workbookViewId="0">
      <selection activeCell="B1" sqref="B1:H1"/>
    </sheetView>
  </sheetViews>
  <sheetFormatPr baseColWidth="10" defaultColWidth="8.6640625" defaultRowHeight="14"/>
  <cols>
    <col min="1" max="1" width="2.5" style="1" customWidth="1"/>
    <col min="2" max="8" width="17.5" style="4" customWidth="1"/>
    <col min="9" max="16384" width="8.6640625" style="4"/>
  </cols>
  <sheetData>
    <row r="1" spans="1:12" s="1" customFormat="1" ht="59.25" customHeight="1" thickBot="1">
      <c r="B1" s="42">
        <f>DATE(CalendarYear,4,1)</f>
        <v>44287</v>
      </c>
      <c r="C1" s="42"/>
      <c r="D1" s="42"/>
      <c r="E1" s="42"/>
      <c r="F1" s="42"/>
      <c r="G1" s="42"/>
      <c r="H1" s="42"/>
    </row>
    <row r="2" spans="1:12" s="3" customFormat="1" ht="21.75" customHeight="1">
      <c r="A2" s="2"/>
      <c r="B2" s="18" t="s">
        <v>0</v>
      </c>
      <c r="C2" s="19" t="s">
        <v>1</v>
      </c>
      <c r="D2" s="19" t="s">
        <v>2</v>
      </c>
      <c r="E2" s="19" t="s">
        <v>3</v>
      </c>
      <c r="F2" s="19" t="s">
        <v>4</v>
      </c>
      <c r="G2" s="19" t="s">
        <v>5</v>
      </c>
      <c r="H2" s="20" t="s">
        <v>6</v>
      </c>
    </row>
    <row r="3" spans="1:12" ht="14" customHeight="1">
      <c r="B3" s="9" t="str">
        <f>IF(AND(YEAR(AprSun1)=CalendarYear,MONTH(AprSun1)=4),AprSun1, "")</f>
        <v/>
      </c>
      <c r="C3" s="5" t="str">
        <f>IF(AND(YEAR(AprSun1+1)=CalendarYear,MONTH(AprSun1+1)=4),AprSun1+1, "")</f>
        <v/>
      </c>
      <c r="D3" s="5" t="str">
        <f>IF(AND(YEAR(AprSun1+2)=CalendarYear,MONTH(AprSun1+2)=4),AprSun1+2, "")</f>
        <v/>
      </c>
      <c r="E3" s="5" t="str">
        <f>IF(AND(YEAR(AprSun1+3)=CalendarYear,MONTH(AprSun1+3)=4),AprSun1+3, "")</f>
        <v/>
      </c>
      <c r="F3" s="5">
        <f>IF(AND(YEAR(AprSun1+4)=CalendarYear,MONTH(AprSun1+4)=4),AprSun1+4, "")</f>
        <v>44287</v>
      </c>
      <c r="G3" s="5">
        <f>IF(AND(YEAR(AprSun1+5)=CalendarYear,MONTH(AprSun1+5)=4),AprSun1+5, "")</f>
        <v>44288</v>
      </c>
      <c r="H3" s="10">
        <f>IF(AND(YEAR(AprSun1+6)=CalendarYear,MONTH(AprSun1+6)=4),AprSun1+6, "")</f>
        <v>44289</v>
      </c>
    </row>
    <row r="4" spans="1:12" ht="58" customHeight="1">
      <c r="B4" s="29" t="s">
        <v>35</v>
      </c>
      <c r="C4" s="25"/>
      <c r="D4" s="26"/>
      <c r="E4" s="26"/>
      <c r="F4" s="26"/>
      <c r="G4" s="26"/>
      <c r="H4" s="30"/>
    </row>
    <row r="5" spans="1:12" ht="14" customHeight="1">
      <c r="B5" s="11">
        <f>IF(AND(YEAR(AprSun1+7)=CalendarYear,MONTH(AprSun1+7)=4),AprSun1+7, "")</f>
        <v>44290</v>
      </c>
      <c r="C5" s="5">
        <f>IF(AND(YEAR(AprSun1+8)=CalendarYear,MONTH(AprSun1+8)=4),AprSun1+8, "")</f>
        <v>44291</v>
      </c>
      <c r="D5" s="5">
        <f>IF(AND(YEAR(AprSun1+9)=CalendarYear,MONTH(AprSun1+9)=4),AprSun1+9, "")</f>
        <v>44292</v>
      </c>
      <c r="E5" s="5">
        <f>IF(AND(YEAR(AprSun1+10)=CalendarYear,MONTH(AprSun1+10)=4),AprSun1+10, "")</f>
        <v>44293</v>
      </c>
      <c r="F5" s="5">
        <f>IF(AND(YEAR(AprSun1+11)=CalendarYear,MONTH(AprSun1+11)=4),AprSun1+11, "")</f>
        <v>44294</v>
      </c>
      <c r="G5" s="5">
        <f>IF(AND(YEAR(AprSun1+12)=CalendarYear,MONTH(AprSun1+12)=4),AprSun1+12,"")</f>
        <v>44295</v>
      </c>
      <c r="H5" s="10">
        <f>IF(AND(YEAR(AprSun1+13)=CalendarYear,MONTH(AprSun1+13)=4),AprSun1+13, "")</f>
        <v>44296</v>
      </c>
    </row>
    <row r="6" spans="1:12" ht="58" customHeight="1">
      <c r="B6" s="29" t="s">
        <v>32</v>
      </c>
      <c r="C6" s="25"/>
      <c r="D6" s="26"/>
      <c r="E6" s="26"/>
      <c r="F6" s="26"/>
      <c r="G6" s="26"/>
      <c r="H6" s="30"/>
      <c r="L6" s="4" t="s">
        <v>30</v>
      </c>
    </row>
    <row r="7" spans="1:12" ht="14" customHeight="1">
      <c r="B7" s="11">
        <f>IF(AND(YEAR(AprSun1+14)=CalendarYear,MONTH(AprSun1+14)=4),AprSun1+14, "")</f>
        <v>44297</v>
      </c>
      <c r="C7" s="5">
        <f>IF(AND(YEAR(AprSun1+15)=CalendarYear,MONTH(AprSun1+15)=4),AprSun1+15, "")</f>
        <v>44298</v>
      </c>
      <c r="D7" s="5">
        <f>IF(AND(YEAR(AprSun1+16)=CalendarYear,MONTH(AprSun1+16)=4),AprSun1+16, "")</f>
        <v>44299</v>
      </c>
      <c r="E7" s="5">
        <f>IF(AND(YEAR(AprSun1+17)=CalendarYear,MONTH(AprSun1+17)=4),AprSun1+17, "")</f>
        <v>44300</v>
      </c>
      <c r="F7" s="5">
        <f>IF(AND(YEAR(AprSun1+18)=CalendarYear,MONTH(AprSun1+18)=4),AprSun1+18, "")</f>
        <v>44301</v>
      </c>
      <c r="G7" s="5">
        <f>IF(AND(YEAR(AprSun1+19)=CalendarYear,MONTH(AprSun1+19)=4),AprSun1+19, "")</f>
        <v>44302</v>
      </c>
      <c r="H7" s="10">
        <f>IF(AND(YEAR(AprSun1+20)=CalendarYear,MONTH(AprSun1+20)=4),AprSun1+20, "")</f>
        <v>44303</v>
      </c>
    </row>
    <row r="8" spans="1:12" ht="58" customHeight="1">
      <c r="B8" s="29" t="s">
        <v>33</v>
      </c>
      <c r="C8" s="25"/>
      <c r="D8" s="26"/>
      <c r="E8" s="26"/>
      <c r="F8" s="26"/>
      <c r="G8" s="26"/>
      <c r="H8" s="30"/>
    </row>
    <row r="9" spans="1:12" ht="14" customHeight="1">
      <c r="B9" s="12">
        <f>IF(AND(YEAR(AprSun1+21)=CalendarYear,MONTH(AprSun1+21)=4),AprSun1+21, "")</f>
        <v>44304</v>
      </c>
      <c r="C9" s="6">
        <f>IF(AND(YEAR(AprSun1+22)=CalendarYear,MONTH(AprSun1+22)=4),AprSun1+22, "")</f>
        <v>44305</v>
      </c>
      <c r="D9" s="6">
        <f>IF(AND(YEAR(AprSun1+23)=CalendarYear,MONTH(AprSun1+23)=4),AprSun1+23, "")</f>
        <v>44306</v>
      </c>
      <c r="E9" s="6">
        <f>IF(AND(YEAR(AprSun1+24)=CalendarYear,MONTH(AprSun1+24)=4),AprSun1+24, "")</f>
        <v>44307</v>
      </c>
      <c r="F9" s="6">
        <f>IF(AND(YEAR(AprSun1+25)=CalendarYear,MONTH(AprSun1+25)=4),AprSun1+25, "")</f>
        <v>44308</v>
      </c>
      <c r="G9" s="6">
        <f>IF(AND(YEAR(AprSun1+26)=CalendarYear,MONTH(AprSun1+26)=4),AprSun1+26, "")</f>
        <v>44309</v>
      </c>
      <c r="H9" s="13">
        <f>IF(AND(YEAR(AprSun1+27)=CalendarYear,MONTH(AprSun1+27)=4),AprSun1+27, "")</f>
        <v>44310</v>
      </c>
    </row>
    <row r="10" spans="1:12" ht="58" customHeight="1">
      <c r="B10" s="29" t="s">
        <v>34</v>
      </c>
      <c r="C10" s="25"/>
      <c r="D10" s="26"/>
      <c r="E10" s="26"/>
      <c r="F10" s="26"/>
      <c r="G10" s="26"/>
      <c r="H10" s="30"/>
    </row>
    <row r="11" spans="1:12" ht="14" customHeight="1">
      <c r="B11" s="12">
        <f>IF(AND(YEAR(AprSun1+28)=CalendarYear,MONTH(AprSun1+28)=4),AprSun1+28, "")</f>
        <v>44311</v>
      </c>
      <c r="C11" s="6">
        <f>IF(AND(YEAR(AprSun1+29)=CalendarYear,MONTH(AprSun1+29)=4),AprSun1+29, "")</f>
        <v>44312</v>
      </c>
      <c r="D11" s="6">
        <f>IF(AND(YEAR(AprSun1+30)=CalendarYear,MONTH(AprSun1+30)=4),AprSun1+30, "")</f>
        <v>44313</v>
      </c>
      <c r="E11" s="6">
        <f>IF(AND(YEAR(AprSun1+31)=CalendarYear,MONTH(AprSun1+31)=4),AprSun1+31, "")</f>
        <v>44314</v>
      </c>
      <c r="F11" s="6">
        <f>IF(AND(YEAR(AprSun1+32)=CalendarYear,MONTH(AprSun1+32)=4),AprSun1+32, "")</f>
        <v>44315</v>
      </c>
      <c r="G11" s="6">
        <f>IF(AND(YEAR(AprSun1+33)=CalendarYear,MONTH(AprSun1+33)=4),AprSun1+33, "")</f>
        <v>44316</v>
      </c>
      <c r="H11" s="13" t="str">
        <f>IF(AND(YEAR(AprSun1+34)=CalendarYear,MONTH(AprSun1+34)=4),AprSun1+34, "")</f>
        <v/>
      </c>
    </row>
    <row r="12" spans="1:12" ht="58" customHeight="1">
      <c r="B12" s="29" t="s">
        <v>38</v>
      </c>
      <c r="C12" s="25"/>
      <c r="D12" s="26"/>
      <c r="E12" s="26"/>
      <c r="F12" s="25"/>
      <c r="G12" s="25"/>
      <c r="H12" s="30"/>
    </row>
    <row r="13" spans="1:12" ht="14" customHeight="1">
      <c r="B13" s="12" t="str">
        <f>IF(AND(YEAR(AprSun1+35)=CalendarYear,MONTH(AprSun1+35)=4),AprSun1+35, "")</f>
        <v/>
      </c>
      <c r="C13" s="46" t="s">
        <v>36</v>
      </c>
      <c r="D13" s="46"/>
      <c r="E13" s="46"/>
      <c r="F13" s="46"/>
      <c r="G13" s="46"/>
      <c r="H13" s="47"/>
    </row>
    <row r="14" spans="1:12" ht="58" customHeight="1" thickBot="1">
      <c r="B14" s="31"/>
      <c r="C14" s="43" t="s">
        <v>37</v>
      </c>
      <c r="D14" s="44"/>
      <c r="E14" s="44"/>
      <c r="F14" s="44"/>
      <c r="G14" s="44"/>
      <c r="H14" s="45"/>
    </row>
  </sheetData>
  <mergeCells count="3">
    <mergeCell ref="B1:H1"/>
    <mergeCell ref="C13:H13"/>
    <mergeCell ref="C14:H14"/>
  </mergeCells>
  <phoneticPr fontId="1" type="noConversion"/>
  <printOptions horizontalCentered="1"/>
  <pageMargins left="0.5" right="0.5" top="0.75" bottom="0.75" header="0.5" footer="0.5"/>
  <pageSetup scale="75" orientation="landscape" horizontalDpi="4294967292" verticalDpi="4294967292"/>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4"/>
  <sheetViews>
    <sheetView showGridLines="0" tabSelected="1" topLeftCell="A5" workbookViewId="0">
      <selection activeCell="Q11" sqref="Q11"/>
    </sheetView>
  </sheetViews>
  <sheetFormatPr baseColWidth="10" defaultColWidth="8.6640625" defaultRowHeight="14"/>
  <cols>
    <col min="1" max="1" width="2.5" style="1" customWidth="1"/>
    <col min="2" max="8" width="17.5" style="4" customWidth="1"/>
    <col min="9" max="16384" width="8.6640625" style="4"/>
  </cols>
  <sheetData>
    <row r="1" spans="1:10" s="1" customFormat="1" ht="59.25" customHeight="1" thickBot="1">
      <c r="B1" s="42">
        <f>DATE(CalendarYear,5,1)</f>
        <v>44317</v>
      </c>
      <c r="C1" s="42"/>
      <c r="D1" s="42"/>
      <c r="E1" s="42"/>
      <c r="F1" s="42"/>
      <c r="G1" s="42"/>
      <c r="H1" s="42"/>
    </row>
    <row r="2" spans="1:10" s="3" customFormat="1" ht="21.75" customHeight="1">
      <c r="A2" s="2"/>
      <c r="B2" s="18" t="s">
        <v>0</v>
      </c>
      <c r="C2" s="19" t="s">
        <v>1</v>
      </c>
      <c r="D2" s="19" t="s">
        <v>2</v>
      </c>
      <c r="E2" s="19" t="s">
        <v>3</v>
      </c>
      <c r="F2" s="19" t="s">
        <v>4</v>
      </c>
      <c r="G2" s="19" t="s">
        <v>5</v>
      </c>
      <c r="H2" s="20" t="s">
        <v>6</v>
      </c>
    </row>
    <row r="3" spans="1:10" ht="14" customHeight="1">
      <c r="B3" s="9" t="str">
        <f>IF(AND(YEAR(MaySun1)=CalendarYear,MONTH(MaySun1)=5),MaySun1, "")</f>
        <v/>
      </c>
      <c r="C3" s="5" t="str">
        <f>IF(AND(YEAR(MaySun1+1)=CalendarYear,MONTH(MaySun1+1)=5),MaySun1+1, "")</f>
        <v/>
      </c>
      <c r="D3" s="5" t="str">
        <f>IF(AND(YEAR(MaySun1+2)=CalendarYear,MONTH(MaySun1+2)=5),MaySun1+2, "")</f>
        <v/>
      </c>
      <c r="E3" s="5" t="str">
        <f>IF(AND(YEAR(MaySun1+3)=CalendarYear,MONTH(MaySun1+3)=5),MaySun1+3, "")</f>
        <v/>
      </c>
      <c r="F3" s="5" t="str">
        <f>IF(AND(YEAR(MaySun1+4)=CalendarYear,MONTH(MaySun1+4)=5),MaySun1+4, "")</f>
        <v/>
      </c>
      <c r="G3" s="5" t="str">
        <f>IF(AND(YEAR(MaySun1+5)=CalendarYear,MONTH(MaySun1+5)=5),MaySun1+5, "")</f>
        <v/>
      </c>
      <c r="H3" s="10">
        <f>IF(AND(YEAR(MaySun1+6)=CalendarYear,MONTH(MaySun1+6)=5),MaySun1+6, "")</f>
        <v>44317</v>
      </c>
    </row>
    <row r="4" spans="1:10" ht="58" customHeight="1">
      <c r="B4" s="34" t="s">
        <v>39</v>
      </c>
      <c r="C4" s="25"/>
      <c r="D4" s="26"/>
      <c r="E4" s="26"/>
      <c r="F4" s="26"/>
      <c r="G4" s="26"/>
      <c r="H4" s="30"/>
    </row>
    <row r="5" spans="1:10" ht="14" customHeight="1">
      <c r="B5" s="11">
        <f>IF(AND(YEAR(MaySun1+7)=CalendarYear,MONTH(MaySun1+7)=5),MaySun1+7, "")</f>
        <v>44318</v>
      </c>
      <c r="C5" s="5">
        <f>IF(AND(YEAR(MaySun1+8)=CalendarYear,MONTH(MaySun1+8)=5),MaySun1+8, "")</f>
        <v>44319</v>
      </c>
      <c r="D5" s="5">
        <f>IF(AND(YEAR(MaySun1+9)=CalendarYear,MONTH(MaySun1+9)=5),MaySun1+9, "")</f>
        <v>44320</v>
      </c>
      <c r="E5" s="5">
        <f>IF(AND(YEAR(MaySun1+10)=CalendarYear,MONTH(MaySun1+10)=5),MaySun1+10, "")</f>
        <v>44321</v>
      </c>
      <c r="F5" s="5">
        <f>IF(AND(YEAR(MaySun1+11)=CalendarYear,MONTH(MaySun1+11)=5),MaySun1+11, "")</f>
        <v>44322</v>
      </c>
      <c r="G5" s="5">
        <f>IF(AND(YEAR(MaySun1+12)=CalendarYear,MONTH(MaySun1+12)=5),MaySun1+12,"")</f>
        <v>44323</v>
      </c>
      <c r="H5" s="10">
        <f>IF(AND(YEAR(MaySun1+13)=CalendarYear,MONTH(MaySun1+13)=5),MaySun1+13, "")</f>
        <v>44324</v>
      </c>
    </row>
    <row r="6" spans="1:10" ht="58" customHeight="1">
      <c r="B6" s="29" t="s">
        <v>40</v>
      </c>
      <c r="C6" s="25"/>
      <c r="D6" s="26"/>
      <c r="E6" s="26"/>
      <c r="F6" s="26"/>
      <c r="G6" s="26"/>
      <c r="H6" s="30"/>
    </row>
    <row r="7" spans="1:10" ht="14" customHeight="1">
      <c r="B7" s="11">
        <f>IF(AND(YEAR(MaySun1+14)=CalendarYear,MONTH(MaySun1+14)=5),MaySun1+14, "")</f>
        <v>44325</v>
      </c>
      <c r="C7" s="5">
        <f>IF(AND(YEAR(MaySun1+15)=CalendarYear,MONTH(MaySun1+15)=5),MaySun1+15, "")</f>
        <v>44326</v>
      </c>
      <c r="D7" s="5">
        <f>IF(AND(YEAR(MaySun1+16)=CalendarYear,MONTH(MaySun1+16)=5),MaySun1+16, "")</f>
        <v>44327</v>
      </c>
      <c r="E7" s="5">
        <f>IF(AND(YEAR(MaySun1+17)=CalendarYear,MONTH(MaySun1+17)=5),MaySun1+17, "")</f>
        <v>44328</v>
      </c>
      <c r="F7" s="5">
        <f>IF(AND(YEAR(MaySun1+18)=CalendarYear,MONTH(MaySun1+18)=5),MaySun1+18, "")</f>
        <v>44329</v>
      </c>
      <c r="G7" s="5">
        <f>IF(AND(YEAR(MaySun1+19)=CalendarYear,MONTH(MaySun1+19)=5),MaySun1+19, "")</f>
        <v>44330</v>
      </c>
      <c r="H7" s="10">
        <f>IF(AND(YEAR(MaySun1+20)=CalendarYear,MONTH(MaySun1+20)=5),MaySun1+20, "")</f>
        <v>44331</v>
      </c>
    </row>
    <row r="8" spans="1:10" ht="58" customHeight="1">
      <c r="B8" s="29" t="s">
        <v>41</v>
      </c>
      <c r="C8" s="25"/>
      <c r="D8" s="26"/>
      <c r="E8" s="26"/>
      <c r="F8" s="26"/>
      <c r="G8" s="26"/>
      <c r="H8" s="30"/>
    </row>
    <row r="9" spans="1:10" ht="14" customHeight="1">
      <c r="B9" s="12">
        <f>IF(AND(YEAR(MaySun1+21)=CalendarYear,MONTH(MaySun1+21)=5),MaySun1+21, "")</f>
        <v>44332</v>
      </c>
      <c r="C9" s="6">
        <f>IF(AND(YEAR(MaySun1+22)=CalendarYear,MONTH(MaySun1+22)=5),MaySun1+22, "")</f>
        <v>44333</v>
      </c>
      <c r="D9" s="6">
        <f>IF(AND(YEAR(MaySun1+23)=CalendarYear,MONTH(MaySun1+23)=5),MaySun1+23, "")</f>
        <v>44334</v>
      </c>
      <c r="E9" s="6">
        <f>IF(AND(YEAR(MaySun1+24)=CalendarYear,MONTH(MaySun1+24)=5),MaySun1+24, "")</f>
        <v>44335</v>
      </c>
      <c r="F9" s="6">
        <f>IF(AND(YEAR(MaySun1+25)=CalendarYear,MONTH(MaySun1+25)=5),MaySun1+25, "")</f>
        <v>44336</v>
      </c>
      <c r="G9" s="6">
        <f>IF(AND(YEAR(MaySun1+26)=CalendarYear,MONTH(MaySun1+26)=5),MaySun1+26, "")</f>
        <v>44337</v>
      </c>
      <c r="H9" s="13">
        <f>IF(AND(YEAR(MaySun1+27)=CalendarYear,MONTH(MaySun1+27)=5),MaySun1+27, "")</f>
        <v>44338</v>
      </c>
    </row>
    <row r="10" spans="1:10" ht="58" customHeight="1">
      <c r="B10" s="33" t="s">
        <v>42</v>
      </c>
      <c r="C10" s="25"/>
      <c r="D10" s="26"/>
      <c r="E10" s="26"/>
      <c r="F10" s="26"/>
      <c r="G10" s="26"/>
      <c r="H10" s="30"/>
    </row>
    <row r="11" spans="1:10" ht="14" customHeight="1">
      <c r="B11" s="12">
        <f>IF(AND(YEAR(MaySun1+28)=CalendarYear,MONTH(MaySun1+28)=5),MaySun1+28, "")</f>
        <v>44339</v>
      </c>
      <c r="C11" s="6">
        <f>IF(AND(YEAR(MaySun1+29)=CalendarYear,MONTH(MaySun1+29)=5),MaySun1+29, "")</f>
        <v>44340</v>
      </c>
      <c r="D11" s="6">
        <f>IF(AND(YEAR(MaySun1+30)=CalendarYear,MONTH(MaySun1+30)=5),MaySun1+30, "")</f>
        <v>44341</v>
      </c>
      <c r="E11" s="6">
        <f>IF(AND(YEAR(MaySun1+31)=CalendarYear,MONTH(MaySun1+31)=5),MaySun1+31, "")</f>
        <v>44342</v>
      </c>
      <c r="F11" s="6">
        <f>IF(AND(YEAR(MaySun1+32)=CalendarYear,MONTH(MaySun1+32)=5),MaySun1+32, "")</f>
        <v>44343</v>
      </c>
      <c r="G11" s="6">
        <f>IF(AND(YEAR(MaySun1+33)=CalendarYear,MONTH(MaySun1+33)=5),MaySun1+33, "")</f>
        <v>44344</v>
      </c>
      <c r="H11" s="13">
        <f>IF(AND(YEAR(MaySun1+34)=CalendarYear,MONTH(MaySun1+34)=5),MaySun1+34, "")</f>
        <v>44345</v>
      </c>
    </row>
    <row r="12" spans="1:10" ht="58" customHeight="1">
      <c r="B12" s="29" t="s">
        <v>43</v>
      </c>
      <c r="C12" s="25"/>
      <c r="D12" s="26"/>
      <c r="E12" s="26"/>
      <c r="F12" s="25"/>
      <c r="G12" s="25"/>
      <c r="H12" s="30"/>
    </row>
    <row r="13" spans="1:10" ht="14" customHeight="1">
      <c r="B13" s="28">
        <f>IF(AND(YEAR(MaySun1+35)=CalendarYear,MONTH(MaySun1+35)=5),MaySun1+35, "")</f>
        <v>44346</v>
      </c>
      <c r="C13" s="24">
        <f>IF(AND(YEAR(MaySun1+36)=CalendarYear,MONTH(MaySun1+36)=5),MaySun1+36, "")</f>
        <v>44347</v>
      </c>
      <c r="D13" s="46" t="s">
        <v>44</v>
      </c>
      <c r="E13" s="46"/>
      <c r="F13" s="46"/>
      <c r="G13" s="46"/>
      <c r="H13" s="47"/>
    </row>
    <row r="14" spans="1:10" ht="58" customHeight="1" thickBot="1">
      <c r="B14" s="31"/>
      <c r="C14" s="27"/>
      <c r="D14" s="43" t="s">
        <v>45</v>
      </c>
      <c r="E14" s="44"/>
      <c r="F14" s="44"/>
      <c r="G14" s="44"/>
      <c r="H14" s="45"/>
    </row>
  </sheetData>
  <mergeCells count="3">
    <mergeCell ref="B1:H1"/>
    <mergeCell ref="D13:H13"/>
    <mergeCell ref="D14:H14"/>
  </mergeCells>
  <phoneticPr fontId="1" type="noConversion"/>
  <printOptions horizontalCentered="1"/>
  <pageMargins left="0.5" right="0.5" top="0.75" bottom="0.75" header="0.5" footer="0.5"/>
  <pageSetup scale="84" orientation="landscape" horizontalDpi="4294967292" verticalDpi="4294967292"/>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4"/>
  <sheetViews>
    <sheetView showGridLines="0" topLeftCell="B2" workbookViewId="0">
      <selection activeCell="L10" sqref="L10"/>
    </sheetView>
  </sheetViews>
  <sheetFormatPr baseColWidth="10" defaultColWidth="8.6640625" defaultRowHeight="14"/>
  <cols>
    <col min="1" max="1" width="2.5" style="1" customWidth="1"/>
    <col min="2" max="8" width="17.5" style="4" customWidth="1"/>
    <col min="9" max="16384" width="8.6640625" style="4"/>
  </cols>
  <sheetData>
    <row r="1" spans="1:10" s="1" customFormat="1" ht="59.25" customHeight="1" thickBot="1">
      <c r="B1" s="42">
        <f>DATE(CalendarYear,6,1)</f>
        <v>44348</v>
      </c>
      <c r="C1" s="42"/>
      <c r="D1" s="42"/>
      <c r="E1" s="42"/>
      <c r="F1" s="42"/>
      <c r="G1" s="42"/>
      <c r="H1" s="42"/>
    </row>
    <row r="2" spans="1:10" s="3" customFormat="1" ht="21.75" customHeight="1">
      <c r="A2" s="2"/>
      <c r="B2" s="15" t="s">
        <v>0</v>
      </c>
      <c r="C2" s="16" t="s">
        <v>1</v>
      </c>
      <c r="D2" s="16" t="s">
        <v>2</v>
      </c>
      <c r="E2" s="16" t="s">
        <v>3</v>
      </c>
      <c r="F2" s="16" t="s">
        <v>4</v>
      </c>
      <c r="G2" s="16" t="s">
        <v>5</v>
      </c>
      <c r="H2" s="17" t="s">
        <v>6</v>
      </c>
    </row>
    <row r="3" spans="1:10" ht="14" customHeight="1">
      <c r="B3" s="9" t="str">
        <f>IF(AND(YEAR(JunSun1)=CalendarYear,MONTH(JunSun1)=6),JunSun1, "")</f>
        <v/>
      </c>
      <c r="C3" s="5" t="str">
        <f>IF(AND(YEAR(JunSun1+1)=CalendarYear,MONTH(JunSun1+1)=6),JunSun1+1, "")</f>
        <v/>
      </c>
      <c r="D3" s="5">
        <f>IF(AND(YEAR(JunSun1+2)=CalendarYear,MONTH(JunSun1+2)=6),JunSun1+2, "")</f>
        <v>44348</v>
      </c>
      <c r="E3" s="5">
        <f>IF(AND(YEAR(JunSun1+3)=CalendarYear,MONTH(JunSun1+3)=6),JunSun1+3, "")</f>
        <v>44349</v>
      </c>
      <c r="F3" s="5">
        <f>IF(AND(YEAR(JunSun1+4)=CalendarYear,MONTH(JunSun1+4)=6),JunSun1+4, "")</f>
        <v>44350</v>
      </c>
      <c r="G3" s="5">
        <f>IF(AND(YEAR(JunSun1+5)=CalendarYear,MONTH(JunSun1+5)=6),JunSun1+5, "")</f>
        <v>44351</v>
      </c>
      <c r="H3" s="10">
        <f>IF(AND(YEAR(JunSun1+6)=CalendarYear,MONTH(JunSun1+6)=6),JunSun1+6, "")</f>
        <v>44352</v>
      </c>
    </row>
    <row r="4" spans="1:10" ht="58" customHeight="1">
      <c r="B4" s="29" t="s">
        <v>46</v>
      </c>
      <c r="C4" s="25"/>
      <c r="D4" s="26"/>
      <c r="E4" s="26"/>
      <c r="F4" s="26"/>
      <c r="G4" s="26"/>
      <c r="H4" s="30"/>
    </row>
    <row r="5" spans="1:10" ht="14" customHeight="1">
      <c r="B5" s="11">
        <f>IF(AND(YEAR(JunSun1+7)=CalendarYear,MONTH(JunSun1+7)=6),JunSun1+7, "")</f>
        <v>44353</v>
      </c>
      <c r="C5" s="5">
        <f>IF(AND(YEAR(JunSun1+8)=CalendarYear,MONTH(JunSun1+8)=6),JunSun1+8, "")</f>
        <v>44354</v>
      </c>
      <c r="D5" s="5">
        <f>IF(AND(YEAR(JunSun1+9)=CalendarYear,MONTH(JunSun1+9)=6),JunSun1+9, "")</f>
        <v>44355</v>
      </c>
      <c r="E5" s="5">
        <f>IF(AND(YEAR(JunSun1+10)=CalendarYear,MONTH(JunSun1+10)=6),JunSun1+10, "")</f>
        <v>44356</v>
      </c>
      <c r="F5" s="5">
        <f>IF(AND(YEAR(JunSun1+11)=CalendarYear,MONTH(JunSun1+11)=6),JunSun1+11, "")</f>
        <v>44357</v>
      </c>
      <c r="G5" s="5">
        <f>IF(AND(YEAR(JunSun1+12)=CalendarYear,MONTH(JunSun1+12)=6),JunSun1+12,"")</f>
        <v>44358</v>
      </c>
      <c r="H5" s="10">
        <f>IF(AND(YEAR(JunSun1+13)=CalendarYear,MONTH(JunSun1+13)=6),JunSun1+13, "")</f>
        <v>44359</v>
      </c>
    </row>
    <row r="6" spans="1:10" ht="58" customHeight="1">
      <c r="B6" s="29" t="s">
        <v>47</v>
      </c>
      <c r="C6" s="25"/>
      <c r="D6" s="26"/>
      <c r="E6" s="26"/>
      <c r="F6" s="26"/>
      <c r="G6" s="26"/>
      <c r="H6" s="30"/>
    </row>
    <row r="7" spans="1:10" ht="14" customHeight="1">
      <c r="B7" s="11">
        <f>IF(AND(YEAR(JunSun1+14)=CalendarYear,MONTH(JunSun1+14)=6),JunSun1+14, "")</f>
        <v>44360</v>
      </c>
      <c r="C7" s="5">
        <f>IF(AND(YEAR(JunSun1+15)=CalendarYear,MONTH(JunSun1+15)=6),JunSun1+15, "")</f>
        <v>44361</v>
      </c>
      <c r="D7" s="5">
        <f>IF(AND(YEAR(JunSun1+16)=CalendarYear,MONTH(JunSun1+16)=6),JunSun1+16, "")</f>
        <v>44362</v>
      </c>
      <c r="E7" s="5">
        <f>IF(AND(YEAR(JunSun1+17)=CalendarYear,MONTH(JunSun1+17)=6),JunSun1+17, "")</f>
        <v>44363</v>
      </c>
      <c r="F7" s="5">
        <f>IF(AND(YEAR(JunSun1+18)=CalendarYear,MONTH(JunSun1+18)=6),JunSun1+18, "")</f>
        <v>44364</v>
      </c>
      <c r="G7" s="5">
        <f>IF(AND(YEAR(JunSun1+19)=CalendarYear,MONTH(JunSun1+19)=6),JunSun1+19, "")</f>
        <v>44365</v>
      </c>
      <c r="H7" s="10">
        <f>IF(AND(YEAR(JunSun1+20)=CalendarYear,MONTH(JunSun1+20)=6),JunSun1+20, "")</f>
        <v>44366</v>
      </c>
    </row>
    <row r="8" spans="1:10" ht="58" customHeight="1">
      <c r="B8" s="29" t="s">
        <v>48</v>
      </c>
      <c r="C8" s="25"/>
      <c r="D8" s="26"/>
      <c r="E8" s="26"/>
      <c r="F8" s="26"/>
      <c r="G8" s="26"/>
      <c r="H8" s="30"/>
    </row>
    <row r="9" spans="1:10" ht="14" customHeight="1">
      <c r="B9" s="12">
        <f>IF(AND(YEAR(JunSun1+21)=CalendarYear,MONTH(JunSun1+21)=6),JunSun1+21, "")</f>
        <v>44367</v>
      </c>
      <c r="C9" s="6">
        <f>IF(AND(YEAR(JunSun1+22)=CalendarYear,MONTH(JunSun1+22)=6),JunSun1+22, "")</f>
        <v>44368</v>
      </c>
      <c r="D9" s="6">
        <f>IF(AND(YEAR(JunSun1+23)=CalendarYear,MONTH(JunSun1+23)=6),JunSun1+23, "")</f>
        <v>44369</v>
      </c>
      <c r="E9" s="6">
        <f>IF(AND(YEAR(JunSun1+24)=CalendarYear,MONTH(JunSun1+24)=6),JunSun1+24, "")</f>
        <v>44370</v>
      </c>
      <c r="F9" s="6">
        <f>IF(AND(YEAR(JunSun1+25)=CalendarYear,MONTH(JunSun1+25)=6),JunSun1+25, "")</f>
        <v>44371</v>
      </c>
      <c r="G9" s="6">
        <f>IF(AND(YEAR(JunSun1+26)=CalendarYear,MONTH(JunSun1+26)=6),JunSun1+26, "")</f>
        <v>44372</v>
      </c>
      <c r="H9" s="13">
        <f>IF(AND(YEAR(JunSun1+27)=CalendarYear,MONTH(JunSun1+27)=6),JunSun1+27, "")</f>
        <v>44373</v>
      </c>
    </row>
    <row r="10" spans="1:10" ht="58" customHeight="1">
      <c r="B10" s="29" t="s">
        <v>49</v>
      </c>
      <c r="C10" s="25"/>
      <c r="D10" s="26"/>
      <c r="E10" s="26"/>
      <c r="F10" s="26"/>
      <c r="G10" s="26"/>
      <c r="H10" s="30"/>
    </row>
    <row r="11" spans="1:10" ht="14" customHeight="1">
      <c r="B11" s="12">
        <f>IF(AND(YEAR(JunSun1+28)=CalendarYear,MONTH(JunSun1+28)=6),JunSun1+28, "")</f>
        <v>44374</v>
      </c>
      <c r="C11" s="6">
        <f>IF(AND(YEAR(JunSun1+29)=CalendarYear,MONTH(JunSun1+29)=6),JunSun1+29, "")</f>
        <v>44375</v>
      </c>
      <c r="D11" s="6">
        <f>IF(AND(YEAR(JunSun1+30)=CalendarYear,MONTH(JunSun1+30)=6),JunSun1+30, "")</f>
        <v>44376</v>
      </c>
      <c r="E11" s="6">
        <f>IF(AND(YEAR(JunSun1+31)=CalendarYear,MONTH(JunSun1+31)=6),JunSun1+31, "")</f>
        <v>44377</v>
      </c>
      <c r="F11" s="6" t="str">
        <f>IF(AND(YEAR(JunSun1+32)=CalendarYear,MONTH(JunSun1+32)=6),JunSun1+32, "")</f>
        <v/>
      </c>
      <c r="G11" s="6" t="str">
        <f>IF(AND(YEAR(JunSun1+33)=CalendarYear,MONTH(JunSun1+33)=6),JunSun1+33, "")</f>
        <v/>
      </c>
      <c r="H11" s="13" t="str">
        <f>IF(AND(YEAR(JunSun1+34)=CalendarYear,MONTH(JunSun1+34)=6),JunSun1+34, "")</f>
        <v/>
      </c>
    </row>
    <row r="12" spans="1:10" ht="58" customHeight="1">
      <c r="B12" s="29" t="s">
        <v>50</v>
      </c>
      <c r="C12" s="25"/>
      <c r="D12" s="26"/>
      <c r="E12" s="26"/>
      <c r="F12" s="25"/>
      <c r="G12" s="25"/>
      <c r="H12" s="30"/>
    </row>
    <row r="13" spans="1:10" ht="14" customHeight="1">
      <c r="B13" s="12" t="str">
        <f>IF(AND(YEAR(JunSun1+35)=CalendarYear,MONTH(JunSun1+35)=6),JunSun1+35, "")</f>
        <v/>
      </c>
      <c r="C13" s="46" t="s">
        <v>51</v>
      </c>
      <c r="D13" s="46"/>
      <c r="E13" s="46"/>
      <c r="F13" s="46"/>
      <c r="G13" s="46"/>
      <c r="H13" s="47"/>
    </row>
    <row r="14" spans="1:10" ht="58" customHeight="1" thickBot="1">
      <c r="B14" s="31"/>
      <c r="C14" s="43" t="s">
        <v>52</v>
      </c>
      <c r="D14" s="44"/>
      <c r="E14" s="44"/>
      <c r="F14" s="44"/>
      <c r="G14" s="44"/>
      <c r="H14" s="45"/>
    </row>
  </sheetData>
  <mergeCells count="3">
    <mergeCell ref="B1:H1"/>
    <mergeCell ref="C13:H13"/>
    <mergeCell ref="C14:H14"/>
  </mergeCells>
  <phoneticPr fontId="1" type="noConversion"/>
  <printOptions horizontalCentered="1"/>
  <pageMargins left="0.5" right="0.5" top="0.75" bottom="0.75" header="0.5" footer="0.5"/>
  <pageSetup scale="84" orientation="landscape" horizontalDpi="4294967292" verticalDpi="4294967292"/>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14"/>
  <sheetViews>
    <sheetView showGridLines="0" topLeftCell="B4" workbookViewId="0">
      <selection activeCell="K10" sqref="K10"/>
    </sheetView>
  </sheetViews>
  <sheetFormatPr baseColWidth="10" defaultColWidth="8.6640625" defaultRowHeight="14"/>
  <cols>
    <col min="1" max="1" width="2.5" style="1" customWidth="1"/>
    <col min="2" max="8" width="17.5" style="4" customWidth="1"/>
    <col min="9" max="16384" width="8.6640625" style="4"/>
  </cols>
  <sheetData>
    <row r="1" spans="1:10" s="1" customFormat="1" ht="59.25" customHeight="1" thickBot="1">
      <c r="B1" s="42">
        <f>DATE(CalendarYear,7,1)</f>
        <v>44378</v>
      </c>
      <c r="C1" s="42"/>
      <c r="D1" s="42"/>
      <c r="E1" s="42"/>
      <c r="F1" s="42"/>
      <c r="G1" s="42"/>
      <c r="H1" s="42"/>
    </row>
    <row r="2" spans="1:10" s="3" customFormat="1" ht="21.75" customHeight="1">
      <c r="A2" s="2"/>
      <c r="B2" s="18" t="s">
        <v>0</v>
      </c>
      <c r="C2" s="19" t="s">
        <v>1</v>
      </c>
      <c r="D2" s="19" t="s">
        <v>2</v>
      </c>
      <c r="E2" s="19" t="s">
        <v>3</v>
      </c>
      <c r="F2" s="19" t="s">
        <v>4</v>
      </c>
      <c r="G2" s="19" t="s">
        <v>5</v>
      </c>
      <c r="H2" s="20" t="s">
        <v>6</v>
      </c>
    </row>
    <row r="3" spans="1:10" ht="14" customHeight="1">
      <c r="B3" s="9" t="str">
        <f>IF(AND(YEAR(JulSun1)=CalendarYear,MONTH(JulSun1)=7),JulSun1, "")</f>
        <v/>
      </c>
      <c r="C3" s="5" t="str">
        <f>IF(AND(YEAR(JulSun1+1)=CalendarYear,MONTH(JulSun1+1)=7),JulSun1+1, "")</f>
        <v/>
      </c>
      <c r="D3" s="5" t="str">
        <f>IF(AND(YEAR(JulSun1+2)=CalendarYear,MONTH(JulSun1+2)=7),JulSun1+2, "")</f>
        <v/>
      </c>
      <c r="E3" s="5" t="str">
        <f>IF(AND(YEAR(JulSun1+3)=CalendarYear,MONTH(JulSun1+3)=7),JulSun1+3, "")</f>
        <v/>
      </c>
      <c r="F3" s="5">
        <f>IF(AND(YEAR(JulSun1+4)=CalendarYear,MONTH(JulSun1+4)=7),JulSun1+4, "")</f>
        <v>44378</v>
      </c>
      <c r="G3" s="5">
        <f>IF(AND(YEAR(JulSun1+5)=CalendarYear,MONTH(JulSun1+5)=7),JulSun1+5, "")</f>
        <v>44379</v>
      </c>
      <c r="H3" s="10">
        <f>IF(AND(YEAR(JulSun1+6)=CalendarYear,MONTH(JulSun1+6)=7),JulSun1+6, "")</f>
        <v>44380</v>
      </c>
    </row>
    <row r="4" spans="1:10" ht="58" customHeight="1">
      <c r="B4" s="34" t="s">
        <v>53</v>
      </c>
      <c r="C4" s="25"/>
      <c r="D4" s="26"/>
      <c r="E4" s="26"/>
      <c r="F4" s="26"/>
      <c r="G4" s="26"/>
      <c r="H4" s="30"/>
    </row>
    <row r="5" spans="1:10" ht="14" customHeight="1">
      <c r="B5" s="11">
        <f>IF(AND(YEAR(JulSun1+7)=CalendarYear,MONTH(JulSun1+7)=7),JulSun1+7, "")</f>
        <v>44381</v>
      </c>
      <c r="C5" s="5">
        <f>IF(AND(YEAR(JulSun1+8)=CalendarYear,MONTH(JulSun1+8)=7),JulSun1+8, "")</f>
        <v>44382</v>
      </c>
      <c r="D5" s="5">
        <f>IF(AND(YEAR(JulSun1+9)=CalendarYear,MONTH(JulSun1+9)=7),JulSun1+9, "")</f>
        <v>44383</v>
      </c>
      <c r="E5" s="5">
        <f>IF(AND(YEAR(JulSun1+10)=CalendarYear,MONTH(JulSun1+10)=7),JulSun1+10, "")</f>
        <v>44384</v>
      </c>
      <c r="F5" s="5">
        <f>IF(AND(YEAR(JulSun1+11)=CalendarYear,MONTH(JulSun1+11)=7),JulSun1+11, "")</f>
        <v>44385</v>
      </c>
      <c r="G5" s="5">
        <f>IF(AND(YEAR(JulSun1+12)=CalendarYear,MONTH(JulSun1+12)=7),JulSun1+12,"")</f>
        <v>44386</v>
      </c>
      <c r="H5" s="10">
        <f>IF(AND(YEAR(JulSun1+13)=CalendarYear,MONTH(JulSun1+13)=7),JulSun1+13, "")</f>
        <v>44387</v>
      </c>
    </row>
    <row r="6" spans="1:10" ht="58" customHeight="1">
      <c r="B6" s="29" t="s">
        <v>54</v>
      </c>
      <c r="C6" s="25"/>
      <c r="D6" s="26"/>
      <c r="E6" s="26"/>
      <c r="F6" s="26"/>
      <c r="G6" s="26"/>
      <c r="H6" s="30"/>
    </row>
    <row r="7" spans="1:10" ht="14" customHeight="1">
      <c r="B7" s="11">
        <f>IF(AND(YEAR(JulSun1+14)=CalendarYear,MONTH(JulSun1+14)=7),JulSun1+14, "")</f>
        <v>44388</v>
      </c>
      <c r="C7" s="5">
        <f>IF(AND(YEAR(JulSun1+15)=CalendarYear,MONTH(JulSun1+15)=7),JulSun1+15, "")</f>
        <v>44389</v>
      </c>
      <c r="D7" s="5">
        <f>IF(AND(YEAR(JulSun1+16)=CalendarYear,MONTH(JulSun1+16)=7),JulSun1+16, "")</f>
        <v>44390</v>
      </c>
      <c r="E7" s="5">
        <f>IF(AND(YEAR(JulSun1+17)=CalendarYear,MONTH(JulSun1+17)=7),JulSun1+17, "")</f>
        <v>44391</v>
      </c>
      <c r="F7" s="5">
        <f>IF(AND(YEAR(JulSun1+18)=CalendarYear,MONTH(JulSun1+18)=7),JulSun1+18, "")</f>
        <v>44392</v>
      </c>
      <c r="G7" s="5">
        <f>IF(AND(YEAR(JulSun1+19)=CalendarYear,MONTH(JulSun1+19)=7),JulSun1+19, "")</f>
        <v>44393</v>
      </c>
      <c r="H7" s="10">
        <f>IF(AND(YEAR(JulSun1+20)=CalendarYear,MONTH(JulSun1+20)=7),JulSun1+20, "")</f>
        <v>44394</v>
      </c>
    </row>
    <row r="8" spans="1:10" ht="58" customHeight="1">
      <c r="B8" s="29" t="s">
        <v>71</v>
      </c>
      <c r="C8" s="25"/>
      <c r="D8" s="26"/>
      <c r="E8" s="26"/>
      <c r="F8" s="26"/>
      <c r="G8" s="26"/>
      <c r="H8" s="30"/>
    </row>
    <row r="9" spans="1:10" ht="14" customHeight="1">
      <c r="B9" s="12">
        <f>IF(AND(YEAR(JulSun1+21)=CalendarYear,MONTH(JulSun1+21)=7),JulSun1+21, "")</f>
        <v>44395</v>
      </c>
      <c r="C9" s="6">
        <f>IF(AND(YEAR(JulSun1+22)=CalendarYear,MONTH(JulSun1+22)=7),JulSun1+22, "")</f>
        <v>44396</v>
      </c>
      <c r="D9" s="6">
        <f>IF(AND(YEAR(JulSun1+23)=CalendarYear,MONTH(JulSun1+23)=7),JulSun1+23, "")</f>
        <v>44397</v>
      </c>
      <c r="E9" s="6">
        <f>IF(AND(YEAR(JulSun1+24)=CalendarYear,MONTH(JulSun1+24)=7),JulSun1+24, "")</f>
        <v>44398</v>
      </c>
      <c r="F9" s="6">
        <f>IF(AND(YEAR(JulSun1+25)=CalendarYear,MONTH(JulSun1+25)=7),JulSun1+25, "")</f>
        <v>44399</v>
      </c>
      <c r="G9" s="6">
        <f>IF(AND(YEAR(JulSun1+26)=CalendarYear,MONTH(JulSun1+26)=7),JulSun1+26, "")</f>
        <v>44400</v>
      </c>
      <c r="H9" s="13">
        <f>IF(AND(YEAR(JulSun1+27)=CalendarYear,MONTH(JulSun1+27)=7),JulSun1+27, "")</f>
        <v>44401</v>
      </c>
    </row>
    <row r="10" spans="1:10" ht="58" customHeight="1">
      <c r="B10" s="29" t="s">
        <v>55</v>
      </c>
      <c r="C10" s="25"/>
      <c r="D10" s="26"/>
      <c r="E10" s="26"/>
      <c r="F10" s="26"/>
      <c r="G10" s="26"/>
      <c r="H10" s="30"/>
    </row>
    <row r="11" spans="1:10" ht="14" customHeight="1">
      <c r="B11" s="12">
        <f>IF(AND(YEAR(JulSun1+28)=CalendarYear,MONTH(JulSun1+28)=7),JulSun1+28, "")</f>
        <v>44402</v>
      </c>
      <c r="C11" s="6">
        <f>IF(AND(YEAR(JulSun1+29)=CalendarYear,MONTH(JulSun1+29)=7),JulSun1+29, "")</f>
        <v>44403</v>
      </c>
      <c r="D11" s="6">
        <f>IF(AND(YEAR(JulSun1+30)=CalendarYear,MONTH(JulSun1+30)=7),JulSun1+30, "")</f>
        <v>44404</v>
      </c>
      <c r="E11" s="6">
        <f>IF(AND(YEAR(JulSun1+31)=CalendarYear,MONTH(JulSun1+31)=7),JulSun1+31, "")</f>
        <v>44405</v>
      </c>
      <c r="F11" s="6">
        <f>IF(AND(YEAR(JulSun1+32)=CalendarYear,MONTH(JulSun1+32)=7),JulSun1+32, "")</f>
        <v>44406</v>
      </c>
      <c r="G11" s="6">
        <f>IF(AND(YEAR(JulSun1+33)=CalendarYear,MONTH(JulSun1+33)=7),JulSun1+33, "")</f>
        <v>44407</v>
      </c>
      <c r="H11" s="13">
        <f>IF(AND(YEAR(JulSun1+34)=CalendarYear,MONTH(JulSun1+34)=7),JulSun1+34, "")</f>
        <v>44408</v>
      </c>
    </row>
    <row r="12" spans="1:10" ht="58" customHeight="1">
      <c r="B12" s="29" t="s">
        <v>56</v>
      </c>
      <c r="C12" s="25"/>
      <c r="D12" s="26"/>
      <c r="E12" s="26"/>
      <c r="F12" s="25"/>
      <c r="G12" s="25"/>
      <c r="H12" s="30"/>
    </row>
    <row r="13" spans="1:10" ht="14" customHeight="1">
      <c r="B13" s="28" t="str">
        <f>IF(AND(YEAR(JulSun1+35)=CalendarYear,MONTH(JulSun1+35)=7),JulSun1+35, "")</f>
        <v/>
      </c>
      <c r="C13" s="24" t="str">
        <f>IF(AND(YEAR(JulSun1+36)=CalendarYear,MONTH(JulSun1+36)=7),JulSun1+36, "")</f>
        <v/>
      </c>
      <c r="D13" s="46" t="s">
        <v>57</v>
      </c>
      <c r="E13" s="46"/>
      <c r="F13" s="46"/>
      <c r="G13" s="46"/>
      <c r="H13" s="47"/>
    </row>
    <row r="14" spans="1:10" ht="58" customHeight="1" thickBot="1">
      <c r="B14" s="31"/>
      <c r="C14" s="27"/>
      <c r="D14" s="43" t="s">
        <v>58</v>
      </c>
      <c r="E14" s="44"/>
      <c r="F14" s="44"/>
      <c r="G14" s="44"/>
      <c r="H14" s="45"/>
    </row>
  </sheetData>
  <mergeCells count="3">
    <mergeCell ref="B1:H1"/>
    <mergeCell ref="D13:H13"/>
    <mergeCell ref="D14:H14"/>
  </mergeCells>
  <phoneticPr fontId="1" type="noConversion"/>
  <printOptions horizontalCentered="1"/>
  <pageMargins left="0.5" right="0.5" top="0.75" bottom="0.75" header="0.5" footer="0.5"/>
  <pageSetup scale="84" orientation="landscape" horizontalDpi="4294967292" verticalDpi="4294967292"/>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Cover</vt:lpstr>
      <vt:lpstr>Letter from the Author</vt:lpstr>
      <vt:lpstr>Jan</vt:lpstr>
      <vt:lpstr>Feb</vt:lpstr>
      <vt:lpstr>Mar</vt:lpstr>
      <vt:lpstr>Apr</vt:lpstr>
      <vt:lpstr>May</vt:lpstr>
      <vt:lpstr>Jun</vt:lpstr>
      <vt:lpstr>Jul</vt:lpstr>
      <vt:lpstr>Aug</vt:lpstr>
      <vt:lpstr>Sep</vt:lpstr>
      <vt:lpstr>Oct</vt:lpstr>
      <vt:lpstr>Nov</vt:lpstr>
      <vt:lpstr>Dec</vt:lpstr>
      <vt:lpstr>Lookup List</vt:lpstr>
      <vt:lpstr>CalendarYear</vt:lpstr>
      <vt:lpstr>Comment</vt:lpstr>
      <vt:lpstr>Jan!Print_Area</vt:lpstr>
      <vt:lpstr>Year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Stefany Jones</cp:lastModifiedBy>
  <cp:lastPrinted>2017-02-12T08:38:38Z</cp:lastPrinted>
  <dcterms:created xsi:type="dcterms:W3CDTF">2001-05-02T15:52:45Z</dcterms:created>
  <dcterms:modified xsi:type="dcterms:W3CDTF">2021-11-17T20:30:58Z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TC102851621033</vt:lpwstr>
  </property>
</Properties>
</file>