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280" windowHeight="4695" activeTab="0"/>
  </bookViews>
  <sheets>
    <sheet name="Sheet1" sheetId="1" r:id="rId1"/>
    <sheet name="Sheet3" sheetId="2" r:id="rId2"/>
    <sheet name="Sheet2" sheetId="3" r:id="rId3"/>
  </sheets>
  <definedNames>
    <definedName name="case">'Sheet1'!$C$46:$C$49</definedName>
    <definedName name="_xlnm.Print_Area" localSheetId="0">'Sheet1'!$B$2:$V$169</definedName>
  </definedNames>
  <calcPr fullCalcOnLoad="1"/>
</workbook>
</file>

<file path=xl/sharedStrings.xml><?xml version="1.0" encoding="utf-8"?>
<sst xmlns="http://schemas.openxmlformats.org/spreadsheetml/2006/main" count="382" uniqueCount="142">
  <si>
    <t>B</t>
  </si>
  <si>
    <t>n</t>
  </si>
  <si>
    <t>k</t>
  </si>
  <si>
    <t>J</t>
  </si>
  <si>
    <t>R</t>
  </si>
  <si>
    <t xml:space="preserve"> Es/Ec</t>
  </si>
  <si>
    <t>=</t>
  </si>
  <si>
    <t xml:space="preserve"> 1/[1+fs/(n fc)]</t>
  </si>
  <si>
    <t xml:space="preserve"> 1 - k/3</t>
  </si>
  <si>
    <t>fc j k / 2</t>
  </si>
  <si>
    <t>d</t>
  </si>
  <si>
    <t>t</t>
  </si>
  <si>
    <t>d'</t>
  </si>
  <si>
    <t>Mc</t>
  </si>
  <si>
    <t>Vc</t>
  </si>
  <si>
    <t>Asr</t>
  </si>
  <si>
    <t>Mt</t>
  </si>
  <si>
    <t>Vt</t>
  </si>
  <si>
    <t>Va</t>
  </si>
  <si>
    <t>L</t>
  </si>
  <si>
    <t>VT</t>
  </si>
  <si>
    <t>Ast</t>
  </si>
  <si>
    <t>Asc</t>
  </si>
  <si>
    <t>No.1</t>
  </si>
  <si>
    <t>No.2</t>
  </si>
  <si>
    <t>Rebar</t>
  </si>
  <si>
    <t>As</t>
  </si>
  <si>
    <t>z</t>
  </si>
  <si>
    <t>Ac</t>
  </si>
  <si>
    <t>V'</t>
  </si>
  <si>
    <r>
      <t>v =1.32</t>
    </r>
    <r>
      <rPr>
        <sz val="8"/>
        <color indexed="8"/>
        <rFont val="Symbol"/>
        <family val="1"/>
      </rPr>
      <t>Ö</t>
    </r>
    <r>
      <rPr>
        <sz val="8"/>
        <color indexed="8"/>
        <rFont val="Times New Roman"/>
        <family val="1"/>
      </rPr>
      <t xml:space="preserve"> fc'</t>
    </r>
  </si>
  <si>
    <t>v = V/bd</t>
  </si>
  <si>
    <r>
      <t>v&lt;1.32</t>
    </r>
    <r>
      <rPr>
        <sz val="8"/>
        <color indexed="8"/>
        <rFont val="Symbol"/>
        <family val="1"/>
      </rPr>
      <t>Ö</t>
    </r>
    <r>
      <rPr>
        <sz val="8"/>
        <color indexed="8"/>
        <rFont val="Times New Roman"/>
        <family val="1"/>
      </rPr>
      <t xml:space="preserve"> fc'</t>
    </r>
  </si>
  <si>
    <t xml:space="preserve"> Av = 2As </t>
  </si>
  <si>
    <t xml:space="preserve"> Av  &gt; 0.0015bs</t>
  </si>
  <si>
    <t xml:space="preserve"> fv = 0.50fy</t>
  </si>
  <si>
    <t>A:</t>
  </si>
  <si>
    <t>B:</t>
  </si>
  <si>
    <t>C:</t>
  </si>
  <si>
    <t>D:</t>
  </si>
  <si>
    <t>E:</t>
  </si>
  <si>
    <t>F:</t>
  </si>
  <si>
    <t>H:</t>
  </si>
  <si>
    <t>I:</t>
  </si>
  <si>
    <t>J:</t>
  </si>
  <si>
    <t>G:</t>
  </si>
  <si>
    <t>No.3</t>
  </si>
  <si>
    <t>top upper</t>
  </si>
  <si>
    <t>x</t>
  </si>
  <si>
    <t>y</t>
  </si>
  <si>
    <t>top lower</t>
  </si>
  <si>
    <t>bottom upper</t>
  </si>
  <si>
    <t>bottom lower</t>
  </si>
  <si>
    <t>middle</t>
  </si>
  <si>
    <t>f'c</t>
  </si>
  <si>
    <t>fc</t>
  </si>
  <si>
    <t>Ec</t>
  </si>
  <si>
    <t>fy</t>
  </si>
  <si>
    <t>fs</t>
  </si>
  <si>
    <t>Es</t>
  </si>
  <si>
    <t>L/16</t>
  </si>
  <si>
    <t>L/18.5</t>
  </si>
  <si>
    <t>L/8</t>
  </si>
  <si>
    <t>L/21</t>
  </si>
  <si>
    <t>โครงการ :</t>
  </si>
  <si>
    <t>รายการ :</t>
  </si>
  <si>
    <t>หน้า</t>
  </si>
  <si>
    <t>เจ้าของ :</t>
  </si>
  <si>
    <t>วิศวกรโครงสร้าง :</t>
  </si>
  <si>
    <t>ของ</t>
  </si>
  <si>
    <t>ที่ตั้ง :</t>
  </si>
  <si>
    <t>วันที่:</t>
  </si>
  <si>
    <t>คุณสมบัติของวัสดุ</t>
  </si>
  <si>
    <t>คอนกรีต</t>
  </si>
  <si>
    <t>ตัวคูณลดกำลัง</t>
  </si>
  <si>
    <t>โมดูลัสยืดหยุ่น , 15210√f'c</t>
  </si>
  <si>
    <t>พารามิเตอร์</t>
  </si>
  <si>
    <t>ไดอะแกรมของโมเมนต์ดัด และแรงเฉือน</t>
  </si>
  <si>
    <t>เหล็กเสริม</t>
  </si>
  <si>
    <t>ชั้นคุณภาพ   ("SD-xx or" SR-xx)</t>
  </si>
  <si>
    <t>กำลังคราก</t>
  </si>
  <si>
    <t>โมดูลัสยืดหยุ่น</t>
  </si>
  <si>
    <t>โมเมนต์ดัด และแรงเฉือน</t>
  </si>
  <si>
    <t>คุณสมบัติของหน้าตัด</t>
  </si>
  <si>
    <t>ตรวจสอบความลึกต่ำสุดในกรณีไม้ต้องตรวจสอบระยะโก่ง</t>
  </si>
  <si>
    <t>กรณี</t>
  </si>
  <si>
    <t>ความลึกต่ำสุด</t>
  </si>
  <si>
    <t>คานช่วงเดียว</t>
  </si>
  <si>
    <t>คานต่อเนื่องด้านเดียว</t>
  </si>
  <si>
    <t>คานต่อเนื่องสองด้าน</t>
  </si>
  <si>
    <t>คานยื่น</t>
  </si>
  <si>
    <t>รายการ</t>
  </si>
  <si>
    <t>โมเมนต์ M-</t>
  </si>
  <si>
    <t>แรงเฉือน,V max</t>
  </si>
  <si>
    <t>โมเมนต์บิด,Mt</t>
  </si>
  <si>
    <t>หน่วยแรงบิด ,Vt</t>
  </si>
  <si>
    <t>หน่วยแรงเฉือน,V</t>
  </si>
  <si>
    <t>เหล็กเสริมรับโมเมนต์</t>
  </si>
  <si>
    <t>แรงอัด</t>
  </si>
  <si>
    <t>แรงดึง</t>
  </si>
  <si>
    <t>เหล็กเสริมกลาง</t>
  </si>
  <si>
    <t>ล่าง</t>
  </si>
  <si>
    <t>บน</t>
  </si>
  <si>
    <t>ตรวจสอบแรงยึดเหนี่ยว</t>
  </si>
  <si>
    <r>
      <t xml:space="preserve">หน่วยแรงยึดเหนี่ยวที่ยอมให้, </t>
    </r>
    <r>
      <rPr>
        <sz val="8"/>
        <color indexed="8"/>
        <rFont val="Calibri"/>
        <family val="2"/>
      </rPr>
      <t>µ</t>
    </r>
  </si>
  <si>
    <t>เหล็กเสริมรับแรงเฉือน</t>
  </si>
  <si>
    <t>ขนาดเหล็กปลอก</t>
  </si>
  <si>
    <t>ระยะเรียงมากที่สุดที่ยอมให้, s-max</t>
  </si>
  <si>
    <t>เหล็กปลอก</t>
  </si>
  <si>
    <t>ขนาดหน้าตัด และรายละเอียดการเสริมเหล็ก</t>
  </si>
  <si>
    <t>ทั้งช่วง</t>
  </si>
  <si>
    <t>หน่วยแรงเฉือน ,Vc</t>
  </si>
  <si>
    <t>เหล็กเสริมรับโมเมนต์บิด</t>
  </si>
  <si>
    <t>หน่วย</t>
  </si>
  <si>
    <t>ระยะฝังยึด</t>
  </si>
  <si>
    <t>ระยะฝังยึดของเหล็กเสริม</t>
  </si>
  <si>
    <t>As req.</t>
  </si>
  <si>
    <t>As pro.</t>
  </si>
  <si>
    <t>ขนาด</t>
  </si>
  <si>
    <t>ตรวจสอบ</t>
  </si>
  <si>
    <t>หน่วยแรงอัดที่ยอมให้</t>
  </si>
  <si>
    <t>หน่วยแรงดึงที่ยอมให้</t>
  </si>
  <si>
    <t>ชนิดหน้าตัด =</t>
  </si>
  <si>
    <t>กำลังอัดประลัย</t>
  </si>
  <si>
    <t>กก./ตร.ซม.</t>
  </si>
  <si>
    <t>กก.-ม.</t>
  </si>
  <si>
    <t>กก.</t>
  </si>
  <si>
    <t>ม.</t>
  </si>
  <si>
    <t>ตร.ซม.</t>
  </si>
  <si>
    <t>ซม.</t>
  </si>
  <si>
    <t>มม.</t>
  </si>
  <si>
    <t>ออกแบบคานยื่นคอนกรีตเสริมเหล็ก - วิธีหน่วยแรงใช้งาน</t>
  </si>
  <si>
    <t>SD-40</t>
  </si>
  <si>
    <t>ระยะเรียงที่ใช้</t>
  </si>
  <si>
    <t>THAI SWEDISH ASSEMBLY CO.,LTD</t>
  </si>
  <si>
    <t>Asmin(2-12mm)</t>
  </si>
  <si>
    <t>WAREHOUSE EXTENSION</t>
  </si>
  <si>
    <t>อ.บางเสาธง จ.สมุทรปราการ</t>
  </si>
  <si>
    <t>GB3A</t>
  </si>
  <si>
    <t>นาย สุธีร์     แก้วคำ  สย.9698</t>
  </si>
  <si>
    <t>รายการคำนวณออกแบบ</t>
  </si>
  <si>
    <t>คอนกรีตเสริมเหล็ก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</si>
</sst>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m/d"/>
    <numFmt numFmtId="192" formatCode="[$-41E]d\ mmmm\ yyyy"/>
    <numFmt numFmtId="193" formatCode="[$-1010409]d\ mmmm\ yyyy;@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_ ;\-0.00\ "/>
    <numFmt numFmtId="206" formatCode="_-* #,##0.0_-;\-* #,##0.0_-;_-* &quot;-&quot;??_-;_-@_-"/>
    <numFmt numFmtId="207" formatCode="_-* #,##0_-;\-* #,##0_-;_-* &quot;-&quot;??_-;_-@_-"/>
    <numFmt numFmtId="208" formatCode="0.000_ ;\-0.000\ "/>
    <numFmt numFmtId="209" formatCode="0.0000_ ;\-0.0000\ "/>
    <numFmt numFmtId="210" formatCode="#,##0&quot; mm.&quot;"/>
    <numFmt numFmtId="211" formatCode="#,##0.00&quot; m.&quot;"/>
    <numFmt numFmtId="212" formatCode="#,##0&quot; cm.&quot;"/>
    <numFmt numFmtId="213" formatCode="#,##0.00&quot; m&quot;"/>
    <numFmt numFmtId="214" formatCode="[$-101041E]d\ mmmm\ yyyy;@"/>
    <numFmt numFmtId="215" formatCode="#,##0&quot; มม.&quot;"/>
    <numFmt numFmtId="216" formatCode="#,##0.00&quot; ม.&quot;"/>
    <numFmt numFmtId="217" formatCode="#,##0.00&quot; ,ม.&quot;"/>
  </numFmts>
  <fonts count="61">
    <font>
      <sz val="16"/>
      <color theme="1"/>
      <name val="AngsanaUPC"/>
      <family val="2"/>
    </font>
    <font>
      <sz val="16"/>
      <color indexed="8"/>
      <name val="AngsanaUPC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Symbol"/>
      <family val="1"/>
    </font>
    <font>
      <sz val="8"/>
      <color indexed="8"/>
      <name val="Calibri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6"/>
      <color indexed="9"/>
      <name val="AngsanaUPC"/>
      <family val="2"/>
    </font>
    <font>
      <sz val="16"/>
      <color indexed="20"/>
      <name val="AngsanaUPC"/>
      <family val="2"/>
    </font>
    <font>
      <b/>
      <sz val="16"/>
      <color indexed="52"/>
      <name val="AngsanaUPC"/>
      <family val="2"/>
    </font>
    <font>
      <b/>
      <sz val="16"/>
      <color indexed="9"/>
      <name val="AngsanaUPC"/>
      <family val="2"/>
    </font>
    <font>
      <i/>
      <sz val="16"/>
      <color indexed="23"/>
      <name val="AngsanaUPC"/>
      <family val="2"/>
    </font>
    <font>
      <sz val="16"/>
      <color indexed="17"/>
      <name val="AngsanaUPC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62"/>
      <name val="AngsanaUPC"/>
      <family val="2"/>
    </font>
    <font>
      <sz val="16"/>
      <color indexed="52"/>
      <name val="AngsanaUPC"/>
      <family val="2"/>
    </font>
    <font>
      <sz val="16"/>
      <color indexed="60"/>
      <name val="AngsanaUPC"/>
      <family val="2"/>
    </font>
    <font>
      <b/>
      <sz val="16"/>
      <color indexed="63"/>
      <name val="AngsanaUPC"/>
      <family val="2"/>
    </font>
    <font>
      <b/>
      <sz val="18"/>
      <color indexed="56"/>
      <name val="Tahoma"/>
      <family val="2"/>
    </font>
    <font>
      <b/>
      <sz val="16"/>
      <color indexed="8"/>
      <name val="AngsanaUPC"/>
      <family val="2"/>
    </font>
    <font>
      <sz val="16"/>
      <color indexed="10"/>
      <name val="AngsanaUPC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14"/>
      <name val="Times New Roman"/>
      <family val="1"/>
    </font>
    <font>
      <b/>
      <sz val="8"/>
      <color indexed="12"/>
      <name val="Times New Roman"/>
      <family val="1"/>
    </font>
    <font>
      <b/>
      <sz val="6"/>
      <color indexed="8"/>
      <name val="Times New Roman"/>
      <family val="1"/>
    </font>
    <font>
      <b/>
      <sz val="6"/>
      <color indexed="12"/>
      <name val="Times New Roman"/>
      <family val="1"/>
    </font>
    <font>
      <sz val="10"/>
      <color indexed="8"/>
      <name val="Tahoma"/>
      <family val="0"/>
    </font>
    <font>
      <b/>
      <sz val="8"/>
      <color indexed="8"/>
      <name val="Calibri"/>
      <family val="0"/>
    </font>
    <font>
      <sz val="16"/>
      <color theme="0"/>
      <name val="AngsanaUPC"/>
      <family val="2"/>
    </font>
    <font>
      <sz val="16"/>
      <color rgb="FF9C0006"/>
      <name val="AngsanaUPC"/>
      <family val="2"/>
    </font>
    <font>
      <b/>
      <sz val="16"/>
      <color rgb="FFFA7D00"/>
      <name val="AngsanaUPC"/>
      <family val="2"/>
    </font>
    <font>
      <b/>
      <sz val="16"/>
      <color theme="0"/>
      <name val="AngsanaUPC"/>
      <family val="2"/>
    </font>
    <font>
      <i/>
      <sz val="16"/>
      <color rgb="FF7F7F7F"/>
      <name val="AngsanaUPC"/>
      <family val="2"/>
    </font>
    <font>
      <sz val="16"/>
      <color rgb="FF006100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  <font>
      <sz val="16"/>
      <color rgb="FF3F3F76"/>
      <name val="AngsanaUPC"/>
      <family val="2"/>
    </font>
    <font>
      <sz val="16"/>
      <color rgb="FFFA7D00"/>
      <name val="AngsanaUPC"/>
      <family val="2"/>
    </font>
    <font>
      <sz val="16"/>
      <color rgb="FF9C6500"/>
      <name val="AngsanaUPC"/>
      <family val="2"/>
    </font>
    <font>
      <b/>
      <sz val="16"/>
      <color rgb="FF3F3F3F"/>
      <name val="AngsanaUPC"/>
      <family val="2"/>
    </font>
    <font>
      <b/>
      <sz val="18"/>
      <color theme="3"/>
      <name val="Cambria"/>
      <family val="2"/>
    </font>
    <font>
      <b/>
      <sz val="16"/>
      <color theme="1"/>
      <name val="AngsanaUPC"/>
      <family val="2"/>
    </font>
    <font>
      <sz val="16"/>
      <color rgb="FFFF0000"/>
      <name val="AngsanaUPC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FF"/>
      <name val="Times New Roman"/>
      <family val="1"/>
    </font>
    <font>
      <sz val="10"/>
      <color theme="1"/>
      <name val="Times New Roman"/>
      <family val="1"/>
    </font>
    <font>
      <sz val="8"/>
      <color rgb="FF2504EC"/>
      <name val="Times New Roman"/>
      <family val="1"/>
    </font>
    <font>
      <b/>
      <sz val="8"/>
      <color rgb="FFFF33CC"/>
      <name val="Times New Roman"/>
      <family val="1"/>
    </font>
    <font>
      <b/>
      <sz val="8"/>
      <color rgb="FF2504EC"/>
      <name val="Times New Roman"/>
      <family val="1"/>
    </font>
    <font>
      <b/>
      <sz val="8"/>
      <color rgb="FF0000FF"/>
      <name val="Times New Roman"/>
      <family val="1"/>
    </font>
    <font>
      <b/>
      <sz val="6"/>
      <color theme="1"/>
      <name val="Times New Roman"/>
      <family val="1"/>
    </font>
    <font>
      <b/>
      <sz val="6"/>
      <color rgb="FF2504EC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ashed">
        <color rgb="FF0000FF"/>
      </left>
      <right>
        <color indexed="63"/>
      </right>
      <top>
        <color indexed="63"/>
      </top>
      <bottom>
        <color indexed="63"/>
      </bottom>
    </border>
    <border>
      <left style="dashed">
        <color rgb="FF0000FF"/>
      </left>
      <right>
        <color indexed="63"/>
      </right>
      <top style="dashed">
        <color rgb="FF0000FF"/>
      </top>
      <bottom>
        <color indexed="63"/>
      </bottom>
    </border>
    <border>
      <left>
        <color indexed="63"/>
      </left>
      <right>
        <color indexed="63"/>
      </right>
      <top style="dashed">
        <color rgb="FF0000FF"/>
      </top>
      <bottom>
        <color indexed="63"/>
      </bottom>
    </border>
    <border>
      <left>
        <color indexed="63"/>
      </left>
      <right style="dashed">
        <color rgb="FF0000FF"/>
      </right>
      <top style="dashed">
        <color rgb="FF0000FF"/>
      </top>
      <bottom>
        <color indexed="63"/>
      </bottom>
    </border>
    <border>
      <left>
        <color indexed="63"/>
      </left>
      <right style="dashed">
        <color rgb="FF0000FF"/>
      </right>
      <top>
        <color indexed="63"/>
      </top>
      <bottom>
        <color indexed="63"/>
      </bottom>
    </border>
    <border>
      <left style="dashed">
        <color rgb="FF0000FF"/>
      </left>
      <right>
        <color indexed="63"/>
      </right>
      <top>
        <color indexed="63"/>
      </top>
      <bottom style="dashed">
        <color rgb="FF0000FF"/>
      </bottom>
    </border>
    <border>
      <left>
        <color indexed="63"/>
      </left>
      <right>
        <color indexed="63"/>
      </right>
      <top>
        <color indexed="63"/>
      </top>
      <bottom style="dashed">
        <color rgb="FF0000FF"/>
      </bottom>
    </border>
    <border>
      <left>
        <color indexed="63"/>
      </left>
      <right style="dashed">
        <color rgb="FF0000FF"/>
      </right>
      <top>
        <color indexed="63"/>
      </top>
      <bottom style="dashed">
        <color rgb="FF0000F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>
      <alignment/>
      <protection/>
    </xf>
  </cellStyleXfs>
  <cellXfs count="228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61" applyFont="1" applyFill="1" applyBorder="1" applyProtection="1">
      <alignment/>
      <protection/>
    </xf>
    <xf numFmtId="191" fontId="5" fillId="0" borderId="10" xfId="61" applyNumberFormat="1" applyFont="1" applyFill="1" applyBorder="1" applyAlignment="1" applyProtection="1">
      <alignment horizontal="right"/>
      <protection/>
    </xf>
    <xf numFmtId="0" fontId="5" fillId="0" borderId="10" xfId="61" applyFont="1" applyFill="1" applyBorder="1" applyProtection="1">
      <alignment/>
      <protection/>
    </xf>
    <xf numFmtId="0" fontId="51" fillId="0" borderId="10" xfId="0" applyFont="1" applyFill="1" applyBorder="1" applyAlignment="1" applyProtection="1">
      <alignment horizontal="left"/>
      <protection/>
    </xf>
    <xf numFmtId="0" fontId="52" fillId="19" borderId="0" xfId="0" applyFont="1" applyFill="1" applyAlignment="1" applyProtection="1">
      <alignment/>
      <protection/>
    </xf>
    <xf numFmtId="0" fontId="52" fillId="0" borderId="0" xfId="0" applyFont="1" applyFill="1" applyAlignment="1" applyProtection="1">
      <alignment/>
      <protection/>
    </xf>
    <xf numFmtId="0" fontId="4" fillId="0" borderId="0" xfId="61" applyFont="1" applyFill="1" applyBorder="1" applyProtection="1">
      <alignment/>
      <protection/>
    </xf>
    <xf numFmtId="191" fontId="5" fillId="0" borderId="0" xfId="61" applyNumberFormat="1" applyFont="1" applyFill="1" applyBorder="1" applyAlignment="1" applyProtection="1">
      <alignment horizontal="right"/>
      <protection/>
    </xf>
    <xf numFmtId="0" fontId="5" fillId="0" borderId="0" xfId="61" applyFont="1" applyFill="1" applyBorder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14" fontId="5" fillId="0" borderId="0" xfId="61" applyNumberFormat="1" applyFont="1" applyFill="1" applyBorder="1" applyAlignment="1" applyProtection="1">
      <alignment/>
      <protection/>
    </xf>
    <xf numFmtId="0" fontId="5" fillId="0" borderId="0" xfId="61" applyNumberFormat="1" applyFont="1" applyFill="1" applyBorder="1" applyAlignment="1" applyProtection="1">
      <alignment/>
      <protection/>
    </xf>
    <xf numFmtId="0" fontId="52" fillId="0" borderId="11" xfId="0" applyFont="1" applyFill="1" applyBorder="1" applyAlignment="1" applyProtection="1">
      <alignment/>
      <protection/>
    </xf>
    <xf numFmtId="0" fontId="52" fillId="0" borderId="12" xfId="0" applyFont="1" applyFill="1" applyBorder="1" applyAlignment="1" applyProtection="1">
      <alignment/>
      <protection/>
    </xf>
    <xf numFmtId="0" fontId="51" fillId="0" borderId="11" xfId="0" applyFont="1" applyFill="1" applyBorder="1" applyAlignment="1" applyProtection="1">
      <alignment horizontal="center"/>
      <protection/>
    </xf>
    <xf numFmtId="0" fontId="51" fillId="0" borderId="0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 horizontal="center"/>
      <protection/>
    </xf>
    <xf numFmtId="0" fontId="52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52" fillId="0" borderId="13" xfId="0" applyFont="1" applyFill="1" applyBorder="1" applyAlignment="1" applyProtection="1">
      <alignment/>
      <protection/>
    </xf>
    <xf numFmtId="0" fontId="52" fillId="0" borderId="14" xfId="0" applyFont="1" applyFill="1" applyBorder="1" applyAlignment="1" applyProtection="1">
      <alignment/>
      <protection/>
    </xf>
    <xf numFmtId="0" fontId="52" fillId="0" borderId="15" xfId="0" applyFont="1" applyFill="1" applyBorder="1" applyAlignment="1" applyProtection="1">
      <alignment/>
      <protection/>
    </xf>
    <xf numFmtId="199" fontId="52" fillId="0" borderId="16" xfId="0" applyNumberFormat="1" applyFont="1" applyFill="1" applyBorder="1" applyAlignment="1" applyProtection="1">
      <alignment/>
      <protection/>
    </xf>
    <xf numFmtId="0" fontId="52" fillId="0" borderId="16" xfId="0" applyFont="1" applyFill="1" applyBorder="1" applyAlignment="1" applyProtection="1">
      <alignment horizontal="center"/>
      <protection/>
    </xf>
    <xf numFmtId="0" fontId="51" fillId="0" borderId="0" xfId="0" applyFont="1" applyFill="1" applyBorder="1" applyAlignment="1" applyProtection="1">
      <alignment horizontal="left"/>
      <protection/>
    </xf>
    <xf numFmtId="2" fontId="52" fillId="0" borderId="0" xfId="0" applyNumberFormat="1" applyFont="1" applyFill="1" applyBorder="1" applyAlignment="1" applyProtection="1">
      <alignment horizontal="center"/>
      <protection/>
    </xf>
    <xf numFmtId="1" fontId="52" fillId="0" borderId="0" xfId="0" applyNumberFormat="1" applyFont="1" applyFill="1" applyBorder="1" applyAlignment="1" applyProtection="1">
      <alignment horizontal="center"/>
      <protection/>
    </xf>
    <xf numFmtId="0" fontId="52" fillId="0" borderId="17" xfId="0" applyFont="1" applyFill="1" applyBorder="1" applyAlignment="1" applyProtection="1">
      <alignment horizontal="center"/>
      <protection/>
    </xf>
    <xf numFmtId="0" fontId="52" fillId="0" borderId="12" xfId="0" applyFont="1" applyFill="1" applyBorder="1" applyAlignment="1" applyProtection="1">
      <alignment horizontal="center"/>
      <protection/>
    </xf>
    <xf numFmtId="0" fontId="52" fillId="0" borderId="17" xfId="0" applyFont="1" applyFill="1" applyBorder="1" applyAlignment="1" applyProtection="1">
      <alignment horizontal="left"/>
      <protection/>
    </xf>
    <xf numFmtId="0" fontId="53" fillId="0" borderId="0" xfId="0" applyFont="1" applyFill="1" applyBorder="1" applyAlignment="1" applyProtection="1">
      <alignment horizontal="center"/>
      <protection/>
    </xf>
    <xf numFmtId="0" fontId="53" fillId="0" borderId="12" xfId="0" applyFont="1" applyFill="1" applyBorder="1" applyAlignment="1" applyProtection="1">
      <alignment horizontal="center"/>
      <protection/>
    </xf>
    <xf numFmtId="0" fontId="51" fillId="0" borderId="0" xfId="0" applyFont="1" applyFill="1" applyBorder="1" applyAlignment="1" applyProtection="1">
      <alignment horizontal="center"/>
      <protection/>
    </xf>
    <xf numFmtId="2" fontId="52" fillId="0" borderId="17" xfId="0" applyNumberFormat="1" applyFont="1" applyFill="1" applyBorder="1" applyAlignment="1" applyProtection="1">
      <alignment horizontal="left"/>
      <protection/>
    </xf>
    <xf numFmtId="1" fontId="53" fillId="0" borderId="0" xfId="0" applyNumberFormat="1" applyFont="1" applyFill="1" applyBorder="1" applyAlignment="1" applyProtection="1">
      <alignment horizontal="center"/>
      <protection/>
    </xf>
    <xf numFmtId="1" fontId="53" fillId="0" borderId="12" xfId="0" applyNumberFormat="1" applyFont="1" applyFill="1" applyBorder="1" applyAlignment="1" applyProtection="1">
      <alignment horizontal="center"/>
      <protection/>
    </xf>
    <xf numFmtId="0" fontId="52" fillId="0" borderId="0" xfId="0" applyFont="1" applyFill="1" applyBorder="1" applyAlignment="1" applyProtection="1">
      <alignment/>
      <protection/>
    </xf>
    <xf numFmtId="0" fontId="52" fillId="0" borderId="17" xfId="0" applyFont="1" applyFill="1" applyBorder="1" applyAlignment="1" applyProtection="1">
      <alignment/>
      <protection/>
    </xf>
    <xf numFmtId="43" fontId="52" fillId="0" borderId="0" xfId="42" applyFont="1" applyFill="1" applyBorder="1" applyAlignment="1" applyProtection="1">
      <alignment horizontal="center"/>
      <protection/>
    </xf>
    <xf numFmtId="2" fontId="52" fillId="0" borderId="0" xfId="0" applyNumberFormat="1" applyFont="1" applyFill="1" applyBorder="1" applyAlignment="1" applyProtection="1">
      <alignment horizontal="left"/>
      <protection/>
    </xf>
    <xf numFmtId="0" fontId="52" fillId="0" borderId="16" xfId="0" applyFont="1" applyFill="1" applyBorder="1" applyAlignment="1" applyProtection="1">
      <alignment horizontal="left"/>
      <protection/>
    </xf>
    <xf numFmtId="0" fontId="51" fillId="0" borderId="0" xfId="0" applyFont="1" applyFill="1" applyBorder="1" applyAlignment="1" applyProtection="1">
      <alignment shrinkToFit="1"/>
      <protection/>
    </xf>
    <xf numFmtId="43" fontId="52" fillId="0" borderId="16" xfId="42" applyFont="1" applyFill="1" applyBorder="1" applyAlignment="1" applyProtection="1">
      <alignment horizontal="center"/>
      <protection/>
    </xf>
    <xf numFmtId="2" fontId="52" fillId="0" borderId="16" xfId="0" applyNumberFormat="1" applyFont="1" applyFill="1" applyBorder="1" applyAlignment="1" applyProtection="1">
      <alignment horizontal="left"/>
      <protection/>
    </xf>
    <xf numFmtId="0" fontId="52" fillId="0" borderId="18" xfId="0" applyFont="1" applyFill="1" applyBorder="1" applyAlignment="1" applyProtection="1">
      <alignment vertical="center"/>
      <protection/>
    </xf>
    <xf numFmtId="0" fontId="52" fillId="0" borderId="19" xfId="0" applyFont="1" applyFill="1" applyBorder="1" applyAlignment="1" applyProtection="1">
      <alignment vertical="center"/>
      <protection/>
    </xf>
    <xf numFmtId="0" fontId="52" fillId="0" borderId="16" xfId="0" applyFont="1" applyFill="1" applyBorder="1" applyAlignment="1" applyProtection="1">
      <alignment vertical="center"/>
      <protection/>
    </xf>
    <xf numFmtId="0" fontId="52" fillId="0" borderId="11" xfId="0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2" fillId="0" borderId="20" xfId="0" applyFont="1" applyFill="1" applyBorder="1" applyAlignment="1" applyProtection="1">
      <alignment vertical="center"/>
      <protection/>
    </xf>
    <xf numFmtId="0" fontId="52" fillId="0" borderId="17" xfId="0" applyFont="1" applyFill="1" applyBorder="1" applyAlignment="1" applyProtection="1">
      <alignment vertical="center"/>
      <protection/>
    </xf>
    <xf numFmtId="0" fontId="52" fillId="19" borderId="0" xfId="0" applyFont="1" applyFill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2" fillId="0" borderId="0" xfId="0" applyFont="1" applyFill="1" applyBorder="1" applyAlignment="1" applyProtection="1">
      <alignment vertical="center" shrinkToFit="1"/>
      <protection/>
    </xf>
    <xf numFmtId="0" fontId="52" fillId="0" borderId="0" xfId="0" applyFont="1" applyFill="1" applyBorder="1" applyAlignment="1" applyProtection="1">
      <alignment horizontal="center" vertical="center"/>
      <protection/>
    </xf>
    <xf numFmtId="0" fontId="52" fillId="0" borderId="12" xfId="0" applyFont="1" applyFill="1" applyBorder="1" applyAlignment="1" applyProtection="1">
      <alignment horizontal="center" vertical="center"/>
      <protection/>
    </xf>
    <xf numFmtId="0" fontId="52" fillId="0" borderId="21" xfId="0" applyFont="1" applyFill="1" applyBorder="1" applyAlignment="1" applyProtection="1">
      <alignment vertical="center"/>
      <protection/>
    </xf>
    <xf numFmtId="0" fontId="52" fillId="0" borderId="22" xfId="0" applyFont="1" applyFill="1" applyBorder="1" applyAlignment="1" applyProtection="1">
      <alignment vertical="center"/>
      <protection/>
    </xf>
    <xf numFmtId="0" fontId="52" fillId="0" borderId="22" xfId="0" applyFont="1" applyFill="1" applyBorder="1" applyAlignment="1" applyProtection="1">
      <alignment vertical="center" shrinkToFit="1"/>
      <protection/>
    </xf>
    <xf numFmtId="0" fontId="52" fillId="0" borderId="22" xfId="0" applyFont="1" applyFill="1" applyBorder="1" applyAlignment="1" applyProtection="1">
      <alignment horizontal="center" vertical="center"/>
      <protection/>
    </xf>
    <xf numFmtId="0" fontId="52" fillId="0" borderId="23" xfId="0" applyFont="1" applyFill="1" applyBorder="1" applyAlignment="1" applyProtection="1">
      <alignment horizontal="center" vertical="center"/>
      <protection/>
    </xf>
    <xf numFmtId="43" fontId="52" fillId="0" borderId="0" xfId="42" applyFont="1" applyFill="1" applyBorder="1" applyAlignment="1" applyProtection="1">
      <alignment horizontal="center"/>
      <protection/>
    </xf>
    <xf numFmtId="0" fontId="52" fillId="0" borderId="0" xfId="0" applyFont="1" applyFill="1" applyBorder="1" applyAlignment="1" applyProtection="1">
      <alignment horizontal="left"/>
      <protection/>
    </xf>
    <xf numFmtId="0" fontId="54" fillId="0" borderId="0" xfId="0" applyFont="1" applyFill="1" applyBorder="1" applyAlignment="1" applyProtection="1">
      <alignment/>
      <protection/>
    </xf>
    <xf numFmtId="0" fontId="52" fillId="0" borderId="21" xfId="0" applyFont="1" applyFill="1" applyBorder="1" applyAlignment="1" applyProtection="1">
      <alignment/>
      <protection/>
    </xf>
    <xf numFmtId="0" fontId="52" fillId="0" borderId="22" xfId="0" applyFont="1" applyFill="1" applyBorder="1" applyAlignment="1" applyProtection="1">
      <alignment/>
      <protection/>
    </xf>
    <xf numFmtId="0" fontId="52" fillId="0" borderId="23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43" fontId="4" fillId="0" borderId="0" xfId="42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55" fillId="0" borderId="0" xfId="0" applyFont="1" applyFill="1" applyBorder="1" applyAlignment="1" applyProtection="1">
      <alignment/>
      <protection/>
    </xf>
    <xf numFmtId="43" fontId="52" fillId="0" borderId="17" xfId="42" applyFont="1" applyFill="1" applyBorder="1" applyAlignment="1" applyProtection="1">
      <alignment horizontal="center"/>
      <protection/>
    </xf>
    <xf numFmtId="2" fontId="52" fillId="0" borderId="0" xfId="0" applyNumberFormat="1" applyFont="1" applyFill="1" applyBorder="1" applyAlignment="1" applyProtection="1">
      <alignment horizontal="center" shrinkToFit="1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 horizontal="center"/>
      <protection/>
    </xf>
    <xf numFmtId="0" fontId="52" fillId="0" borderId="0" xfId="0" applyFont="1" applyFill="1" applyBorder="1" applyAlignment="1" applyProtection="1">
      <alignment horizontal="left"/>
      <protection/>
    </xf>
    <xf numFmtId="0" fontId="52" fillId="0" borderId="0" xfId="0" applyFont="1" applyFill="1" applyBorder="1" applyAlignment="1" applyProtection="1">
      <alignment horizontal="center"/>
      <protection/>
    </xf>
    <xf numFmtId="0" fontId="52" fillId="0" borderId="0" xfId="0" applyFont="1" applyFill="1" applyAlignment="1" applyProtection="1">
      <alignment horizontal="center"/>
      <protection/>
    </xf>
    <xf numFmtId="205" fontId="52" fillId="0" borderId="0" xfId="0" applyNumberFormat="1" applyFont="1" applyFill="1" applyBorder="1" applyAlignment="1" applyProtection="1">
      <alignment horizontal="center"/>
      <protection/>
    </xf>
    <xf numFmtId="0" fontId="52" fillId="0" borderId="24" xfId="0" applyFont="1" applyFill="1" applyBorder="1" applyAlignment="1" applyProtection="1">
      <alignment/>
      <protection/>
    </xf>
    <xf numFmtId="0" fontId="51" fillId="0" borderId="16" xfId="0" applyFont="1" applyFill="1" applyBorder="1" applyAlignment="1" applyProtection="1">
      <alignment horizontal="center" vertical="center"/>
      <protection/>
    </xf>
    <xf numFmtId="0" fontId="51" fillId="6" borderId="16" xfId="0" applyFont="1" applyFill="1" applyBorder="1" applyAlignment="1" applyProtection="1">
      <alignment horizontal="center"/>
      <protection/>
    </xf>
    <xf numFmtId="2" fontId="52" fillId="0" borderId="0" xfId="42" applyNumberFormat="1" applyFont="1" applyFill="1" applyBorder="1" applyAlignment="1" applyProtection="1">
      <alignment horizontal="center"/>
      <protection/>
    </xf>
    <xf numFmtId="0" fontId="56" fillId="33" borderId="0" xfId="0" applyFont="1" applyFill="1" applyBorder="1" applyAlignment="1" applyProtection="1">
      <alignment horizontal="center"/>
      <protection/>
    </xf>
    <xf numFmtId="2" fontId="56" fillId="33" borderId="16" xfId="0" applyNumberFormat="1" applyFont="1" applyFill="1" applyBorder="1" applyAlignment="1" applyProtection="1">
      <alignment horizontal="center" shrinkToFit="1"/>
      <protection/>
    </xf>
    <xf numFmtId="0" fontId="51" fillId="34" borderId="11" xfId="0" applyFont="1" applyFill="1" applyBorder="1" applyAlignment="1" applyProtection="1">
      <alignment horizontal="center"/>
      <protection/>
    </xf>
    <xf numFmtId="0" fontId="51" fillId="34" borderId="0" xfId="0" applyFont="1" applyFill="1" applyBorder="1" applyAlignment="1" applyProtection="1">
      <alignment/>
      <protection/>
    </xf>
    <xf numFmtId="0" fontId="52" fillId="34" borderId="0" xfId="0" applyFont="1" applyFill="1" applyBorder="1" applyAlignment="1" applyProtection="1">
      <alignment/>
      <protection/>
    </xf>
    <xf numFmtId="0" fontId="52" fillId="34" borderId="0" xfId="0" applyFont="1" applyFill="1" applyBorder="1" applyAlignment="1" applyProtection="1">
      <alignment horizontal="center"/>
      <protection/>
    </xf>
    <xf numFmtId="0" fontId="52" fillId="0" borderId="0" xfId="0" applyFont="1" applyFill="1" applyBorder="1" applyAlignment="1" applyProtection="1">
      <alignment horizontal="center"/>
      <protection/>
    </xf>
    <xf numFmtId="0" fontId="53" fillId="19" borderId="16" xfId="0" applyFont="1" applyFill="1" applyBorder="1" applyAlignment="1" applyProtection="1">
      <alignment horizontal="center" vertical="center"/>
      <protection/>
    </xf>
    <xf numFmtId="0" fontId="53" fillId="19" borderId="16" xfId="0" applyFont="1" applyFill="1" applyBorder="1" applyAlignment="1" applyProtection="1">
      <alignment/>
      <protection/>
    </xf>
    <xf numFmtId="0" fontId="52" fillId="0" borderId="25" xfId="0" applyFont="1" applyFill="1" applyBorder="1" applyAlignment="1" applyProtection="1">
      <alignment/>
      <protection/>
    </xf>
    <xf numFmtId="211" fontId="51" fillId="0" borderId="25" xfId="0" applyNumberFormat="1" applyFont="1" applyFill="1" applyBorder="1" applyAlignment="1" applyProtection="1">
      <alignment vertical="center"/>
      <protection/>
    </xf>
    <xf numFmtId="0" fontId="52" fillId="0" borderId="26" xfId="0" applyFont="1" applyFill="1" applyBorder="1" applyAlignment="1" applyProtection="1">
      <alignment/>
      <protection/>
    </xf>
    <xf numFmtId="0" fontId="52" fillId="0" borderId="27" xfId="0" applyFont="1" applyFill="1" applyBorder="1" applyAlignment="1" applyProtection="1">
      <alignment/>
      <protection/>
    </xf>
    <xf numFmtId="0" fontId="52" fillId="0" borderId="28" xfId="0" applyFont="1" applyFill="1" applyBorder="1" applyAlignment="1" applyProtection="1">
      <alignment/>
      <protection/>
    </xf>
    <xf numFmtId="0" fontId="52" fillId="0" borderId="29" xfId="0" applyFont="1" applyFill="1" applyBorder="1" applyAlignment="1" applyProtection="1">
      <alignment/>
      <protection/>
    </xf>
    <xf numFmtId="0" fontId="52" fillId="0" borderId="30" xfId="0" applyFont="1" applyFill="1" applyBorder="1" applyAlignment="1" applyProtection="1">
      <alignment/>
      <protection/>
    </xf>
    <xf numFmtId="0" fontId="52" fillId="0" borderId="31" xfId="0" applyFont="1" applyFill="1" applyBorder="1" applyAlignment="1" applyProtection="1">
      <alignment/>
      <protection/>
    </xf>
    <xf numFmtId="0" fontId="52" fillId="0" borderId="32" xfId="0" applyFont="1" applyFill="1" applyBorder="1" applyAlignment="1" applyProtection="1">
      <alignment/>
      <protection/>
    </xf>
    <xf numFmtId="0" fontId="54" fillId="0" borderId="27" xfId="0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/>
      <protection/>
    </xf>
    <xf numFmtId="213" fontId="52" fillId="0" borderId="0" xfId="0" applyNumberFormat="1" applyFont="1" applyFill="1" applyBorder="1" applyAlignment="1" applyProtection="1">
      <alignment vertical="center"/>
      <protection/>
    </xf>
    <xf numFmtId="213" fontId="51" fillId="0" borderId="0" xfId="0" applyNumberFormat="1" applyFont="1" applyFill="1" applyBorder="1" applyAlignment="1" applyProtection="1">
      <alignment/>
      <protection/>
    </xf>
    <xf numFmtId="0" fontId="52" fillId="0" borderId="33" xfId="0" applyFont="1" applyFill="1" applyBorder="1" applyAlignment="1" applyProtection="1">
      <alignment/>
      <protection/>
    </xf>
    <xf numFmtId="0" fontId="52" fillId="0" borderId="34" xfId="0" applyFont="1" applyFill="1" applyBorder="1" applyAlignment="1" applyProtection="1">
      <alignment/>
      <protection/>
    </xf>
    <xf numFmtId="0" fontId="52" fillId="0" borderId="35" xfId="0" applyFont="1" applyFill="1" applyBorder="1" applyAlignment="1" applyProtection="1">
      <alignment/>
      <protection/>
    </xf>
    <xf numFmtId="0" fontId="52" fillId="0" borderId="36" xfId="0" applyFont="1" applyFill="1" applyBorder="1" applyAlignment="1" applyProtection="1">
      <alignment/>
      <protection/>
    </xf>
    <xf numFmtId="0" fontId="52" fillId="0" borderId="37" xfId="0" applyFont="1" applyFill="1" applyBorder="1" applyAlignment="1" applyProtection="1">
      <alignment/>
      <protection/>
    </xf>
    <xf numFmtId="0" fontId="52" fillId="0" borderId="38" xfId="0" applyFont="1" applyFill="1" applyBorder="1" applyAlignment="1" applyProtection="1">
      <alignment/>
      <protection/>
    </xf>
    <xf numFmtId="0" fontId="52" fillId="0" borderId="39" xfId="0" applyFont="1" applyFill="1" applyBorder="1" applyAlignment="1" applyProtection="1">
      <alignment/>
      <protection/>
    </xf>
    <xf numFmtId="0" fontId="3" fillId="0" borderId="0" xfId="61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57" fillId="0" borderId="10" xfId="61" applyFont="1" applyFill="1" applyBorder="1" applyAlignment="1" applyProtection="1">
      <alignment/>
      <protection/>
    </xf>
    <xf numFmtId="0" fontId="57" fillId="0" borderId="0" xfId="61" applyFont="1" applyFill="1" applyBorder="1" applyAlignment="1" applyProtection="1">
      <alignment/>
      <protection/>
    </xf>
    <xf numFmtId="0" fontId="52" fillId="0" borderId="24" xfId="0" applyFont="1" applyFill="1" applyBorder="1" applyAlignment="1" applyProtection="1">
      <alignment/>
      <protection/>
    </xf>
    <xf numFmtId="0" fontId="3" fillId="0" borderId="10" xfId="61" applyFont="1" applyFill="1" applyBorder="1" applyAlignment="1" applyProtection="1">
      <alignment/>
      <protection/>
    </xf>
    <xf numFmtId="0" fontId="52" fillId="0" borderId="11" xfId="0" applyFont="1" applyFill="1" applyBorder="1" applyAlignment="1" applyProtection="1">
      <alignment/>
      <protection/>
    </xf>
    <xf numFmtId="0" fontId="3" fillId="0" borderId="40" xfId="0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3" fillId="0" borderId="24" xfId="61" applyFont="1" applyFill="1" applyBorder="1" applyAlignment="1" applyProtection="1">
      <alignment vertical="center"/>
      <protection/>
    </xf>
    <xf numFmtId="0" fontId="52" fillId="0" borderId="40" xfId="0" applyFont="1" applyFill="1" applyBorder="1" applyAlignment="1" applyProtection="1">
      <alignment/>
      <protection/>
    </xf>
    <xf numFmtId="0" fontId="3" fillId="0" borderId="11" xfId="61" applyFont="1" applyFill="1" applyBorder="1" applyAlignment="1" applyProtection="1">
      <alignment/>
      <protection/>
    </xf>
    <xf numFmtId="0" fontId="52" fillId="0" borderId="41" xfId="0" applyFont="1" applyFill="1" applyBorder="1" applyAlignment="1" applyProtection="1">
      <alignment/>
      <protection/>
    </xf>
    <xf numFmtId="0" fontId="52" fillId="0" borderId="42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 horizontal="center"/>
      <protection/>
    </xf>
    <xf numFmtId="0" fontId="51" fillId="35" borderId="16" xfId="0" applyFont="1" applyFill="1" applyBorder="1" applyAlignment="1" applyProtection="1">
      <alignment horizontal="center"/>
      <protection/>
    </xf>
    <xf numFmtId="0" fontId="51" fillId="36" borderId="16" xfId="0" applyFont="1" applyFill="1" applyBorder="1" applyAlignment="1" applyProtection="1">
      <alignment horizontal="center"/>
      <protection/>
    </xf>
    <xf numFmtId="0" fontId="51" fillId="36" borderId="0" xfId="0" applyFont="1" applyFill="1" applyBorder="1" applyAlignment="1" applyProtection="1">
      <alignment horizontal="center" shrinkToFit="1"/>
      <protection/>
    </xf>
    <xf numFmtId="0" fontId="51" fillId="35" borderId="0" xfId="0" applyFont="1" applyFill="1" applyBorder="1" applyAlignment="1" applyProtection="1">
      <alignment horizontal="center" shrinkToFit="1"/>
      <protection/>
    </xf>
    <xf numFmtId="0" fontId="51" fillId="0" borderId="0" xfId="0" applyFont="1" applyFill="1" applyBorder="1" applyAlignment="1" applyProtection="1">
      <alignment horizontal="left"/>
      <protection/>
    </xf>
    <xf numFmtId="0" fontId="52" fillId="0" borderId="0" xfId="0" applyFont="1" applyFill="1" applyBorder="1" applyAlignment="1" applyProtection="1">
      <alignment horizontal="center"/>
      <protection/>
    </xf>
    <xf numFmtId="0" fontId="4" fillId="0" borderId="43" xfId="0" applyFont="1" applyFill="1" applyBorder="1" applyAlignment="1" applyProtection="1">
      <alignment horizontal="center"/>
      <protection/>
    </xf>
    <xf numFmtId="0" fontId="57" fillId="37" borderId="21" xfId="61" applyFont="1" applyFill="1" applyBorder="1" applyAlignment="1" applyProtection="1">
      <alignment horizontal="left"/>
      <protection/>
    </xf>
    <xf numFmtId="0" fontId="57" fillId="37" borderId="22" xfId="61" applyFont="1" applyFill="1" applyBorder="1" applyAlignment="1" applyProtection="1">
      <alignment horizontal="left"/>
      <protection/>
    </xf>
    <xf numFmtId="0" fontId="4" fillId="0" borderId="22" xfId="61" applyFont="1" applyFill="1" applyBorder="1" applyProtection="1">
      <alignment/>
      <protection/>
    </xf>
    <xf numFmtId="14" fontId="5" fillId="0" borderId="22" xfId="61" applyNumberFormat="1" applyFont="1" applyFill="1" applyBorder="1" applyAlignment="1" applyProtection="1">
      <alignment/>
      <protection/>
    </xf>
    <xf numFmtId="0" fontId="5" fillId="0" borderId="22" xfId="61" applyNumberFormat="1" applyFont="1" applyFill="1" applyBorder="1" applyAlignment="1" applyProtection="1">
      <alignment/>
      <protection/>
    </xf>
    <xf numFmtId="193" fontId="57" fillId="0" borderId="0" xfId="0" applyNumberFormat="1" applyFont="1" applyFill="1" applyBorder="1" applyAlignment="1" applyProtection="1">
      <alignment horizontal="left"/>
      <protection/>
    </xf>
    <xf numFmtId="0" fontId="57" fillId="0" borderId="44" xfId="0" applyNumberFormat="1" applyFont="1" applyFill="1" applyBorder="1" applyAlignment="1" applyProtection="1">
      <alignment horizontal="center"/>
      <protection/>
    </xf>
    <xf numFmtId="0" fontId="51" fillId="12" borderId="13" xfId="0" applyFont="1" applyFill="1" applyBorder="1" applyAlignment="1" applyProtection="1">
      <alignment/>
      <protection/>
    </xf>
    <xf numFmtId="0" fontId="51" fillId="12" borderId="14" xfId="0" applyFont="1" applyFill="1" applyBorder="1" applyAlignment="1" applyProtection="1">
      <alignment/>
      <protection/>
    </xf>
    <xf numFmtId="0" fontId="51" fillId="12" borderId="15" xfId="0" applyFont="1" applyFill="1" applyBorder="1" applyAlignment="1" applyProtection="1">
      <alignment/>
      <protection/>
    </xf>
    <xf numFmtId="0" fontId="51" fillId="12" borderId="16" xfId="0" applyFont="1" applyFill="1" applyBorder="1" applyAlignment="1" applyProtection="1">
      <alignment/>
      <protection/>
    </xf>
    <xf numFmtId="0" fontId="52" fillId="0" borderId="16" xfId="0" applyFont="1" applyFill="1" applyBorder="1" applyAlignment="1" applyProtection="1">
      <alignment horizontal="center" shrinkToFit="1"/>
      <protection/>
    </xf>
    <xf numFmtId="0" fontId="52" fillId="0" borderId="0" xfId="0" applyFont="1" applyFill="1" applyBorder="1" applyAlignment="1">
      <alignment horizontal="left"/>
    </xf>
    <xf numFmtId="216" fontId="51" fillId="0" borderId="25" xfId="0" applyNumberFormat="1" applyFont="1" applyFill="1" applyBorder="1" applyAlignment="1" applyProtection="1">
      <alignment horizontal="left" vertical="center"/>
      <protection/>
    </xf>
    <xf numFmtId="0" fontId="52" fillId="0" borderId="0" xfId="0" applyFont="1" applyFill="1" applyBorder="1" applyAlignment="1" applyProtection="1">
      <alignment horizontal="center"/>
      <protection/>
    </xf>
    <xf numFmtId="0" fontId="57" fillId="38" borderId="43" xfId="0" applyNumberFormat="1" applyFont="1" applyFill="1" applyBorder="1" applyAlignment="1" applyProtection="1">
      <alignment horizontal="center"/>
      <protection locked="0"/>
    </xf>
    <xf numFmtId="0" fontId="57" fillId="38" borderId="45" xfId="0" applyFont="1" applyFill="1" applyBorder="1" applyAlignment="1" applyProtection="1">
      <alignment horizontal="center"/>
      <protection locked="0"/>
    </xf>
    <xf numFmtId="2" fontId="57" fillId="38" borderId="16" xfId="0" applyNumberFormat="1" applyFont="1" applyFill="1" applyBorder="1" applyAlignment="1" applyProtection="1">
      <alignment horizontal="center"/>
      <protection locked="0"/>
    </xf>
    <xf numFmtId="0" fontId="58" fillId="38" borderId="16" xfId="0" applyFont="1" applyFill="1" applyBorder="1" applyAlignment="1" applyProtection="1">
      <alignment horizontal="center"/>
      <protection locked="0"/>
    </xf>
    <xf numFmtId="215" fontId="58" fillId="38" borderId="16" xfId="0" applyNumberFormat="1" applyFont="1" applyFill="1" applyBorder="1" applyAlignment="1" applyProtection="1">
      <alignment horizontal="center"/>
      <protection locked="0"/>
    </xf>
    <xf numFmtId="1" fontId="58" fillId="38" borderId="16" xfId="0" applyNumberFormat="1" applyFont="1" applyFill="1" applyBorder="1" applyAlignment="1" applyProtection="1">
      <alignment horizontal="center"/>
      <protection locked="0"/>
    </xf>
    <xf numFmtId="215" fontId="3" fillId="0" borderId="16" xfId="0" applyNumberFormat="1" applyFont="1" applyFill="1" applyBorder="1" applyAlignment="1" applyProtection="1">
      <alignment horizontal="center"/>
      <protection/>
    </xf>
    <xf numFmtId="0" fontId="58" fillId="38" borderId="16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/>
      <protection/>
    </xf>
    <xf numFmtId="1" fontId="58" fillId="38" borderId="16" xfId="0" applyNumberFormat="1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Alignment="1" applyProtection="1">
      <alignment horizontal="center" vertical="center"/>
      <protection/>
    </xf>
    <xf numFmtId="199" fontId="58" fillId="38" borderId="16" xfId="0" applyNumberFormat="1" applyFont="1" applyFill="1" applyBorder="1" applyAlignment="1" applyProtection="1">
      <alignment horizontal="center"/>
      <protection locked="0"/>
    </xf>
    <xf numFmtId="0" fontId="52" fillId="0" borderId="46" xfId="0" applyFont="1" applyFill="1" applyBorder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/>
      <protection/>
    </xf>
    <xf numFmtId="0" fontId="56" fillId="33" borderId="0" xfId="0" applyFont="1" applyFill="1" applyBorder="1" applyAlignment="1" applyProtection="1">
      <alignment horizontal="center"/>
      <protection/>
    </xf>
    <xf numFmtId="0" fontId="51" fillId="0" borderId="47" xfId="0" applyFont="1" applyFill="1" applyBorder="1" applyAlignment="1" applyProtection="1">
      <alignment horizontal="center"/>
      <protection/>
    </xf>
    <xf numFmtId="216" fontId="51" fillId="0" borderId="0" xfId="0" applyNumberFormat="1" applyFont="1" applyFill="1" applyBorder="1" applyAlignment="1" applyProtection="1">
      <alignment horizontal="center"/>
      <protection/>
    </xf>
    <xf numFmtId="0" fontId="52" fillId="0" borderId="13" xfId="0" applyFont="1" applyFill="1" applyBorder="1" applyAlignment="1" applyProtection="1">
      <alignment horizontal="center"/>
      <protection/>
    </xf>
    <xf numFmtId="0" fontId="52" fillId="0" borderId="15" xfId="0" applyFont="1" applyFill="1" applyBorder="1" applyAlignment="1" applyProtection="1">
      <alignment horizontal="center"/>
      <protection/>
    </xf>
    <xf numFmtId="1" fontId="52" fillId="0" borderId="13" xfId="0" applyNumberFormat="1" applyFont="1" applyFill="1" applyBorder="1" applyAlignment="1" applyProtection="1">
      <alignment horizontal="center"/>
      <protection/>
    </xf>
    <xf numFmtId="1" fontId="52" fillId="0" borderId="14" xfId="0" applyNumberFormat="1" applyFont="1" applyFill="1" applyBorder="1" applyAlignment="1" applyProtection="1">
      <alignment horizontal="center"/>
      <protection/>
    </xf>
    <xf numFmtId="0" fontId="52" fillId="0" borderId="14" xfId="0" applyFont="1" applyFill="1" applyBorder="1" applyAlignment="1" applyProtection="1">
      <alignment horizontal="center"/>
      <protection/>
    </xf>
    <xf numFmtId="0" fontId="51" fillId="0" borderId="11" xfId="0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 horizontal="left"/>
      <protection/>
    </xf>
    <xf numFmtId="193" fontId="3" fillId="0" borderId="0" xfId="0" applyNumberFormat="1" applyFont="1" applyFill="1" applyBorder="1" applyAlignment="1" applyProtection="1">
      <alignment horizontal="left"/>
      <protection/>
    </xf>
    <xf numFmtId="193" fontId="3" fillId="0" borderId="12" xfId="0" applyNumberFormat="1" applyFont="1" applyFill="1" applyBorder="1" applyAlignment="1" applyProtection="1">
      <alignment horizontal="left"/>
      <protection/>
    </xf>
    <xf numFmtId="0" fontId="51" fillId="6" borderId="16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40" xfId="0" applyFont="1" applyFill="1" applyBorder="1" applyAlignment="1" applyProtection="1">
      <alignment horizontal="left"/>
      <protection/>
    </xf>
    <xf numFmtId="0" fontId="51" fillId="12" borderId="16" xfId="0" applyFont="1" applyFill="1" applyBorder="1" applyAlignment="1" applyProtection="1">
      <alignment horizontal="center"/>
      <protection/>
    </xf>
    <xf numFmtId="2" fontId="52" fillId="0" borderId="13" xfId="0" applyNumberFormat="1" applyFont="1" applyFill="1" applyBorder="1" applyAlignment="1" applyProtection="1">
      <alignment horizontal="center"/>
      <protection/>
    </xf>
    <xf numFmtId="2" fontId="52" fillId="0" borderId="15" xfId="0" applyNumberFormat="1" applyFont="1" applyFill="1" applyBorder="1" applyAlignment="1" applyProtection="1">
      <alignment horizontal="center"/>
      <protection/>
    </xf>
    <xf numFmtId="0" fontId="51" fillId="0" borderId="48" xfId="0" applyFont="1" applyFill="1" applyBorder="1" applyAlignment="1" applyProtection="1">
      <alignment horizontal="center" vertical="center" shrinkToFit="1"/>
      <protection/>
    </xf>
    <xf numFmtId="0" fontId="51" fillId="0" borderId="49" xfId="0" applyFont="1" applyFill="1" applyBorder="1" applyAlignment="1" applyProtection="1">
      <alignment horizontal="center" vertical="center" shrinkToFit="1"/>
      <protection/>
    </xf>
    <xf numFmtId="0" fontId="9" fillId="39" borderId="50" xfId="61" applyFont="1" applyFill="1" applyBorder="1" applyAlignment="1" applyProtection="1">
      <alignment horizontal="center" vertical="center"/>
      <protection/>
    </xf>
    <xf numFmtId="0" fontId="9" fillId="39" borderId="51" xfId="61" applyFont="1" applyFill="1" applyBorder="1" applyAlignment="1" applyProtection="1">
      <alignment horizontal="center" vertical="center"/>
      <protection/>
    </xf>
    <xf numFmtId="0" fontId="9" fillId="39" borderId="52" xfId="61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2" fontId="52" fillId="0" borderId="0" xfId="0" applyNumberFormat="1" applyFont="1" applyFill="1" applyBorder="1" applyAlignment="1" applyProtection="1">
      <alignment horizontal="center"/>
      <protection/>
    </xf>
    <xf numFmtId="0" fontId="56" fillId="33" borderId="0" xfId="0" applyFont="1" applyFill="1" applyBorder="1" applyAlignment="1" applyProtection="1">
      <alignment horizontal="center"/>
      <protection/>
    </xf>
    <xf numFmtId="205" fontId="52" fillId="0" borderId="13" xfId="42" applyNumberFormat="1" applyFont="1" applyFill="1" applyBorder="1" applyAlignment="1" applyProtection="1">
      <alignment horizontal="center"/>
      <protection/>
    </xf>
    <xf numFmtId="205" fontId="52" fillId="0" borderId="15" xfId="42" applyNumberFormat="1" applyFont="1" applyFill="1" applyBorder="1" applyAlignment="1" applyProtection="1">
      <alignment horizontal="center"/>
      <protection/>
    </xf>
    <xf numFmtId="0" fontId="57" fillId="38" borderId="13" xfId="0" applyFont="1" applyFill="1" applyBorder="1" applyAlignment="1" applyProtection="1">
      <alignment horizontal="center"/>
      <protection locked="0"/>
    </xf>
    <xf numFmtId="0" fontId="57" fillId="38" borderId="15" xfId="0" applyFont="1" applyFill="1" applyBorder="1" applyAlignment="1" applyProtection="1">
      <alignment horizontal="center"/>
      <protection locked="0"/>
    </xf>
    <xf numFmtId="0" fontId="60" fillId="38" borderId="0" xfId="61" applyFont="1" applyFill="1" applyBorder="1" applyAlignment="1" applyProtection="1">
      <alignment horizontal="left" vertical="center"/>
      <protection locked="0"/>
    </xf>
    <xf numFmtId="1" fontId="4" fillId="0" borderId="0" xfId="0" applyNumberFormat="1" applyFont="1" applyFill="1" applyBorder="1" applyAlignment="1" applyProtection="1">
      <alignment horizontal="center"/>
      <protection/>
    </xf>
    <xf numFmtId="19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2" fillId="0" borderId="0" xfId="0" applyFont="1" applyFill="1" applyBorder="1" applyAlignment="1" applyProtection="1">
      <alignment horizontal="center"/>
      <protection/>
    </xf>
    <xf numFmtId="2" fontId="4" fillId="0" borderId="13" xfId="0" applyNumberFormat="1" applyFont="1" applyFill="1" applyBorder="1" applyAlignment="1" applyProtection="1">
      <alignment horizontal="center"/>
      <protection/>
    </xf>
    <xf numFmtId="2" fontId="4" fillId="0" borderId="14" xfId="0" applyNumberFormat="1" applyFont="1" applyFill="1" applyBorder="1" applyAlignment="1" applyProtection="1">
      <alignment horizontal="center"/>
      <protection/>
    </xf>
    <xf numFmtId="2" fontId="4" fillId="0" borderId="15" xfId="0" applyNumberFormat="1" applyFont="1" applyFill="1" applyBorder="1" applyAlignment="1" applyProtection="1">
      <alignment horizontal="center"/>
      <protection/>
    </xf>
    <xf numFmtId="0" fontId="52" fillId="0" borderId="53" xfId="0" applyFont="1" applyFill="1" applyBorder="1" applyAlignment="1" applyProtection="1">
      <alignment horizontal="center"/>
      <protection/>
    </xf>
    <xf numFmtId="0" fontId="52" fillId="0" borderId="13" xfId="0" applyFont="1" applyFill="1" applyBorder="1" applyAlignment="1" applyProtection="1">
      <alignment horizontal="center" vertical="center"/>
      <protection/>
    </xf>
    <xf numFmtId="0" fontId="52" fillId="0" borderId="15" xfId="0" applyFont="1" applyFill="1" applyBorder="1" applyAlignment="1" applyProtection="1">
      <alignment horizontal="center" vertical="center"/>
      <protection/>
    </xf>
    <xf numFmtId="216" fontId="51" fillId="0" borderId="0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left"/>
      <protection/>
    </xf>
    <xf numFmtId="0" fontId="57" fillId="38" borderId="14" xfId="0" applyFont="1" applyFill="1" applyBorder="1" applyAlignment="1" applyProtection="1">
      <alignment horizontal="center"/>
      <protection locked="0"/>
    </xf>
    <xf numFmtId="0" fontId="57" fillId="38" borderId="10" xfId="0" applyFont="1" applyFill="1" applyBorder="1" applyAlignment="1" applyProtection="1">
      <alignment horizontal="left"/>
      <protection locked="0"/>
    </xf>
    <xf numFmtId="214" fontId="57" fillId="38" borderId="0" xfId="0" applyNumberFormat="1" applyFont="1" applyFill="1" applyBorder="1" applyAlignment="1" applyProtection="1">
      <alignment horizontal="left"/>
      <protection locked="0"/>
    </xf>
    <xf numFmtId="0" fontId="51" fillId="0" borderId="11" xfId="0" applyFont="1" applyFill="1" applyBorder="1" applyAlignment="1" applyProtection="1">
      <alignment shrinkToFit="1"/>
      <protection/>
    </xf>
    <xf numFmtId="0" fontId="51" fillId="0" borderId="0" xfId="0" applyFont="1" applyFill="1" applyBorder="1" applyAlignment="1" applyProtection="1">
      <alignment shrinkToFit="1"/>
      <protection/>
    </xf>
    <xf numFmtId="0" fontId="57" fillId="38" borderId="0" xfId="0" applyFont="1" applyFill="1" applyBorder="1" applyAlignment="1" applyProtection="1">
      <alignment horizontal="left"/>
      <protection locked="0"/>
    </xf>
    <xf numFmtId="0" fontId="10" fillId="0" borderId="10" xfId="61" applyFont="1" applyFill="1" applyBorder="1" applyAlignment="1" applyProtection="1">
      <alignment horizontal="center" vertical="center"/>
      <protection/>
    </xf>
    <xf numFmtId="0" fontId="10" fillId="0" borderId="40" xfId="61" applyFont="1" applyFill="1" applyBorder="1" applyAlignment="1" applyProtection="1">
      <alignment horizontal="center" vertical="center"/>
      <protection/>
    </xf>
    <xf numFmtId="0" fontId="10" fillId="0" borderId="0" xfId="61" applyFont="1" applyFill="1" applyBorder="1" applyAlignment="1" applyProtection="1">
      <alignment horizontal="center" vertical="center"/>
      <protection/>
    </xf>
    <xf numFmtId="0" fontId="10" fillId="0" borderId="12" xfId="61" applyFont="1" applyFill="1" applyBorder="1" applyAlignment="1" applyProtection="1">
      <alignment horizontal="center" vertical="center"/>
      <protection/>
    </xf>
    <xf numFmtId="0" fontId="10" fillId="0" borderId="22" xfId="61" applyFont="1" applyFill="1" applyBorder="1" applyAlignment="1" applyProtection="1">
      <alignment horizontal="center" vertical="center"/>
      <protection/>
    </xf>
    <xf numFmtId="0" fontId="10" fillId="0" borderId="23" xfId="61" applyFont="1" applyFill="1" applyBorder="1" applyAlignment="1" applyProtection="1">
      <alignment horizontal="center" vertical="center"/>
      <protection/>
    </xf>
    <xf numFmtId="0" fontId="60" fillId="38" borderId="10" xfId="61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Mbeam" xfId="61"/>
  </cellStyles>
  <dxfs count="18">
    <dxf>
      <font>
        <b/>
        <i val="0"/>
        <color auto="1"/>
      </font>
      <fill>
        <patternFill>
          <bgColor rgb="FFFF0000"/>
        </patternFill>
      </fill>
      <border>
        <left style="dashDotDot"/>
        <right style="dashDotDot"/>
        <top style="dashDotDot"/>
        <bottom style="dashDotDot"/>
      </border>
    </dxf>
    <dxf>
      <font>
        <b/>
        <i val="0"/>
      </font>
      <fill>
        <patternFill>
          <bgColor rgb="FFFF0000"/>
        </patternFill>
      </fill>
      <border>
        <left style="dashDot"/>
        <right style="dashDot"/>
        <top style="dashDot"/>
        <bottom style="dashDot"/>
      </border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>
        <left style="dashDotDot"/>
        <right style="dashDotDot"/>
        <top style="dashDotDot"/>
        <bottom style="dashDotDot"/>
      </border>
    </dxf>
    <dxf>
      <font>
        <b/>
        <i val="0"/>
        <color auto="1"/>
      </font>
      <fill>
        <patternFill>
          <bgColor rgb="FFFF0000"/>
        </patternFill>
      </fill>
      <border>
        <left style="dashDotDot"/>
        <right style="dashDotDot"/>
        <top style="dashDotDot"/>
        <bottom style="dashDotDot"/>
      </border>
    </dxf>
    <dxf>
      <font>
        <b/>
        <i val="0"/>
      </font>
      <fill>
        <patternFill>
          <bgColor rgb="FFFF0000"/>
        </patternFill>
      </fill>
      <border>
        <left style="dashDot"/>
        <right style="dashDot"/>
        <top style="dashDot"/>
        <bottom style="dashDot"/>
      </border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>
        <left style="dashDotDot"/>
        <right style="dashDotDot"/>
        <top style="dashDotDot"/>
        <bottom style="dashDotDot"/>
      </border>
    </dxf>
    <dxf>
      <font>
        <b/>
        <i val="0"/>
        <color auto="1"/>
      </font>
      <fill>
        <patternFill>
          <fgColor indexed="64"/>
          <bgColor indexed="10"/>
        </patternFill>
      </fill>
      <border>
        <left style="dashDot"/>
        <right style="dashDot"/>
        <top style="dashDot"/>
        <bottom style="dashDot"/>
      </border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FF0000"/>
      </font>
      <border/>
    </dxf>
    <dxf>
      <font>
        <b/>
        <i val="0"/>
        <color auto="1"/>
      </font>
      <fill>
        <gradientFill degree="90">
          <stop position="0">
            <color rgb="FFFF0000"/>
          </stop>
          <stop position="1">
            <color rgb="FFFFFF00"/>
          </stop>
        </gradientFill>
      </fill>
      <border>
        <left style="dashDot">
          <color rgb="FF000000"/>
        </left>
        <right style="dashDot">
          <color rgb="FF000000"/>
        </right>
        <top style="dashDot"/>
        <bottom style="dashDot">
          <color rgb="FF000000"/>
        </bottom>
      </border>
    </dxf>
    <dxf>
      <font>
        <b/>
        <i val="0"/>
      </font>
      <fill>
        <patternFill>
          <bgColor rgb="FFFF0000"/>
        </patternFill>
      </fill>
      <border>
        <left style="dashDotDot">
          <color rgb="FF000000"/>
        </left>
        <right style="dashDotDot">
          <color rgb="FF000000"/>
        </right>
        <top style="dashDotDot"/>
        <bottom style="dashDotDot">
          <color rgb="FF000000"/>
        </bottom>
      </border>
    </dxf>
    <dxf>
      <font>
        <b/>
        <i val="0"/>
        <color auto="1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>
        <left style="dashDot">
          <color rgb="FF000000"/>
        </left>
        <right style="dashDot">
          <color rgb="FF000000"/>
        </right>
        <top style="dashDot"/>
        <bottom style="dashDot">
          <color rgb="FF000000"/>
        </bottom>
      </border>
    </dxf>
    <dxf>
      <font>
        <b/>
        <i val="0"/>
        <color auto="1"/>
      </font>
      <fill>
        <patternFill>
          <bgColor rgb="FFFF0000"/>
        </patternFill>
      </fill>
      <border>
        <left style="dashDotDot">
          <color rgb="FF000000"/>
        </left>
        <right style="dashDotDot">
          <color rgb="FF000000"/>
        </right>
        <top style="dashDotDot"/>
        <bottom style="dashDotDot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03"/>
          <c:w val="0.9295"/>
          <c:h val="0.96875"/>
        </c:manualLayout>
      </c:layout>
      <c:scatterChart>
        <c:scatterStyle val="lineMarker"/>
        <c:varyColors val="0"/>
        <c:ser>
          <c:idx val="0"/>
          <c:order val="0"/>
          <c:tx>
            <c:v>top upper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Sheet1!$Z$69:$Z$75</c:f>
              <c:numCache/>
            </c:numRef>
          </c:xVal>
          <c:yVal>
            <c:numRef>
              <c:f>Sheet1!$AA$69:$AA$75</c:f>
              <c:numCache/>
            </c:numRef>
          </c:yVal>
          <c:smooth val="0"/>
        </c:ser>
        <c:ser>
          <c:idx val="1"/>
          <c:order val="1"/>
          <c:tx>
            <c:v>top lower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Sheet1!$Z$80:$Z$86</c:f>
              <c:numCache/>
            </c:numRef>
          </c:xVal>
          <c:yVal>
            <c:numRef>
              <c:f>Sheet1!$AA$80:$AA$86</c:f>
              <c:numCache/>
            </c:numRef>
          </c:yVal>
          <c:smooth val="0"/>
        </c:ser>
        <c:ser>
          <c:idx val="2"/>
          <c:order val="2"/>
          <c:tx>
            <c:v>bottom upper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Sheet1!$Z$91:$Z$97</c:f>
              <c:numCache/>
            </c:numRef>
          </c:xVal>
          <c:yVal>
            <c:numRef>
              <c:f>Sheet1!$AA$91:$AA$97</c:f>
              <c:numCache/>
            </c:numRef>
          </c:yVal>
          <c:smooth val="0"/>
        </c:ser>
        <c:ser>
          <c:idx val="3"/>
          <c:order val="3"/>
          <c:tx>
            <c:v>bottom lower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Sheet1!$Z$102:$Z$108</c:f>
              <c:numCache/>
            </c:numRef>
          </c:xVal>
          <c:yVal>
            <c:numRef>
              <c:f>Sheet1!$AA$102:$AA$108</c:f>
              <c:numCache/>
            </c:numRef>
          </c:yVal>
          <c:smooth val="0"/>
        </c:ser>
        <c:ser>
          <c:idx val="4"/>
          <c:order val="4"/>
          <c:tx>
            <c:v>middle rebar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Sheet1!$Z$113:$Z$116</c:f>
              <c:numCache/>
            </c:numRef>
          </c:xVal>
          <c:yVal>
            <c:numRef>
              <c:f>Sheet1!$AA$113:$AA$116</c:f>
              <c:numCache/>
            </c:numRef>
          </c:yVal>
          <c:smooth val="0"/>
        </c:ser>
        <c:axId val="49114907"/>
        <c:axId val="39380980"/>
      </c:scatterChart>
      <c:valAx>
        <c:axId val="49114907"/>
        <c:scaling>
          <c:orientation val="minMax"/>
        </c:scaling>
        <c:axPos val="b"/>
        <c:delete val="1"/>
        <c:majorTickMark val="out"/>
        <c:minorTickMark val="none"/>
        <c:tickLblPos val="nextTo"/>
        <c:crossAx val="39380980"/>
        <c:crosses val="autoZero"/>
        <c:crossBetween val="midCat"/>
        <c:dispUnits/>
      </c:valAx>
      <c:valAx>
        <c:axId val="39380980"/>
        <c:scaling>
          <c:orientation val="minMax"/>
        </c:scaling>
        <c:axPos val="l"/>
        <c:delete val="1"/>
        <c:majorTickMark val="out"/>
        <c:minorTickMark val="none"/>
        <c:tickLblPos val="nextTo"/>
        <c:crossAx val="491149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97</xdr:row>
      <xdr:rowOff>9525</xdr:rowOff>
    </xdr:from>
    <xdr:to>
      <xdr:col>4</xdr:col>
      <xdr:colOff>371475</xdr:colOff>
      <xdr:row>109</xdr:row>
      <xdr:rowOff>0</xdr:rowOff>
    </xdr:to>
    <xdr:graphicFrame>
      <xdr:nvGraphicFramePr>
        <xdr:cNvPr id="1" name="Chart 4"/>
        <xdr:cNvGraphicFramePr/>
      </xdr:nvGraphicFramePr>
      <xdr:xfrm>
        <a:off x="1571625" y="13868400"/>
        <a:ext cx="7334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571500</xdr:colOff>
      <xdr:row>95</xdr:row>
      <xdr:rowOff>76200</xdr:rowOff>
    </xdr:from>
    <xdr:to>
      <xdr:col>4</xdr:col>
      <xdr:colOff>361950</xdr:colOff>
      <xdr:row>95</xdr:row>
      <xdr:rowOff>76200</xdr:rowOff>
    </xdr:to>
    <xdr:sp>
      <xdr:nvSpPr>
        <xdr:cNvPr id="2" name="Straight Arrow Connector 6"/>
        <xdr:cNvSpPr>
          <a:spLocks/>
        </xdr:cNvSpPr>
      </xdr:nvSpPr>
      <xdr:spPr>
        <a:xfrm>
          <a:off x="1552575" y="13649325"/>
          <a:ext cx="742950" cy="0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304800</xdr:colOff>
      <xdr:row>97</xdr:row>
      <xdr:rowOff>19050</xdr:rowOff>
    </xdr:from>
    <xdr:to>
      <xdr:col>2</xdr:col>
      <xdr:colOff>523875</xdr:colOff>
      <xdr:row>97</xdr:row>
      <xdr:rowOff>19050</xdr:rowOff>
    </xdr:to>
    <xdr:sp>
      <xdr:nvSpPr>
        <xdr:cNvPr id="3" name="Straight Connector 8"/>
        <xdr:cNvSpPr>
          <a:spLocks/>
        </xdr:cNvSpPr>
      </xdr:nvSpPr>
      <xdr:spPr>
        <a:xfrm>
          <a:off x="1285875" y="13877925"/>
          <a:ext cx="219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314325</xdr:colOff>
      <xdr:row>108</xdr:row>
      <xdr:rowOff>142875</xdr:rowOff>
    </xdr:from>
    <xdr:to>
      <xdr:col>2</xdr:col>
      <xdr:colOff>542925</xdr:colOff>
      <xdr:row>108</xdr:row>
      <xdr:rowOff>142875</xdr:rowOff>
    </xdr:to>
    <xdr:sp>
      <xdr:nvSpPr>
        <xdr:cNvPr id="4" name="Straight Connector 9"/>
        <xdr:cNvSpPr>
          <a:spLocks/>
        </xdr:cNvSpPr>
      </xdr:nvSpPr>
      <xdr:spPr>
        <a:xfrm>
          <a:off x="1295400" y="15573375"/>
          <a:ext cx="228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400050</xdr:colOff>
      <xdr:row>97</xdr:row>
      <xdr:rowOff>0</xdr:rowOff>
    </xdr:from>
    <xdr:to>
      <xdr:col>2</xdr:col>
      <xdr:colOff>400050</xdr:colOff>
      <xdr:row>109</xdr:row>
      <xdr:rowOff>0</xdr:rowOff>
    </xdr:to>
    <xdr:sp>
      <xdr:nvSpPr>
        <xdr:cNvPr id="5" name="Straight Arrow Connector 11"/>
        <xdr:cNvSpPr>
          <a:spLocks/>
        </xdr:cNvSpPr>
      </xdr:nvSpPr>
      <xdr:spPr>
        <a:xfrm rot="5400000">
          <a:off x="1381125" y="13858875"/>
          <a:ext cx="0" cy="1714500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76200</xdr:colOff>
      <xdr:row>97</xdr:row>
      <xdr:rowOff>76200</xdr:rowOff>
    </xdr:from>
    <xdr:to>
      <xdr:col>18</xdr:col>
      <xdr:colOff>314325</xdr:colOff>
      <xdr:row>97</xdr:row>
      <xdr:rowOff>76200</xdr:rowOff>
    </xdr:to>
    <xdr:sp>
      <xdr:nvSpPr>
        <xdr:cNvPr id="6" name="Straight Connector 20"/>
        <xdr:cNvSpPr>
          <a:spLocks/>
        </xdr:cNvSpPr>
      </xdr:nvSpPr>
      <xdr:spPr>
        <a:xfrm rot="10800000">
          <a:off x="4610100" y="13935075"/>
          <a:ext cx="28384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76200</xdr:colOff>
      <xdr:row>97</xdr:row>
      <xdr:rowOff>66675</xdr:rowOff>
    </xdr:from>
    <xdr:to>
      <xdr:col>11</xdr:col>
      <xdr:colOff>76200</xdr:colOff>
      <xdr:row>102</xdr:row>
      <xdr:rowOff>76200</xdr:rowOff>
    </xdr:to>
    <xdr:sp>
      <xdr:nvSpPr>
        <xdr:cNvPr id="7" name="Straight Connector 22"/>
        <xdr:cNvSpPr>
          <a:spLocks/>
        </xdr:cNvSpPr>
      </xdr:nvSpPr>
      <xdr:spPr>
        <a:xfrm rot="5400000">
          <a:off x="4610100" y="13925550"/>
          <a:ext cx="0" cy="7239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94</xdr:row>
      <xdr:rowOff>142875</xdr:rowOff>
    </xdr:from>
    <xdr:to>
      <xdr:col>13</xdr:col>
      <xdr:colOff>0</xdr:colOff>
      <xdr:row>95</xdr:row>
      <xdr:rowOff>142875</xdr:rowOff>
    </xdr:to>
    <xdr:sp>
      <xdr:nvSpPr>
        <xdr:cNvPr id="8" name="Straight Connector 33"/>
        <xdr:cNvSpPr>
          <a:spLocks/>
        </xdr:cNvSpPr>
      </xdr:nvSpPr>
      <xdr:spPr>
        <a:xfrm rot="5400000">
          <a:off x="5276850" y="13573125"/>
          <a:ext cx="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76200</xdr:colOff>
      <xdr:row>95</xdr:row>
      <xdr:rowOff>0</xdr:rowOff>
    </xdr:from>
    <xdr:to>
      <xdr:col>11</xdr:col>
      <xdr:colOff>76200</xdr:colOff>
      <xdr:row>95</xdr:row>
      <xdr:rowOff>142875</xdr:rowOff>
    </xdr:to>
    <xdr:sp>
      <xdr:nvSpPr>
        <xdr:cNvPr id="9" name="Straight Connector 36"/>
        <xdr:cNvSpPr>
          <a:spLocks/>
        </xdr:cNvSpPr>
      </xdr:nvSpPr>
      <xdr:spPr>
        <a:xfrm rot="5400000">
          <a:off x="4610100" y="13573125"/>
          <a:ext cx="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76200</xdr:colOff>
      <xdr:row>95</xdr:row>
      <xdr:rowOff>76200</xdr:rowOff>
    </xdr:from>
    <xdr:to>
      <xdr:col>13</xdr:col>
      <xdr:colOff>9525</xdr:colOff>
      <xdr:row>95</xdr:row>
      <xdr:rowOff>76200</xdr:rowOff>
    </xdr:to>
    <xdr:sp>
      <xdr:nvSpPr>
        <xdr:cNvPr id="10" name="Straight Arrow Connector 41"/>
        <xdr:cNvSpPr>
          <a:spLocks/>
        </xdr:cNvSpPr>
      </xdr:nvSpPr>
      <xdr:spPr>
        <a:xfrm rot="10800000">
          <a:off x="4610100" y="13649325"/>
          <a:ext cx="676275" cy="0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47625</xdr:colOff>
      <xdr:row>54</xdr:row>
      <xdr:rowOff>38100</xdr:rowOff>
    </xdr:from>
    <xdr:to>
      <xdr:col>9</xdr:col>
      <xdr:colOff>238125</xdr:colOff>
      <xdr:row>62</xdr:row>
      <xdr:rowOff>114300</xdr:rowOff>
    </xdr:to>
    <xdr:grpSp>
      <xdr:nvGrpSpPr>
        <xdr:cNvPr id="11" name="Group 97"/>
        <xdr:cNvGrpSpPr>
          <a:grpSpLocks/>
        </xdr:cNvGrpSpPr>
      </xdr:nvGrpSpPr>
      <xdr:grpSpPr>
        <a:xfrm>
          <a:off x="3095625" y="7753350"/>
          <a:ext cx="933450" cy="1219200"/>
          <a:chOff x="7670800" y="8089900"/>
          <a:chExt cx="932093" cy="1244600"/>
        </a:xfrm>
        <a:solidFill>
          <a:srgbClr val="FFFFFF"/>
        </a:solidFill>
      </xdr:grpSpPr>
      <xdr:sp>
        <xdr:nvSpPr>
          <xdr:cNvPr id="12" name="Rectangle 23"/>
          <xdr:cNvSpPr>
            <a:spLocks/>
          </xdr:cNvSpPr>
        </xdr:nvSpPr>
        <xdr:spPr>
          <a:xfrm>
            <a:off x="8107486" y="8352511"/>
            <a:ext cx="417578" cy="797477"/>
          </a:xfrm>
          <a:prstGeom prst="rect">
            <a:avLst/>
          </a:prstGeom>
          <a:solidFill>
            <a:srgbClr val="B7DEE8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3" name="Oval 24"/>
          <xdr:cNvSpPr>
            <a:spLocks/>
          </xdr:cNvSpPr>
        </xdr:nvSpPr>
        <xdr:spPr>
          <a:xfrm>
            <a:off x="8287846" y="8401050"/>
            <a:ext cx="66412" cy="68142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4" name="Oval 25"/>
          <xdr:cNvSpPr>
            <a:spLocks/>
          </xdr:cNvSpPr>
        </xdr:nvSpPr>
        <xdr:spPr>
          <a:xfrm>
            <a:off x="8287846" y="9023350"/>
            <a:ext cx="66412" cy="68142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5" name="Straight Connector 26"/>
          <xdr:cNvSpPr>
            <a:spLocks/>
          </xdr:cNvSpPr>
        </xdr:nvSpPr>
        <xdr:spPr>
          <a:xfrm rot="5400000">
            <a:off x="7629323" y="8707222"/>
            <a:ext cx="70978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6" name="Straight Connector 27"/>
          <xdr:cNvSpPr>
            <a:spLocks/>
          </xdr:cNvSpPr>
        </xdr:nvSpPr>
        <xdr:spPr>
          <a:xfrm rot="10800000">
            <a:off x="7718337" y="8342554"/>
            <a:ext cx="351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7" name="Straight Connector 28"/>
          <xdr:cNvSpPr>
            <a:spLocks/>
          </xdr:cNvSpPr>
        </xdr:nvSpPr>
        <xdr:spPr>
          <a:xfrm rot="10800000">
            <a:off x="7737212" y="9149677"/>
            <a:ext cx="3322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8" name="Straight Connector 29"/>
          <xdr:cNvSpPr>
            <a:spLocks/>
          </xdr:cNvSpPr>
        </xdr:nvSpPr>
        <xdr:spPr>
          <a:xfrm rot="10800000">
            <a:off x="7908018" y="9052598"/>
            <a:ext cx="1614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9" name="Straight Connector 30"/>
          <xdr:cNvSpPr>
            <a:spLocks/>
          </xdr:cNvSpPr>
        </xdr:nvSpPr>
        <xdr:spPr>
          <a:xfrm rot="5400000">
            <a:off x="7939942" y="9106116"/>
            <a:ext cx="1069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0" name="Straight Connector 31"/>
          <xdr:cNvSpPr>
            <a:spLocks/>
          </xdr:cNvSpPr>
        </xdr:nvSpPr>
        <xdr:spPr>
          <a:xfrm rot="5400000">
            <a:off x="7400494" y="8746115"/>
            <a:ext cx="80696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1" name="TextBox 32"/>
          <xdr:cNvSpPr txBox="1">
            <a:spLocks noChangeArrowheads="1"/>
          </xdr:cNvSpPr>
        </xdr:nvSpPr>
        <xdr:spPr>
          <a:xfrm>
            <a:off x="8173897" y="8410696"/>
            <a:ext cx="332291" cy="1652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Ast</a:t>
            </a:r>
          </a:p>
        </xdr:txBody>
      </xdr:sp>
      <xdr:sp>
        <xdr:nvSpPr>
          <xdr:cNvPr id="22" name="TextBox 34"/>
          <xdr:cNvSpPr txBox="1">
            <a:spLocks noChangeArrowheads="1"/>
          </xdr:cNvSpPr>
        </xdr:nvSpPr>
        <xdr:spPr>
          <a:xfrm>
            <a:off x="8173897" y="8848173"/>
            <a:ext cx="332291" cy="1652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Asc</a:t>
            </a:r>
          </a:p>
        </xdr:txBody>
      </xdr:sp>
      <xdr:sp>
        <xdr:nvSpPr>
          <xdr:cNvPr id="23" name="TextBox 35"/>
          <xdr:cNvSpPr txBox="1">
            <a:spLocks noChangeArrowheads="1"/>
          </xdr:cNvSpPr>
        </xdr:nvSpPr>
        <xdr:spPr>
          <a:xfrm>
            <a:off x="7851160" y="8605164"/>
            <a:ext cx="161485" cy="1848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</a:t>
            </a:r>
          </a:p>
        </xdr:txBody>
      </xdr:sp>
      <xdr:sp>
        <xdr:nvSpPr>
          <xdr:cNvPr id="24" name="TextBox 37"/>
          <xdr:cNvSpPr txBox="1">
            <a:spLocks noChangeArrowheads="1"/>
          </xdr:cNvSpPr>
        </xdr:nvSpPr>
        <xdr:spPr>
          <a:xfrm>
            <a:off x="7670800" y="8644058"/>
            <a:ext cx="161485" cy="1848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t</a:t>
            </a:r>
          </a:p>
        </xdr:txBody>
      </xdr:sp>
      <xdr:sp>
        <xdr:nvSpPr>
          <xdr:cNvPr id="25" name="TextBox 38"/>
          <xdr:cNvSpPr txBox="1">
            <a:spLocks noChangeArrowheads="1"/>
          </xdr:cNvSpPr>
        </xdr:nvSpPr>
        <xdr:spPr>
          <a:xfrm>
            <a:off x="7775194" y="9003748"/>
            <a:ext cx="294308" cy="1944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d'</a:t>
            </a:r>
          </a:p>
        </xdr:txBody>
      </xdr:sp>
      <xdr:sp>
        <xdr:nvSpPr>
          <xdr:cNvPr id="26" name="Straight Connector 39"/>
          <xdr:cNvSpPr>
            <a:spLocks/>
          </xdr:cNvSpPr>
        </xdr:nvSpPr>
        <xdr:spPr>
          <a:xfrm rot="5400000" flipH="1" flipV="1">
            <a:off x="8039210" y="8245475"/>
            <a:ext cx="1556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7" name="Straight Connector 40"/>
          <xdr:cNvSpPr>
            <a:spLocks/>
          </xdr:cNvSpPr>
        </xdr:nvSpPr>
        <xdr:spPr>
          <a:xfrm rot="5400000" flipH="1" flipV="1">
            <a:off x="8447233" y="8245475"/>
            <a:ext cx="1556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8" name="Straight Connector 42"/>
          <xdr:cNvSpPr>
            <a:spLocks/>
          </xdr:cNvSpPr>
        </xdr:nvSpPr>
        <xdr:spPr>
          <a:xfrm rot="10800000">
            <a:off x="8117040" y="8245475"/>
            <a:ext cx="40825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9" name="TextBox 43"/>
          <xdr:cNvSpPr txBox="1">
            <a:spLocks noChangeArrowheads="1"/>
          </xdr:cNvSpPr>
        </xdr:nvSpPr>
        <xdr:spPr>
          <a:xfrm>
            <a:off x="8230755" y="8089900"/>
            <a:ext cx="161485" cy="1944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B</a:t>
            </a:r>
          </a:p>
        </xdr:txBody>
      </xdr:sp>
      <xdr:sp>
        <xdr:nvSpPr>
          <xdr:cNvPr id="30" name="TextBox 44"/>
          <xdr:cNvSpPr txBox="1">
            <a:spLocks noChangeArrowheads="1"/>
          </xdr:cNvSpPr>
        </xdr:nvSpPr>
        <xdr:spPr>
          <a:xfrm>
            <a:off x="8069503" y="9159323"/>
            <a:ext cx="521972" cy="1751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Top Ast</a:t>
            </a:r>
          </a:p>
        </xdr:txBody>
      </xdr:sp>
    </xdr:grpSp>
    <xdr:clientData/>
  </xdr:twoCellAnchor>
  <xdr:twoCellAnchor>
    <xdr:from>
      <xdr:col>15</xdr:col>
      <xdr:colOff>209550</xdr:colOff>
      <xdr:row>54</xdr:row>
      <xdr:rowOff>19050</xdr:rowOff>
    </xdr:from>
    <xdr:to>
      <xdr:col>19</xdr:col>
      <xdr:colOff>19050</xdr:colOff>
      <xdr:row>62</xdr:row>
      <xdr:rowOff>95250</xdr:rowOff>
    </xdr:to>
    <xdr:grpSp>
      <xdr:nvGrpSpPr>
        <xdr:cNvPr id="31" name="Group 186"/>
        <xdr:cNvGrpSpPr>
          <a:grpSpLocks/>
        </xdr:cNvGrpSpPr>
      </xdr:nvGrpSpPr>
      <xdr:grpSpPr>
        <a:xfrm>
          <a:off x="6229350" y="7734300"/>
          <a:ext cx="1295400" cy="1219200"/>
          <a:chOff x="9372600" y="9226550"/>
          <a:chExt cx="1308100" cy="1250949"/>
        </a:xfrm>
        <a:solidFill>
          <a:srgbClr val="FFFFFF"/>
        </a:solidFill>
      </xdr:grpSpPr>
      <xdr:sp>
        <xdr:nvSpPr>
          <xdr:cNvPr id="32" name="TextBox 46"/>
          <xdr:cNvSpPr txBox="1">
            <a:spLocks noChangeArrowheads="1"/>
          </xdr:cNvSpPr>
        </xdr:nvSpPr>
        <xdr:spPr>
          <a:xfrm>
            <a:off x="9882432" y="9226550"/>
            <a:ext cx="154029" cy="1857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B</a:t>
            </a:r>
          </a:p>
        </xdr:txBody>
      </xdr:sp>
      <xdr:sp>
        <xdr:nvSpPr>
          <xdr:cNvPr id="33" name="Rectangle 47"/>
          <xdr:cNvSpPr>
            <a:spLocks/>
          </xdr:cNvSpPr>
        </xdr:nvSpPr>
        <xdr:spPr>
          <a:xfrm>
            <a:off x="9766992" y="9490500"/>
            <a:ext cx="413687" cy="801233"/>
          </a:xfrm>
          <a:prstGeom prst="rect">
            <a:avLst/>
          </a:prstGeom>
          <a:solidFill>
            <a:srgbClr val="BFBFB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4" name="Straight Connector 48"/>
          <xdr:cNvSpPr>
            <a:spLocks/>
          </xdr:cNvSpPr>
        </xdr:nvSpPr>
        <xdr:spPr>
          <a:xfrm rot="5400000">
            <a:off x="9290518" y="9842330"/>
            <a:ext cx="703758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5" name="Straight Connector 49"/>
          <xdr:cNvSpPr>
            <a:spLocks/>
          </xdr:cNvSpPr>
        </xdr:nvSpPr>
        <xdr:spPr>
          <a:xfrm rot="10800000">
            <a:off x="9439967" y="9480493"/>
            <a:ext cx="2789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6" name="Straight Connector 50"/>
          <xdr:cNvSpPr>
            <a:spLocks/>
          </xdr:cNvSpPr>
        </xdr:nvSpPr>
        <xdr:spPr>
          <a:xfrm rot="10800000">
            <a:off x="9430156" y="10291733"/>
            <a:ext cx="2982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7" name="Straight Connector 51"/>
          <xdr:cNvSpPr>
            <a:spLocks/>
          </xdr:cNvSpPr>
        </xdr:nvSpPr>
        <xdr:spPr>
          <a:xfrm rot="10800000">
            <a:off x="9564891" y="10194159"/>
            <a:ext cx="1635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8" name="Straight Connector 52"/>
          <xdr:cNvSpPr>
            <a:spLocks/>
          </xdr:cNvSpPr>
        </xdr:nvSpPr>
        <xdr:spPr>
          <a:xfrm rot="5400000">
            <a:off x="9588109" y="10237942"/>
            <a:ext cx="1075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9" name="Straight Connector 53"/>
          <xdr:cNvSpPr>
            <a:spLocks/>
          </xdr:cNvSpPr>
        </xdr:nvSpPr>
        <xdr:spPr>
          <a:xfrm rot="5400000">
            <a:off x="9092341" y="9886113"/>
            <a:ext cx="81102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0" name="TextBox 54"/>
          <xdr:cNvSpPr txBox="1">
            <a:spLocks noChangeArrowheads="1"/>
          </xdr:cNvSpPr>
        </xdr:nvSpPr>
        <xdr:spPr>
          <a:xfrm>
            <a:off x="9507334" y="9744443"/>
            <a:ext cx="154029" cy="1857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</a:t>
            </a:r>
          </a:p>
        </xdr:txBody>
      </xdr:sp>
      <xdr:sp>
        <xdr:nvSpPr>
          <xdr:cNvPr id="41" name="TextBox 55"/>
          <xdr:cNvSpPr txBox="1">
            <a:spLocks noChangeArrowheads="1"/>
          </xdr:cNvSpPr>
        </xdr:nvSpPr>
        <xdr:spPr>
          <a:xfrm>
            <a:off x="9372600" y="9783535"/>
            <a:ext cx="163513" cy="1857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t</a:t>
            </a:r>
          </a:p>
        </xdr:txBody>
      </xdr:sp>
      <xdr:sp>
        <xdr:nvSpPr>
          <xdr:cNvPr id="42" name="TextBox 56"/>
          <xdr:cNvSpPr txBox="1">
            <a:spLocks noChangeArrowheads="1"/>
          </xdr:cNvSpPr>
        </xdr:nvSpPr>
        <xdr:spPr>
          <a:xfrm>
            <a:off x="9430156" y="10145372"/>
            <a:ext cx="288436" cy="1857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d'</a:t>
            </a:r>
          </a:p>
        </xdr:txBody>
      </xdr:sp>
      <xdr:sp>
        <xdr:nvSpPr>
          <xdr:cNvPr id="43" name="Straight Connector 57"/>
          <xdr:cNvSpPr>
            <a:spLocks/>
          </xdr:cNvSpPr>
        </xdr:nvSpPr>
        <xdr:spPr>
          <a:xfrm rot="5400000" flipH="1" flipV="1">
            <a:off x="9703222" y="9377915"/>
            <a:ext cx="1465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4" name="Straight Connector 58"/>
          <xdr:cNvSpPr>
            <a:spLocks/>
          </xdr:cNvSpPr>
        </xdr:nvSpPr>
        <xdr:spPr>
          <a:xfrm rot="5400000" flipH="1" flipV="1">
            <a:off x="10097614" y="9377915"/>
            <a:ext cx="1465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5" name="Straight Connector 59"/>
          <xdr:cNvSpPr>
            <a:spLocks/>
          </xdr:cNvSpPr>
        </xdr:nvSpPr>
        <xdr:spPr>
          <a:xfrm rot="10800000">
            <a:off x="9776476" y="9382919"/>
            <a:ext cx="403876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6" name="TextBox 60"/>
          <xdr:cNvSpPr txBox="1">
            <a:spLocks noChangeArrowheads="1"/>
          </xdr:cNvSpPr>
        </xdr:nvSpPr>
        <xdr:spPr>
          <a:xfrm>
            <a:off x="9507334" y="10311436"/>
            <a:ext cx="1048442" cy="1660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As 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สำหรับรับแรงบิด</a:t>
            </a:r>
          </a:p>
        </xdr:txBody>
      </xdr:sp>
      <xdr:sp>
        <xdr:nvSpPr>
          <xdr:cNvPr id="47" name="Rounded Rectangle 61"/>
          <xdr:cNvSpPr>
            <a:spLocks/>
          </xdr:cNvSpPr>
        </xdr:nvSpPr>
        <xdr:spPr>
          <a:xfrm>
            <a:off x="9815065" y="9519585"/>
            <a:ext cx="317541" cy="733056"/>
          </a:xfrm>
          <a:prstGeom prst="round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8" name="Oval 62"/>
          <xdr:cNvSpPr>
            <a:spLocks/>
          </xdr:cNvSpPr>
        </xdr:nvSpPr>
        <xdr:spPr>
          <a:xfrm>
            <a:off x="9834359" y="9539287"/>
            <a:ext cx="57556" cy="58482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9" name="Oval 63"/>
          <xdr:cNvSpPr>
            <a:spLocks/>
          </xdr:cNvSpPr>
        </xdr:nvSpPr>
        <xdr:spPr>
          <a:xfrm>
            <a:off x="10036134" y="9539287"/>
            <a:ext cx="67367" cy="68489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0" name="Oval 64"/>
          <xdr:cNvSpPr>
            <a:spLocks/>
          </xdr:cNvSpPr>
        </xdr:nvSpPr>
        <xdr:spPr>
          <a:xfrm>
            <a:off x="9824549" y="10164762"/>
            <a:ext cx="57556" cy="58482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1" name="Oval 65"/>
          <xdr:cNvSpPr>
            <a:spLocks/>
          </xdr:cNvSpPr>
        </xdr:nvSpPr>
        <xdr:spPr>
          <a:xfrm>
            <a:off x="10045944" y="10164762"/>
            <a:ext cx="67367" cy="58482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2" name="Straight Connector 66"/>
          <xdr:cNvSpPr>
            <a:spLocks/>
          </xdr:cNvSpPr>
        </xdr:nvSpPr>
        <xdr:spPr>
          <a:xfrm rot="16200000" flipH="1">
            <a:off x="9882432" y="9588074"/>
            <a:ext cx="192291" cy="57668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3" name="Straight Connector 67"/>
          <xdr:cNvSpPr>
            <a:spLocks/>
          </xdr:cNvSpPr>
        </xdr:nvSpPr>
        <xdr:spPr>
          <a:xfrm rot="5400000">
            <a:off x="9666268" y="9785099"/>
            <a:ext cx="566734" cy="19233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4" name="Straight Arrow Connector 68"/>
          <xdr:cNvSpPr>
            <a:spLocks/>
          </xdr:cNvSpPr>
        </xdr:nvSpPr>
        <xdr:spPr>
          <a:xfrm>
            <a:off x="9959283" y="9852025"/>
            <a:ext cx="538610" cy="0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5" name="TextBox 69"/>
          <xdr:cNvSpPr txBox="1">
            <a:spLocks noChangeArrowheads="1"/>
          </xdr:cNvSpPr>
        </xdr:nvSpPr>
        <xdr:spPr>
          <a:xfrm>
            <a:off x="10055428" y="9646869"/>
            <a:ext cx="625272" cy="3812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As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
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 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ที่มุม</a:t>
            </a:r>
          </a:p>
        </xdr:txBody>
      </xdr:sp>
    </xdr:grpSp>
    <xdr:clientData/>
  </xdr:twoCellAnchor>
  <xdr:twoCellAnchor>
    <xdr:from>
      <xdr:col>11</xdr:col>
      <xdr:colOff>361950</xdr:colOff>
      <xdr:row>109</xdr:row>
      <xdr:rowOff>76200</xdr:rowOff>
    </xdr:from>
    <xdr:to>
      <xdr:col>19</xdr:col>
      <xdr:colOff>9525</xdr:colOff>
      <xdr:row>109</xdr:row>
      <xdr:rowOff>76200</xdr:rowOff>
    </xdr:to>
    <xdr:sp>
      <xdr:nvSpPr>
        <xdr:cNvPr id="56" name="Straight Arrow Connector 70"/>
        <xdr:cNvSpPr>
          <a:spLocks/>
        </xdr:cNvSpPr>
      </xdr:nvSpPr>
      <xdr:spPr>
        <a:xfrm rot="10800000">
          <a:off x="4895850" y="15649575"/>
          <a:ext cx="2619375" cy="0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371475</xdr:colOff>
      <xdr:row>109</xdr:row>
      <xdr:rowOff>0</xdr:rowOff>
    </xdr:from>
    <xdr:to>
      <xdr:col>11</xdr:col>
      <xdr:colOff>371475</xdr:colOff>
      <xdr:row>109</xdr:row>
      <xdr:rowOff>142875</xdr:rowOff>
    </xdr:to>
    <xdr:sp>
      <xdr:nvSpPr>
        <xdr:cNvPr id="57" name="Straight Connector 71"/>
        <xdr:cNvSpPr>
          <a:spLocks/>
        </xdr:cNvSpPr>
      </xdr:nvSpPr>
      <xdr:spPr>
        <a:xfrm rot="5400000">
          <a:off x="4905375" y="15573375"/>
          <a:ext cx="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371475</xdr:colOff>
      <xdr:row>108</xdr:row>
      <xdr:rowOff>142875</xdr:rowOff>
    </xdr:from>
    <xdr:to>
      <xdr:col>18</xdr:col>
      <xdr:colOff>371475</xdr:colOff>
      <xdr:row>109</xdr:row>
      <xdr:rowOff>142875</xdr:rowOff>
    </xdr:to>
    <xdr:sp>
      <xdr:nvSpPr>
        <xdr:cNvPr id="58" name="Straight Connector 72"/>
        <xdr:cNvSpPr>
          <a:spLocks/>
        </xdr:cNvSpPr>
      </xdr:nvSpPr>
      <xdr:spPr>
        <a:xfrm rot="5400000">
          <a:off x="7505700" y="15573375"/>
          <a:ext cx="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2</xdr:col>
      <xdr:colOff>57150</xdr:colOff>
      <xdr:row>20</xdr:row>
      <xdr:rowOff>38100</xdr:rowOff>
    </xdr:from>
    <xdr:to>
      <xdr:col>14</xdr:col>
      <xdr:colOff>19050</xdr:colOff>
      <xdr:row>31</xdr:row>
      <xdr:rowOff>76200</xdr:rowOff>
    </xdr:to>
    <xdr:pic>
      <xdr:nvPicPr>
        <xdr:cNvPr id="59" name="Picture 21372"/>
        <xdr:cNvPicPr preferRelativeResize="1">
          <a:picLocks noChangeAspect="1"/>
        </xdr:cNvPicPr>
      </xdr:nvPicPr>
      <xdr:blipFill>
        <a:blip r:embed="rId2"/>
        <a:srcRect l="40687" t="44581" r="23570" b="31977"/>
        <a:stretch>
          <a:fillRect/>
        </a:stretch>
      </xdr:blipFill>
      <xdr:spPr>
        <a:xfrm>
          <a:off x="1038225" y="2895600"/>
          <a:ext cx="4629150" cy="1609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104775</xdr:colOff>
      <xdr:row>1</xdr:row>
      <xdr:rowOff>28575</xdr:rowOff>
    </xdr:from>
    <xdr:to>
      <xdr:col>2</xdr:col>
      <xdr:colOff>238125</xdr:colOff>
      <xdr:row>4</xdr:row>
      <xdr:rowOff>114300</xdr:rowOff>
    </xdr:to>
    <xdr:pic>
      <xdr:nvPicPr>
        <xdr:cNvPr id="60" name="Picture 765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171450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85</xdr:row>
      <xdr:rowOff>28575</xdr:rowOff>
    </xdr:from>
    <xdr:to>
      <xdr:col>2</xdr:col>
      <xdr:colOff>238125</xdr:colOff>
      <xdr:row>88</xdr:row>
      <xdr:rowOff>114300</xdr:rowOff>
    </xdr:to>
    <xdr:pic>
      <xdr:nvPicPr>
        <xdr:cNvPr id="61" name="Picture 765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12172950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BV170"/>
  <sheetViews>
    <sheetView showGridLines="0" tabSelected="1" zoomScale="110" zoomScaleNormal="110" zoomScaleSheetLayoutView="106" zoomScalePageLayoutView="0" workbookViewId="0" topLeftCell="A1">
      <pane xSplit="1" ySplit="6" topLeftCell="B4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52" sqref="N52"/>
    </sheetView>
  </sheetViews>
  <sheetFormatPr defaultColWidth="9.140625" defaultRowHeight="11.25" customHeight="1"/>
  <cols>
    <col min="1" max="1" width="9.140625" style="6" customWidth="1"/>
    <col min="2" max="2" width="5.57421875" style="7" customWidth="1"/>
    <col min="3" max="3" width="8.7109375" style="7" customWidth="1"/>
    <col min="4" max="22" width="5.57421875" style="7" customWidth="1"/>
    <col min="23" max="64" width="4.7109375" style="6" customWidth="1"/>
    <col min="65" max="74" width="9.140625" style="6" customWidth="1"/>
    <col min="75" max="16384" width="9.140625" style="7" customWidth="1"/>
  </cols>
  <sheetData>
    <row r="1" s="6" customFormat="1" ht="11.25" customHeight="1" thickBot="1"/>
    <row r="2" spans="2:22" ht="11.25" customHeight="1">
      <c r="B2" s="118"/>
      <c r="C2" s="218" t="s">
        <v>140</v>
      </c>
      <c r="D2" s="218"/>
      <c r="E2" s="218"/>
      <c r="F2" s="218"/>
      <c r="G2" s="219"/>
      <c r="H2" s="123" t="s">
        <v>64</v>
      </c>
      <c r="I2" s="116"/>
      <c r="J2" s="224" t="s">
        <v>136</v>
      </c>
      <c r="K2" s="224"/>
      <c r="L2" s="224"/>
      <c r="M2" s="224"/>
      <c r="N2" s="124"/>
      <c r="O2" s="5" t="s">
        <v>65</v>
      </c>
      <c r="P2" s="5"/>
      <c r="Q2" s="213" t="s">
        <v>138</v>
      </c>
      <c r="R2" s="213"/>
      <c r="S2" s="213"/>
      <c r="T2" s="213"/>
      <c r="U2" s="190" t="s">
        <v>66</v>
      </c>
      <c r="V2" s="152">
        <v>1</v>
      </c>
    </row>
    <row r="3" spans="2:22" ht="11.25" customHeight="1">
      <c r="B3" s="120"/>
      <c r="C3" s="220"/>
      <c r="D3" s="220"/>
      <c r="E3" s="220"/>
      <c r="F3" s="220"/>
      <c r="G3" s="221"/>
      <c r="H3" s="125" t="s">
        <v>67</v>
      </c>
      <c r="I3" s="117"/>
      <c r="J3" s="199" t="s">
        <v>134</v>
      </c>
      <c r="K3" s="199"/>
      <c r="L3" s="199"/>
      <c r="M3" s="199"/>
      <c r="N3" s="15"/>
      <c r="O3" s="215" t="s">
        <v>68</v>
      </c>
      <c r="P3" s="216"/>
      <c r="Q3" s="217" t="s">
        <v>139</v>
      </c>
      <c r="R3" s="217"/>
      <c r="S3" s="217"/>
      <c r="T3" s="217"/>
      <c r="U3" s="191"/>
      <c r="V3" s="135" t="s">
        <v>69</v>
      </c>
    </row>
    <row r="4" spans="2:22" ht="11.25" customHeight="1">
      <c r="B4" s="120"/>
      <c r="C4" s="220" t="s">
        <v>141</v>
      </c>
      <c r="D4" s="220"/>
      <c r="E4" s="220"/>
      <c r="F4" s="220"/>
      <c r="G4" s="221"/>
      <c r="H4" s="125" t="s">
        <v>70</v>
      </c>
      <c r="I4" s="117"/>
      <c r="J4" s="199" t="s">
        <v>137</v>
      </c>
      <c r="K4" s="199"/>
      <c r="L4" s="199"/>
      <c r="M4" s="199"/>
      <c r="N4" s="15"/>
      <c r="O4" s="211" t="s">
        <v>71</v>
      </c>
      <c r="P4" s="211"/>
      <c r="Q4" s="214">
        <f ca="1">NOW()</f>
        <v>41630.33766319444</v>
      </c>
      <c r="R4" s="214"/>
      <c r="S4" s="214"/>
      <c r="T4" s="214"/>
      <c r="U4" s="191"/>
      <c r="V4" s="151">
        <f>V88</f>
        <v>2</v>
      </c>
    </row>
    <row r="5" spans="2:22" ht="11.25" customHeight="1" thickBot="1">
      <c r="B5" s="14"/>
      <c r="C5" s="222"/>
      <c r="D5" s="222"/>
      <c r="E5" s="222"/>
      <c r="F5" s="222"/>
      <c r="G5" s="223"/>
      <c r="H5" s="136"/>
      <c r="I5" s="137"/>
      <c r="J5" s="137"/>
      <c r="K5" s="138"/>
      <c r="L5" s="139"/>
      <c r="M5" s="140"/>
      <c r="N5" s="68"/>
      <c r="O5" s="133"/>
      <c r="P5" s="133"/>
      <c r="Q5" s="141"/>
      <c r="R5" s="141"/>
      <c r="S5" s="141"/>
      <c r="T5" s="141"/>
      <c r="U5" s="191"/>
      <c r="V5" s="142"/>
    </row>
    <row r="6" spans="2:22" ht="11.25" customHeight="1" thickBot="1">
      <c r="B6" s="187" t="s">
        <v>131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9"/>
    </row>
    <row r="7" spans="2:22" ht="11.25" customHeight="1">
      <c r="B7" s="14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5"/>
    </row>
    <row r="8" spans="2:22" ht="11.25" customHeight="1">
      <c r="B8" s="87" t="s">
        <v>36</v>
      </c>
      <c r="C8" s="88" t="s">
        <v>72</v>
      </c>
      <c r="D8" s="89"/>
      <c r="E8" s="89"/>
      <c r="F8" s="89"/>
      <c r="G8" s="89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5"/>
    </row>
    <row r="9" spans="2:22" ht="11.25" customHeight="1">
      <c r="B9" s="14"/>
      <c r="C9" s="17" t="s">
        <v>73</v>
      </c>
      <c r="D9" s="11"/>
      <c r="E9" s="11"/>
      <c r="F9" s="11"/>
      <c r="G9" s="11"/>
      <c r="H9" s="11"/>
      <c r="I9" s="11"/>
      <c r="J9" s="11"/>
      <c r="K9" s="11"/>
      <c r="L9" s="11"/>
      <c r="M9" s="17" t="s">
        <v>78</v>
      </c>
      <c r="N9" s="11"/>
      <c r="O9" s="11"/>
      <c r="P9" s="11"/>
      <c r="Q9" s="11"/>
      <c r="R9" s="11"/>
      <c r="S9" s="11"/>
      <c r="T9" s="11"/>
      <c r="U9" s="11"/>
      <c r="V9" s="15"/>
    </row>
    <row r="10" spans="2:22" ht="11.25" customHeight="1">
      <c r="B10" s="14"/>
      <c r="C10" s="11" t="s">
        <v>123</v>
      </c>
      <c r="D10" s="11"/>
      <c r="E10" s="11"/>
      <c r="F10" s="134" t="s">
        <v>54</v>
      </c>
      <c r="G10" s="150" t="s">
        <v>6</v>
      </c>
      <c r="H10" s="197">
        <v>210</v>
      </c>
      <c r="I10" s="198"/>
      <c r="J10" s="148" t="s">
        <v>124</v>
      </c>
      <c r="L10" s="11"/>
      <c r="M10" s="11" t="s">
        <v>79</v>
      </c>
      <c r="N10" s="11"/>
      <c r="O10" s="11"/>
      <c r="P10" s="11"/>
      <c r="Q10" s="11"/>
      <c r="R10" s="134" t="s">
        <v>6</v>
      </c>
      <c r="S10" s="197" t="s">
        <v>132</v>
      </c>
      <c r="T10" s="198"/>
      <c r="U10" s="11"/>
      <c r="V10" s="15"/>
    </row>
    <row r="11" spans="2:22" ht="11.25" customHeight="1">
      <c r="B11" s="14"/>
      <c r="C11" s="11" t="s">
        <v>120</v>
      </c>
      <c r="D11" s="11"/>
      <c r="E11" s="11" t="str">
        <f>H12&amp;"f'c"</f>
        <v>0.375f'c</v>
      </c>
      <c r="F11" s="128" t="s">
        <v>55</v>
      </c>
      <c r="G11" s="150" t="s">
        <v>6</v>
      </c>
      <c r="H11" s="193">
        <f>H10*H12</f>
        <v>78.75</v>
      </c>
      <c r="I11" s="193"/>
      <c r="J11" s="148" t="s">
        <v>124</v>
      </c>
      <c r="L11" s="11"/>
      <c r="M11" s="11" t="s">
        <v>80</v>
      </c>
      <c r="N11" s="11"/>
      <c r="O11" s="11"/>
      <c r="P11" s="11"/>
      <c r="Q11" s="11" t="s">
        <v>57</v>
      </c>
      <c r="R11" s="18" t="s">
        <v>6</v>
      </c>
      <c r="S11" s="202">
        <f>IF(S10="SR-24",2400,IF(S10="SD-30",3000,IF(S10="SD-40",4000)))</f>
        <v>4000</v>
      </c>
      <c r="T11" s="202"/>
      <c r="U11" s="148" t="s">
        <v>124</v>
      </c>
      <c r="V11" s="15"/>
    </row>
    <row r="12" spans="2:22" ht="11.25" customHeight="1">
      <c r="B12" s="14"/>
      <c r="C12" s="11" t="s">
        <v>74</v>
      </c>
      <c r="D12" s="11"/>
      <c r="E12" s="11"/>
      <c r="F12" s="128"/>
      <c r="G12" s="150" t="s">
        <v>6</v>
      </c>
      <c r="H12" s="197">
        <v>0.375</v>
      </c>
      <c r="I12" s="198"/>
      <c r="J12" s="77"/>
      <c r="L12" s="11"/>
      <c r="M12" s="11" t="s">
        <v>121</v>
      </c>
      <c r="N12" s="11"/>
      <c r="O12" s="11"/>
      <c r="P12" s="11"/>
      <c r="Q12" s="11" t="s">
        <v>58</v>
      </c>
      <c r="R12" s="18" t="s">
        <v>6</v>
      </c>
      <c r="S12" s="202">
        <f>MIN(S11*0.5,1700)</f>
        <v>1700</v>
      </c>
      <c r="T12" s="202"/>
      <c r="U12" s="148" t="s">
        <v>124</v>
      </c>
      <c r="V12" s="15"/>
    </row>
    <row r="13" spans="2:22" ht="11.25" customHeight="1">
      <c r="B13" s="14"/>
      <c r="C13" s="11" t="s">
        <v>75</v>
      </c>
      <c r="D13" s="11"/>
      <c r="E13" s="11"/>
      <c r="F13" s="128" t="s">
        <v>56</v>
      </c>
      <c r="G13" s="150" t="s">
        <v>6</v>
      </c>
      <c r="H13" s="203">
        <f>INT(15210*SQRT(H10))</f>
        <v>220413</v>
      </c>
      <c r="I13" s="203"/>
      <c r="J13" s="148" t="s">
        <v>124</v>
      </c>
      <c r="L13" s="11"/>
      <c r="M13" s="11" t="s">
        <v>81</v>
      </c>
      <c r="N13" s="11"/>
      <c r="O13" s="11"/>
      <c r="P13" s="11"/>
      <c r="Q13" s="11" t="s">
        <v>59</v>
      </c>
      <c r="R13" s="18" t="s">
        <v>6</v>
      </c>
      <c r="S13" s="202">
        <v>2040000</v>
      </c>
      <c r="T13" s="202"/>
      <c r="U13" s="148" t="s">
        <v>124</v>
      </c>
      <c r="V13" s="15"/>
    </row>
    <row r="14" spans="2:22" ht="11.25" customHeight="1">
      <c r="B14" s="14"/>
      <c r="C14" s="11"/>
      <c r="D14" s="11"/>
      <c r="E14" s="11"/>
      <c r="F14" s="11"/>
      <c r="G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5"/>
    </row>
    <row r="15" spans="2:22" ht="11.25" customHeight="1">
      <c r="B15" s="87" t="s">
        <v>37</v>
      </c>
      <c r="C15" s="88" t="s">
        <v>76</v>
      </c>
      <c r="D15" s="89"/>
      <c r="E15" s="89"/>
      <c r="F15" s="89"/>
      <c r="G15" s="89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5"/>
    </row>
    <row r="16" spans="2:22" ht="11.25" customHeight="1">
      <c r="B16" s="14"/>
      <c r="C16" s="11" t="s">
        <v>1</v>
      </c>
      <c r="D16" s="11" t="s">
        <v>5</v>
      </c>
      <c r="G16" s="18" t="s">
        <v>6</v>
      </c>
      <c r="H16" s="200">
        <f>TRUNC(S13/H13)</f>
        <v>9</v>
      </c>
      <c r="I16" s="200"/>
      <c r="J16" s="11"/>
      <c r="K16" s="11"/>
      <c r="L16" s="11"/>
      <c r="M16" s="11" t="s">
        <v>3</v>
      </c>
      <c r="N16" s="18"/>
      <c r="O16" s="11" t="s">
        <v>8</v>
      </c>
      <c r="P16" s="11"/>
      <c r="Q16" s="11"/>
      <c r="R16" s="18" t="s">
        <v>6</v>
      </c>
      <c r="S16" s="201">
        <f>1-(H17/3)</f>
        <v>0.9019200830306175</v>
      </c>
      <c r="T16" s="201"/>
      <c r="U16" s="11"/>
      <c r="V16" s="15"/>
    </row>
    <row r="17" spans="2:22" ht="11.25" customHeight="1">
      <c r="B17" s="14"/>
      <c r="C17" s="11" t="s">
        <v>2</v>
      </c>
      <c r="D17" s="11" t="s">
        <v>7</v>
      </c>
      <c r="G17" s="18" t="s">
        <v>6</v>
      </c>
      <c r="H17" s="201">
        <f>1/(1+S12/(H16*H11))</f>
        <v>0.2942397509081474</v>
      </c>
      <c r="I17" s="201"/>
      <c r="J17" s="11"/>
      <c r="K17" s="11"/>
      <c r="L17" s="11"/>
      <c r="M17" s="11" t="s">
        <v>4</v>
      </c>
      <c r="N17" s="18"/>
      <c r="O17" s="11" t="s">
        <v>9</v>
      </c>
      <c r="P17" s="11"/>
      <c r="Q17" s="11"/>
      <c r="R17" s="18" t="s">
        <v>6</v>
      </c>
      <c r="S17" s="201">
        <f>(H11*S16*H17)/2</f>
        <v>10.449366659943141</v>
      </c>
      <c r="T17" s="201"/>
      <c r="U17" s="148" t="s">
        <v>124</v>
      </c>
      <c r="V17" s="15"/>
    </row>
    <row r="18" spans="2:22" ht="11.25" customHeight="1">
      <c r="B18" s="14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5"/>
    </row>
    <row r="19" spans="2:22" ht="11.25" customHeight="1">
      <c r="B19" s="87" t="s">
        <v>38</v>
      </c>
      <c r="C19" s="88" t="s">
        <v>77</v>
      </c>
      <c r="D19" s="89"/>
      <c r="E19" s="89"/>
      <c r="F19" s="89"/>
      <c r="G19" s="89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5"/>
    </row>
    <row r="20" spans="2:22" ht="11.25" customHeight="1">
      <c r="B20" s="14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5"/>
    </row>
    <row r="21" spans="2:22" ht="11.25" customHeight="1">
      <c r="B21" s="14"/>
      <c r="C21" s="96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8"/>
      <c r="U21" s="11"/>
      <c r="V21" s="15"/>
    </row>
    <row r="22" spans="2:22" ht="11.25" customHeight="1">
      <c r="B22" s="14"/>
      <c r="C22" s="94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99"/>
      <c r="U22" s="11"/>
      <c r="V22" s="15"/>
    </row>
    <row r="23" spans="2:22" ht="11.25" customHeight="1">
      <c r="B23" s="14"/>
      <c r="C23" s="9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99"/>
      <c r="U23" s="11"/>
      <c r="V23" s="15"/>
    </row>
    <row r="24" spans="2:22" ht="11.25" customHeight="1">
      <c r="B24" s="14"/>
      <c r="C24" s="94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99"/>
      <c r="U24" s="11"/>
      <c r="V24" s="15"/>
    </row>
    <row r="25" spans="2:22" ht="11.25" customHeight="1">
      <c r="B25" s="14"/>
      <c r="C25" s="94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99"/>
      <c r="U25" s="11"/>
      <c r="V25" s="15"/>
    </row>
    <row r="26" spans="2:22" ht="11.25" customHeight="1">
      <c r="B26" s="14"/>
      <c r="C26" s="94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99"/>
      <c r="U26" s="11"/>
      <c r="V26" s="15"/>
    </row>
    <row r="27" spans="2:22" ht="11.25" customHeight="1">
      <c r="B27" s="14"/>
      <c r="C27" s="94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99"/>
      <c r="U27" s="11"/>
      <c r="V27" s="15"/>
    </row>
    <row r="28" spans="2:22" ht="11.25" customHeight="1">
      <c r="B28" s="14"/>
      <c r="C28" s="94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99"/>
      <c r="U28" s="11"/>
      <c r="V28" s="15"/>
    </row>
    <row r="29" spans="2:22" ht="11.25" customHeight="1">
      <c r="B29" s="14"/>
      <c r="C29" s="94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99"/>
      <c r="U29" s="11"/>
      <c r="V29" s="15"/>
    </row>
    <row r="30" spans="2:22" ht="11.25" customHeight="1">
      <c r="B30" s="14"/>
      <c r="C30" s="94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99"/>
      <c r="U30" s="11"/>
      <c r="V30" s="15"/>
    </row>
    <row r="31" spans="2:22" ht="11.25" customHeight="1">
      <c r="B31" s="14"/>
      <c r="C31" s="94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99"/>
      <c r="U31" s="11"/>
      <c r="V31" s="15"/>
    </row>
    <row r="32" spans="2:22" ht="11.25" customHeight="1">
      <c r="B32" s="14"/>
      <c r="C32" s="100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2"/>
      <c r="U32" s="11"/>
      <c r="V32" s="15"/>
    </row>
    <row r="33" spans="2:22" ht="11.25" customHeight="1">
      <c r="B33" s="1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5"/>
    </row>
    <row r="34" spans="2:22" ht="11.25" customHeight="1">
      <c r="B34" s="87" t="s">
        <v>39</v>
      </c>
      <c r="C34" s="88" t="s">
        <v>82</v>
      </c>
      <c r="D34" s="89"/>
      <c r="E34" s="89"/>
      <c r="F34" s="89"/>
      <c r="G34" s="89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5"/>
    </row>
    <row r="35" spans="2:22" ht="11.25" customHeight="1">
      <c r="B35" s="14"/>
      <c r="C35" s="11" t="s">
        <v>91</v>
      </c>
      <c r="D35" s="11"/>
      <c r="E35" s="38"/>
      <c r="F35" s="38"/>
      <c r="G35" s="38"/>
      <c r="H35" s="18"/>
      <c r="I35" s="11"/>
      <c r="J35" s="11"/>
      <c r="K35" s="38"/>
      <c r="L35" s="38"/>
      <c r="M35" s="38"/>
      <c r="N35" s="19"/>
      <c r="O35" s="11"/>
      <c r="P35" s="11"/>
      <c r="Q35" s="38"/>
      <c r="R35" s="38"/>
      <c r="S35" s="38"/>
      <c r="T35" s="19"/>
      <c r="U35" s="11"/>
      <c r="V35" s="15"/>
    </row>
    <row r="36" spans="2:22" ht="11.25" customHeight="1">
      <c r="B36" s="14"/>
      <c r="C36" s="11" t="s">
        <v>92</v>
      </c>
      <c r="D36" s="11"/>
      <c r="E36" s="197">
        <v>2218</v>
      </c>
      <c r="F36" s="212"/>
      <c r="G36" s="198"/>
      <c r="H36" s="148" t="s">
        <v>125</v>
      </c>
      <c r="I36" s="11"/>
      <c r="J36" s="11" t="s">
        <v>95</v>
      </c>
      <c r="K36" s="20"/>
      <c r="M36" s="79" t="s">
        <v>6</v>
      </c>
      <c r="N36" s="204">
        <f>(3.5*E41)/(L46*100)^2/L47</f>
        <v>0</v>
      </c>
      <c r="O36" s="205"/>
      <c r="P36" s="206"/>
      <c r="Q36" s="148" t="s">
        <v>124</v>
      </c>
      <c r="V36" s="15"/>
    </row>
    <row r="37" spans="2:22" ht="11.25" customHeight="1">
      <c r="B37" s="14"/>
      <c r="C37" s="11" t="s">
        <v>93</v>
      </c>
      <c r="D37" s="11"/>
      <c r="E37" s="197">
        <v>3472</v>
      </c>
      <c r="F37" s="212"/>
      <c r="G37" s="198"/>
      <c r="H37" s="148" t="s">
        <v>126</v>
      </c>
      <c r="I37" s="11"/>
      <c r="J37" s="11" t="s">
        <v>96</v>
      </c>
      <c r="K37" s="20"/>
      <c r="M37" s="79" t="s">
        <v>6</v>
      </c>
      <c r="N37" s="204">
        <f>E40/((L46*100)*(S45*100))</f>
        <v>1.736</v>
      </c>
      <c r="O37" s="205"/>
      <c r="P37" s="206"/>
      <c r="Q37" s="148" t="s">
        <v>124</v>
      </c>
      <c r="V37" s="15"/>
    </row>
    <row r="38" spans="2:22" ht="11.25" customHeight="1">
      <c r="B38" s="14"/>
      <c r="C38" s="11" t="s">
        <v>94</v>
      </c>
      <c r="D38" s="11"/>
      <c r="E38" s="197">
        <v>0</v>
      </c>
      <c r="F38" s="212"/>
      <c r="G38" s="198"/>
      <c r="H38" s="148" t="s">
        <v>125</v>
      </c>
      <c r="I38" s="11"/>
      <c r="J38" s="11"/>
      <c r="K38" s="72"/>
      <c r="L38" s="72"/>
      <c r="M38" s="72"/>
      <c r="N38" s="11"/>
      <c r="O38" s="11"/>
      <c r="P38" s="11"/>
      <c r="R38" s="72"/>
      <c r="S38" s="72"/>
      <c r="T38" s="11"/>
      <c r="U38" s="11"/>
      <c r="V38" s="15"/>
    </row>
    <row r="39" spans="2:22" ht="11.25" customHeight="1">
      <c r="B39" s="14"/>
      <c r="C39" s="11" t="s">
        <v>92</v>
      </c>
      <c r="D39" s="20"/>
      <c r="E39" s="225">
        <f>ABS(E36)</f>
        <v>2218</v>
      </c>
      <c r="F39" s="226"/>
      <c r="G39" s="227"/>
      <c r="H39" s="20"/>
      <c r="I39" s="11"/>
      <c r="J39" s="11"/>
      <c r="K39" s="72"/>
      <c r="L39" s="72"/>
      <c r="S39" s="72"/>
      <c r="T39" s="11"/>
      <c r="U39" s="11"/>
      <c r="V39" s="15"/>
    </row>
    <row r="40" spans="2:22" ht="11.25" customHeight="1">
      <c r="B40" s="14"/>
      <c r="C40" s="11" t="s">
        <v>93</v>
      </c>
      <c r="D40" s="20"/>
      <c r="E40" s="225">
        <f>ABS(E37)</f>
        <v>3472</v>
      </c>
      <c r="F40" s="226"/>
      <c r="G40" s="227"/>
      <c r="H40" s="20"/>
      <c r="I40" s="20"/>
      <c r="J40" s="20"/>
      <c r="K40" s="70"/>
      <c r="L40" s="70"/>
      <c r="S40" s="69"/>
      <c r="T40" s="20"/>
      <c r="U40" s="20"/>
      <c r="V40" s="15"/>
    </row>
    <row r="41" spans="2:22" ht="11.25" customHeight="1">
      <c r="B41" s="14"/>
      <c r="C41" s="11" t="s">
        <v>94</v>
      </c>
      <c r="D41" s="20"/>
      <c r="E41" s="225">
        <f>ABS(E38)</f>
        <v>0</v>
      </c>
      <c r="F41" s="226"/>
      <c r="G41" s="227"/>
      <c r="H41" s="20"/>
      <c r="I41" s="20"/>
      <c r="J41" s="20"/>
      <c r="K41" s="69"/>
      <c r="L41" s="69"/>
      <c r="S41" s="69"/>
      <c r="T41" s="20"/>
      <c r="U41" s="20"/>
      <c r="V41" s="15"/>
    </row>
    <row r="42" spans="2:22" ht="11.25" customHeight="1">
      <c r="B42" s="14"/>
      <c r="I42" s="20"/>
      <c r="J42" s="20"/>
      <c r="K42" s="71"/>
      <c r="L42" s="71"/>
      <c r="S42" s="71"/>
      <c r="T42" s="20"/>
      <c r="U42" s="20"/>
      <c r="V42" s="15"/>
    </row>
    <row r="43" spans="2:22" ht="11.25" customHeight="1">
      <c r="B43" s="87" t="s">
        <v>40</v>
      </c>
      <c r="C43" s="88" t="s">
        <v>83</v>
      </c>
      <c r="D43" s="89"/>
      <c r="E43" s="89"/>
      <c r="F43" s="89"/>
      <c r="G43" s="89"/>
      <c r="H43" s="11"/>
      <c r="I43" s="11"/>
      <c r="J43" s="11"/>
      <c r="K43" s="11"/>
      <c r="L43" s="11"/>
      <c r="S43" s="11"/>
      <c r="T43" s="11"/>
      <c r="U43" s="11"/>
      <c r="V43" s="15"/>
    </row>
    <row r="44" spans="2:22" ht="11.25" customHeight="1">
      <c r="B44" s="14"/>
      <c r="C44" s="17" t="s">
        <v>84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O44" s="11"/>
      <c r="P44" s="11"/>
      <c r="Q44" s="11"/>
      <c r="R44" s="11"/>
      <c r="S44" s="11"/>
      <c r="T44" s="11"/>
      <c r="U44" s="11"/>
      <c r="V44" s="15"/>
    </row>
    <row r="45" spans="2:22" ht="11.25" customHeight="1">
      <c r="B45" s="14"/>
      <c r="C45" s="143" t="s">
        <v>85</v>
      </c>
      <c r="D45" s="144"/>
      <c r="E45" s="145" t="s">
        <v>86</v>
      </c>
      <c r="F45" s="146"/>
      <c r="G45" s="146"/>
      <c r="H45" s="11"/>
      <c r="I45" s="11"/>
      <c r="J45" s="11" t="s">
        <v>85</v>
      </c>
      <c r="K45" s="18" t="s">
        <v>6</v>
      </c>
      <c r="L45" s="11" t="s">
        <v>90</v>
      </c>
      <c r="M45" s="11"/>
      <c r="N45" s="11"/>
      <c r="O45" s="11"/>
      <c r="P45" s="11"/>
      <c r="Q45" s="11" t="s">
        <v>10</v>
      </c>
      <c r="R45" s="18" t="s">
        <v>6</v>
      </c>
      <c r="S45" s="27">
        <f>L47-L49</f>
        <v>0.7999999999999999</v>
      </c>
      <c r="T45" s="77" t="s">
        <v>127</v>
      </c>
      <c r="U45" s="11"/>
      <c r="V45" s="15"/>
    </row>
    <row r="46" spans="2:22" ht="11.25" customHeight="1">
      <c r="B46" s="14"/>
      <c r="C46" s="21" t="s">
        <v>87</v>
      </c>
      <c r="D46" s="22"/>
      <c r="E46" s="23" t="s">
        <v>60</v>
      </c>
      <c r="F46" s="24">
        <f>L48/16</f>
        <v>0.07</v>
      </c>
      <c r="G46" s="25" t="s">
        <v>127</v>
      </c>
      <c r="H46" s="17">
        <f>IF(C46=L45,"&lt;=== Use","")</f>
      </c>
      <c r="I46" s="11"/>
      <c r="J46" s="11" t="s">
        <v>0</v>
      </c>
      <c r="K46" s="18" t="s">
        <v>6</v>
      </c>
      <c r="L46" s="153">
        <v>0.25</v>
      </c>
      <c r="M46" s="77" t="s">
        <v>127</v>
      </c>
      <c r="N46" s="11"/>
      <c r="O46" s="11"/>
      <c r="P46" s="11"/>
      <c r="Q46" s="38" t="s">
        <v>122</v>
      </c>
      <c r="R46" s="78"/>
      <c r="S46" s="75" t="str">
        <f>IF(F51&gt;MAX(E39:G39,K40:L40,S40:S40),"Single Reinforced","Double Reinforced")</f>
        <v>Single Reinforced</v>
      </c>
      <c r="T46" s="75"/>
      <c r="U46" s="11"/>
      <c r="V46" s="15"/>
    </row>
    <row r="47" spans="2:22" ht="11.25" customHeight="1">
      <c r="B47" s="14"/>
      <c r="C47" s="21" t="s">
        <v>88</v>
      </c>
      <c r="D47" s="22"/>
      <c r="E47" s="23" t="s">
        <v>61</v>
      </c>
      <c r="F47" s="24">
        <f>L48/18.5</f>
        <v>0.06054054054054055</v>
      </c>
      <c r="G47" s="25" t="s">
        <v>127</v>
      </c>
      <c r="H47" s="17">
        <f>IF(C47=L45,"&lt;=== Use","")</f>
      </c>
      <c r="I47" s="11"/>
      <c r="J47" s="11" t="s">
        <v>11</v>
      </c>
      <c r="K47" s="18" t="s">
        <v>6</v>
      </c>
      <c r="L47" s="153">
        <v>0.85</v>
      </c>
      <c r="M47" s="77" t="s">
        <v>127</v>
      </c>
      <c r="N47" s="85" t="str">
        <f>IF(VLOOKUP($L$45,$C$46:$G$49,4,FALSE)&lt;=L47,"OK","NG.")</f>
        <v>OK</v>
      </c>
      <c r="O47" s="11"/>
      <c r="P47" s="11"/>
      <c r="Q47" s="11" t="s">
        <v>15</v>
      </c>
      <c r="R47" s="18" t="s">
        <v>6</v>
      </c>
      <c r="S47" s="27">
        <f>F51/(S12*S16*S45)</f>
        <v>13.630223755303888</v>
      </c>
      <c r="T47" s="77" t="s">
        <v>128</v>
      </c>
      <c r="U47" s="11"/>
      <c r="V47" s="15"/>
    </row>
    <row r="48" spans="2:22" ht="11.25" customHeight="1">
      <c r="B48" s="14"/>
      <c r="C48" s="21" t="s">
        <v>89</v>
      </c>
      <c r="D48" s="22"/>
      <c r="E48" s="23" t="s">
        <v>63</v>
      </c>
      <c r="F48" s="24">
        <f>L48/21</f>
        <v>0.05333333333333334</v>
      </c>
      <c r="G48" s="25" t="s">
        <v>127</v>
      </c>
      <c r="H48" s="17">
        <f>IF(C48=L45,"&lt;=== Use","")</f>
      </c>
      <c r="I48" s="11"/>
      <c r="J48" s="11" t="s">
        <v>19</v>
      </c>
      <c r="K48" s="18" t="s">
        <v>6</v>
      </c>
      <c r="L48" s="153">
        <v>1.12</v>
      </c>
      <c r="M48" s="77" t="s">
        <v>127</v>
      </c>
      <c r="N48" s="11"/>
      <c r="O48" s="11"/>
      <c r="P48" s="11"/>
      <c r="Q48" s="11" t="s">
        <v>27</v>
      </c>
      <c r="R48" s="18" t="s">
        <v>6</v>
      </c>
      <c r="S48" s="27">
        <f>((2*((L46*100)-(2.5*2)))+(2*((L47*100)-(2.5*2))))/4</f>
        <v>50</v>
      </c>
      <c r="T48" s="77" t="s">
        <v>128</v>
      </c>
      <c r="U48" s="11"/>
      <c r="V48" s="15"/>
    </row>
    <row r="49" spans="2:22" ht="11.25" customHeight="1">
      <c r="B49" s="14"/>
      <c r="C49" s="21" t="s">
        <v>90</v>
      </c>
      <c r="D49" s="22"/>
      <c r="E49" s="23" t="s">
        <v>62</v>
      </c>
      <c r="F49" s="24">
        <f>L48/8</f>
        <v>0.14</v>
      </c>
      <c r="G49" s="25" t="s">
        <v>127</v>
      </c>
      <c r="H49" s="17" t="str">
        <f>IF(C49=L45,"&lt;=== Use","")</f>
        <v>&lt;=== Use</v>
      </c>
      <c r="I49" s="11"/>
      <c r="J49" s="11" t="s">
        <v>12</v>
      </c>
      <c r="K49" s="18" t="s">
        <v>6</v>
      </c>
      <c r="L49" s="153">
        <v>0.05</v>
      </c>
      <c r="M49" s="77" t="s">
        <v>127</v>
      </c>
      <c r="N49" s="11"/>
      <c r="O49" s="11"/>
      <c r="P49" s="11"/>
      <c r="Q49" s="11" t="s">
        <v>28</v>
      </c>
      <c r="R49" s="18" t="s">
        <v>6</v>
      </c>
      <c r="S49" s="28">
        <f>((L46*100)-(2.5*2))*((L47*100)-(2.5*2))</f>
        <v>1600</v>
      </c>
      <c r="T49" s="77" t="s">
        <v>128</v>
      </c>
      <c r="U49" s="11"/>
      <c r="V49" s="15"/>
    </row>
    <row r="50" spans="2:22" ht="11.25" customHeight="1"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5"/>
    </row>
    <row r="51" spans="2:22" ht="11.25" customHeight="1">
      <c r="B51" s="14"/>
      <c r="C51" s="11" t="s">
        <v>13</v>
      </c>
      <c r="E51" s="18" t="s">
        <v>6</v>
      </c>
      <c r="F51" s="28">
        <f>S17*L46*(S45*100)^2</f>
        <v>16718.986655909026</v>
      </c>
      <c r="G51" s="148" t="s">
        <v>125</v>
      </c>
      <c r="H51" s="11"/>
      <c r="I51" s="11"/>
      <c r="J51" s="11" t="s">
        <v>17</v>
      </c>
      <c r="K51" s="18" t="s">
        <v>6</v>
      </c>
      <c r="L51" s="27">
        <f>1.32*SQRT(H10)</f>
        <v>19.12861730497006</v>
      </c>
      <c r="M51" s="148" t="s">
        <v>126</v>
      </c>
      <c r="N51" s="194" t="str">
        <f>IF(L51&lt;L52,"OK &lt;==Vt&lt;Va==&gt;","Add Stirrup")</f>
        <v>OK &lt;==Vt&lt;Va==&gt;</v>
      </c>
      <c r="O51" s="194"/>
      <c r="P51" s="194"/>
      <c r="R51" s="11"/>
      <c r="S51" s="11"/>
      <c r="T51" s="11"/>
      <c r="U51" s="11"/>
      <c r="V51" s="15"/>
    </row>
    <row r="52" spans="2:22" ht="11.25" customHeight="1">
      <c r="B52" s="14"/>
      <c r="C52" s="11" t="s">
        <v>16</v>
      </c>
      <c r="E52" s="18" t="s">
        <v>6</v>
      </c>
      <c r="F52" s="28">
        <f>((L51*(L46*100)^2*(S45+0.05))/3.5)</f>
        <v>2903.450840932955</v>
      </c>
      <c r="G52" s="148" t="s">
        <v>125</v>
      </c>
      <c r="H52" s="11"/>
      <c r="I52" s="11"/>
      <c r="J52" s="11" t="s">
        <v>18</v>
      </c>
      <c r="K52" s="18" t="s">
        <v>6</v>
      </c>
      <c r="L52" s="27">
        <f>1.33*SQRT(H10)</f>
        <v>19.273531072431954</v>
      </c>
      <c r="M52" s="148" t="s">
        <v>124</v>
      </c>
      <c r="O52" s="11"/>
      <c r="P52" s="11"/>
      <c r="Q52" s="11"/>
      <c r="R52" s="11"/>
      <c r="S52" s="11"/>
      <c r="T52" s="11"/>
      <c r="U52" s="11"/>
      <c r="V52" s="15"/>
    </row>
    <row r="53" spans="2:22" ht="11.25" customHeight="1">
      <c r="B53" s="14"/>
      <c r="C53" s="11" t="s">
        <v>14</v>
      </c>
      <c r="E53" s="18" t="s">
        <v>6</v>
      </c>
      <c r="F53" s="28">
        <f>0.29*SQRT(H10)*(L46*100)*(S45*100)</f>
        <v>8404.998512789873</v>
      </c>
      <c r="G53" s="148" t="s">
        <v>126</v>
      </c>
      <c r="H53" s="11"/>
      <c r="I53" s="11"/>
      <c r="J53" s="11" t="s">
        <v>20</v>
      </c>
      <c r="K53" s="18" t="s">
        <v>6</v>
      </c>
      <c r="L53" s="27">
        <f>1.66*SQRT(H10)</f>
        <v>24.055685398674466</v>
      </c>
      <c r="M53" s="148" t="s">
        <v>124</v>
      </c>
      <c r="R53" s="11"/>
      <c r="S53" s="11"/>
      <c r="T53" s="11"/>
      <c r="U53" s="11"/>
      <c r="V53" s="15"/>
    </row>
    <row r="54" spans="2:22" ht="11.25" customHeight="1">
      <c r="B54" s="14"/>
      <c r="C54" s="11" t="s">
        <v>111</v>
      </c>
      <c r="E54" s="18" t="s">
        <v>6</v>
      </c>
      <c r="F54" s="27">
        <f>0.29*SQRT(H10)</f>
        <v>4.202499256394937</v>
      </c>
      <c r="G54" s="148" t="s">
        <v>124</v>
      </c>
      <c r="H54" s="11"/>
      <c r="I54" s="11"/>
      <c r="J54" s="11"/>
      <c r="K54" s="18"/>
      <c r="L54" s="27"/>
      <c r="M54" s="11"/>
      <c r="N54" s="11"/>
      <c r="O54" s="26"/>
      <c r="P54" s="11"/>
      <c r="Q54" s="11"/>
      <c r="R54" s="11"/>
      <c r="S54" s="11"/>
      <c r="T54" s="11"/>
      <c r="U54" s="11"/>
      <c r="V54" s="15"/>
    </row>
    <row r="55" spans="2:22" ht="11.25" customHeight="1">
      <c r="B55" s="1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5"/>
    </row>
    <row r="56" spans="2:22" ht="11.25" customHeight="1">
      <c r="B56" s="87" t="s">
        <v>41</v>
      </c>
      <c r="C56" s="88" t="s">
        <v>97</v>
      </c>
      <c r="D56" s="89"/>
      <c r="E56" s="89"/>
      <c r="F56" s="89"/>
      <c r="G56" s="89"/>
      <c r="H56" s="11"/>
      <c r="I56" s="11"/>
      <c r="J56" s="11"/>
      <c r="L56" s="11"/>
      <c r="M56" s="17" t="s">
        <v>112</v>
      </c>
      <c r="N56" s="11"/>
      <c r="O56" s="11"/>
      <c r="P56" s="11"/>
      <c r="Q56" s="11"/>
      <c r="R56" s="11"/>
      <c r="S56" s="11"/>
      <c r="T56" s="11"/>
      <c r="U56" s="11"/>
      <c r="V56" s="15"/>
    </row>
    <row r="57" spans="2:22" ht="11.25" customHeight="1">
      <c r="B57" s="14"/>
      <c r="C57" s="17"/>
      <c r="D57" s="17"/>
      <c r="E57" s="179" t="s">
        <v>91</v>
      </c>
      <c r="F57" s="179"/>
      <c r="G57" s="179"/>
      <c r="H57" s="29"/>
      <c r="I57" s="18"/>
      <c r="J57" s="19"/>
      <c r="K57" s="17"/>
      <c r="L57" s="17"/>
      <c r="M57" s="179" t="s">
        <v>91</v>
      </c>
      <c r="N57" s="179"/>
      <c r="O57" s="179"/>
      <c r="P57" s="39"/>
      <c r="Q57" s="38"/>
      <c r="R57" s="18"/>
      <c r="S57" s="38"/>
      <c r="T57" s="19"/>
      <c r="U57" s="18"/>
      <c r="V57" s="30"/>
    </row>
    <row r="58" spans="2:22" ht="11.25" customHeight="1">
      <c r="B58" s="14"/>
      <c r="C58" s="17"/>
      <c r="D58" s="17"/>
      <c r="E58" s="168" t="s">
        <v>116</v>
      </c>
      <c r="F58" s="169"/>
      <c r="G58" s="25" t="s">
        <v>113</v>
      </c>
      <c r="H58" s="31"/>
      <c r="I58" s="32"/>
      <c r="J58" s="32"/>
      <c r="K58" s="17"/>
      <c r="L58" s="17"/>
      <c r="M58" s="168" t="s">
        <v>116</v>
      </c>
      <c r="N58" s="169"/>
      <c r="O58" s="25" t="s">
        <v>113</v>
      </c>
      <c r="P58" s="31"/>
      <c r="Q58" s="1"/>
      <c r="R58" s="32"/>
      <c r="S58" s="19"/>
      <c r="T58" s="64"/>
      <c r="U58" s="32"/>
      <c r="V58" s="33"/>
    </row>
    <row r="59" spans="2:22" ht="11.25" customHeight="1">
      <c r="B59" s="14"/>
      <c r="C59" s="164" t="s">
        <v>135</v>
      </c>
      <c r="D59" s="34" t="s">
        <v>6</v>
      </c>
      <c r="E59" s="183">
        <v>2.26</v>
      </c>
      <c r="F59" s="184"/>
      <c r="G59" s="25" t="s">
        <v>128</v>
      </c>
      <c r="H59" s="35"/>
      <c r="I59" s="36"/>
      <c r="J59" s="36"/>
      <c r="K59" s="17" t="s">
        <v>26</v>
      </c>
      <c r="L59" s="34" t="s">
        <v>6</v>
      </c>
      <c r="M59" s="195">
        <f>IF(E41=0,0,((E41*100*S48)/(2*S49*S12)))</f>
        <v>0</v>
      </c>
      <c r="N59" s="196"/>
      <c r="O59" s="157" t="s">
        <v>128</v>
      </c>
      <c r="P59" s="35"/>
      <c r="Q59" s="36"/>
      <c r="R59" s="36"/>
      <c r="S59" s="19"/>
      <c r="T59" s="41"/>
      <c r="U59" s="36"/>
      <c r="V59" s="37"/>
    </row>
    <row r="60" spans="2:22" ht="11.25" customHeight="1">
      <c r="B60" s="14"/>
      <c r="C60" s="17" t="s">
        <v>21</v>
      </c>
      <c r="D60" s="34" t="s">
        <v>6</v>
      </c>
      <c r="E60" s="183">
        <f>IF(S46="Single",(E39)/(S12*S16*S45),(E39-F51)/((S12)*(S45-L49))+S47)</f>
        <v>2.2569008879242585</v>
      </c>
      <c r="F60" s="184"/>
      <c r="G60" s="25" t="s">
        <v>128</v>
      </c>
      <c r="H60" s="31"/>
      <c r="I60" s="36"/>
      <c r="J60" s="36"/>
      <c r="K60" s="17"/>
      <c r="L60" s="34"/>
      <c r="M60" s="40"/>
      <c r="N60" s="40"/>
      <c r="O60" s="18"/>
      <c r="P60" s="41"/>
      <c r="Q60" s="36"/>
      <c r="R60" s="36"/>
      <c r="S60" s="19"/>
      <c r="T60" s="64"/>
      <c r="U60" s="36"/>
      <c r="V60" s="37"/>
    </row>
    <row r="61" spans="2:22" ht="11.25" customHeight="1">
      <c r="B61" s="14"/>
      <c r="C61" s="17" t="s">
        <v>22</v>
      </c>
      <c r="D61" s="34" t="s">
        <v>6</v>
      </c>
      <c r="E61" s="183">
        <f>IF(E39&lt;F51,E59,0.5*((E39-F51)/(S12*(S45-L49)))*((1-H17)/((H17-(L49/S45)))))</f>
        <v>2.26</v>
      </c>
      <c r="F61" s="184"/>
      <c r="G61" s="25" t="s">
        <v>128</v>
      </c>
      <c r="H61" s="35"/>
      <c r="I61" s="36"/>
      <c r="J61" s="36"/>
      <c r="K61" s="17"/>
      <c r="L61" s="34"/>
      <c r="M61" s="40"/>
      <c r="N61" s="40"/>
      <c r="O61" s="18"/>
      <c r="P61" s="41"/>
      <c r="Q61" s="36"/>
      <c r="R61" s="36"/>
      <c r="S61" s="19"/>
      <c r="T61" s="41"/>
      <c r="U61" s="36"/>
      <c r="V61" s="37"/>
    </row>
    <row r="62" spans="2:22" ht="11.25" customHeight="1">
      <c r="B62" s="14"/>
      <c r="C62" s="11"/>
      <c r="D62" s="11"/>
      <c r="E62" s="38"/>
      <c r="F62" s="38"/>
      <c r="G62" s="38"/>
      <c r="H62" s="38"/>
      <c r="I62" s="18"/>
      <c r="J62" s="18"/>
      <c r="K62" s="17"/>
      <c r="L62" s="34"/>
      <c r="M62" s="40"/>
      <c r="N62" s="40"/>
      <c r="O62" s="18"/>
      <c r="P62" s="41"/>
      <c r="Q62" s="36"/>
      <c r="R62" s="36"/>
      <c r="S62" s="38"/>
      <c r="T62" s="38"/>
      <c r="U62" s="18"/>
      <c r="V62" s="30"/>
    </row>
    <row r="63" spans="2:22" ht="11.25" customHeight="1">
      <c r="B63" s="1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5"/>
    </row>
    <row r="64" spans="2:22" ht="11.25" customHeight="1">
      <c r="B64" s="87" t="s">
        <v>45</v>
      </c>
      <c r="C64" s="88" t="str">
        <f>IF(AND(E39&gt;0,E41&gt;0),"เหล็กเสริมรับแรงดึง แรงอัด และแรงบิด Ast+Asc+As(Mt)","เหล็กเสริมรับแรงดึง แรงอัด Ast+Asc")</f>
        <v>เหล็กเสริมรับแรงดึง แรงอัด Ast+Asc</v>
      </c>
      <c r="D64" s="89"/>
      <c r="E64" s="89"/>
      <c r="F64" s="89"/>
      <c r="G64" s="89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5"/>
    </row>
    <row r="65" spans="2:38" ht="11.25" customHeight="1">
      <c r="B65" s="14"/>
      <c r="C65" s="17"/>
      <c r="D65" s="17"/>
      <c r="E65" s="179" t="s">
        <v>91</v>
      </c>
      <c r="F65" s="179"/>
      <c r="G65" s="179"/>
      <c r="H65" s="83" t="s">
        <v>25</v>
      </c>
      <c r="I65" s="129" t="s">
        <v>98</v>
      </c>
      <c r="J65" s="130" t="s">
        <v>99</v>
      </c>
      <c r="K65" s="182" t="s">
        <v>100</v>
      </c>
      <c r="L65" s="182"/>
      <c r="M65" s="182"/>
      <c r="N65" s="19"/>
      <c r="O65" s="19"/>
      <c r="P65" s="19"/>
      <c r="Q65" s="38"/>
      <c r="R65" s="38"/>
      <c r="S65" s="38"/>
      <c r="T65" s="19"/>
      <c r="U65" s="19"/>
      <c r="V65" s="30"/>
      <c r="AF65" s="207"/>
      <c r="AG65" s="207"/>
      <c r="AH65" s="207"/>
      <c r="AI65" s="207"/>
      <c r="AJ65" s="91"/>
      <c r="AK65" s="91"/>
      <c r="AL65" s="91"/>
    </row>
    <row r="66" spans="2:64" ht="11.25" customHeight="1">
      <c r="B66" s="14"/>
      <c r="C66" s="17"/>
      <c r="D66" s="17"/>
      <c r="E66" s="25" t="s">
        <v>116</v>
      </c>
      <c r="F66" s="25" t="s">
        <v>117</v>
      </c>
      <c r="G66" s="147" t="s">
        <v>119</v>
      </c>
      <c r="H66" s="42" t="s">
        <v>23</v>
      </c>
      <c r="I66" s="154"/>
      <c r="J66" s="154">
        <v>4</v>
      </c>
      <c r="K66" s="42" t="s">
        <v>46</v>
      </c>
      <c r="L66" s="158">
        <v>2</v>
      </c>
      <c r="M66" s="155">
        <v>16</v>
      </c>
      <c r="N66" s="64"/>
      <c r="O66" s="32"/>
      <c r="P66" s="32"/>
      <c r="Q66" s="19"/>
      <c r="R66" s="19"/>
      <c r="S66" s="19"/>
      <c r="T66" s="64"/>
      <c r="U66" s="32"/>
      <c r="V66" s="33"/>
      <c r="AF66" s="168" t="s">
        <v>47</v>
      </c>
      <c r="AG66" s="169"/>
      <c r="AH66" s="168" t="s">
        <v>47</v>
      </c>
      <c r="AI66" s="169"/>
      <c r="AJ66" s="91"/>
      <c r="AK66" s="91"/>
      <c r="AL66" s="91"/>
      <c r="AN66" s="168" t="s">
        <v>47</v>
      </c>
      <c r="AO66" s="169"/>
      <c r="AP66" s="168" t="s">
        <v>47</v>
      </c>
      <c r="AQ66" s="169"/>
      <c r="AR66" s="168" t="s">
        <v>47</v>
      </c>
      <c r="AS66" s="169"/>
      <c r="AT66" s="168" t="s">
        <v>47</v>
      </c>
      <c r="AU66" s="169"/>
      <c r="AV66" s="168" t="s">
        <v>47</v>
      </c>
      <c r="AW66" s="169"/>
      <c r="AX66" s="168" t="s">
        <v>47</v>
      </c>
      <c r="AY66" s="169"/>
      <c r="BA66" s="168" t="s">
        <v>47</v>
      </c>
      <c r="BB66" s="169"/>
      <c r="BC66" s="168" t="s">
        <v>47</v>
      </c>
      <c r="BD66" s="169"/>
      <c r="BE66" s="168" t="s">
        <v>47</v>
      </c>
      <c r="BF66" s="169"/>
      <c r="BG66" s="168" t="s">
        <v>47</v>
      </c>
      <c r="BH66" s="169"/>
      <c r="BI66" s="168" t="s">
        <v>47</v>
      </c>
      <c r="BJ66" s="169"/>
      <c r="BK66" s="168" t="s">
        <v>47</v>
      </c>
      <c r="BL66" s="169"/>
    </row>
    <row r="67" spans="2:64" ht="11.25" customHeight="1">
      <c r="B67" s="14"/>
      <c r="C67" s="131" t="str">
        <f>IF(E41&gt;0,"Ast+As(Mt)","Ast")</f>
        <v>Ast</v>
      </c>
      <c r="D67" s="34" t="s">
        <v>6</v>
      </c>
      <c r="E67" s="44">
        <f>E60+(M59*2)</f>
        <v>2.2569008879242585</v>
      </c>
      <c r="F67" s="44">
        <f>((PI()/4*(J67/10)^2)*J66)+((PI()/4*(J69/10)^2)*J68)</f>
        <v>12.063715789784807</v>
      </c>
      <c r="G67" s="86" t="str">
        <f>IF(F67&gt;E67,"OK","NG.")</f>
        <v>OK</v>
      </c>
      <c r="H67" s="45" t="s">
        <v>118</v>
      </c>
      <c r="I67" s="155"/>
      <c r="J67" s="155">
        <v>16</v>
      </c>
      <c r="K67" s="73"/>
      <c r="L67" s="63"/>
      <c r="M67" s="74"/>
      <c r="N67" s="41"/>
      <c r="O67" s="32"/>
      <c r="P67" s="32"/>
      <c r="Q67" s="63"/>
      <c r="R67" s="63"/>
      <c r="S67" s="74"/>
      <c r="T67" s="41"/>
      <c r="U67" s="36"/>
      <c r="V67" s="37"/>
      <c r="AF67" s="168">
        <f>J66</f>
        <v>4</v>
      </c>
      <c r="AG67" s="172"/>
      <c r="AH67" s="172"/>
      <c r="AI67" s="169"/>
      <c r="AJ67" s="91"/>
      <c r="AK67" s="91"/>
      <c r="AL67" s="91"/>
      <c r="AN67" s="168">
        <v>2</v>
      </c>
      <c r="AO67" s="169"/>
      <c r="AP67" s="168">
        <v>3</v>
      </c>
      <c r="AQ67" s="169"/>
      <c r="AR67" s="168">
        <v>4</v>
      </c>
      <c r="AS67" s="169"/>
      <c r="AT67" s="168">
        <v>5</v>
      </c>
      <c r="AU67" s="169"/>
      <c r="AV67" s="168">
        <v>6</v>
      </c>
      <c r="AW67" s="169"/>
      <c r="AX67" s="168">
        <v>7</v>
      </c>
      <c r="AY67" s="169"/>
      <c r="BA67" s="168">
        <v>2</v>
      </c>
      <c r="BB67" s="169"/>
      <c r="BC67" s="168">
        <v>3</v>
      </c>
      <c r="BD67" s="169"/>
      <c r="BE67" s="168">
        <v>4</v>
      </c>
      <c r="BF67" s="169"/>
      <c r="BG67" s="168">
        <v>5</v>
      </c>
      <c r="BH67" s="169"/>
      <c r="BI67" s="168">
        <v>6</v>
      </c>
      <c r="BJ67" s="169"/>
      <c r="BK67" s="168">
        <v>7</v>
      </c>
      <c r="BL67" s="169"/>
    </row>
    <row r="68" spans="2:64" ht="11.25" customHeight="1">
      <c r="B68" s="14"/>
      <c r="C68" s="132" t="str">
        <f>IF(E41&gt;0,"Asc+As(Mt)","Asc")</f>
        <v>Asc</v>
      </c>
      <c r="D68" s="34" t="s">
        <v>6</v>
      </c>
      <c r="E68" s="44">
        <f>+E61+(M59*2)</f>
        <v>2.26</v>
      </c>
      <c r="F68" s="44">
        <f>((PI()/4*(I67/10)^2)*I66)+((PI()/4*(I69/10)^2)*I68)</f>
        <v>6.031857894892403</v>
      </c>
      <c r="G68" s="86" t="str">
        <f>IF(F68&gt;E68,"OK","NG.")</f>
        <v>OK</v>
      </c>
      <c r="H68" s="42" t="s">
        <v>24</v>
      </c>
      <c r="I68" s="156">
        <v>3</v>
      </c>
      <c r="J68" s="156">
        <v>2</v>
      </c>
      <c r="K68" s="73"/>
      <c r="L68" s="63"/>
      <c r="M68" s="74"/>
      <c r="N68" s="64"/>
      <c r="O68" s="32"/>
      <c r="P68" s="32"/>
      <c r="Q68" s="63"/>
      <c r="R68" s="63"/>
      <c r="S68" s="74"/>
      <c r="T68" s="64"/>
      <c r="U68" s="36"/>
      <c r="V68" s="37"/>
      <c r="Z68" s="92" t="s">
        <v>48</v>
      </c>
      <c r="AA68" s="92" t="s">
        <v>49</v>
      </c>
      <c r="AB68" s="168" t="s">
        <v>48</v>
      </c>
      <c r="AC68" s="169"/>
      <c r="AD68" s="168" t="s">
        <v>49</v>
      </c>
      <c r="AE68" s="169"/>
      <c r="AF68" s="168" t="s">
        <v>48</v>
      </c>
      <c r="AG68" s="169"/>
      <c r="AH68" s="168" t="s">
        <v>49</v>
      </c>
      <c r="AI68" s="169"/>
      <c r="AJ68" s="91"/>
      <c r="AK68" s="91"/>
      <c r="AL68" s="91"/>
      <c r="AN68" s="168" t="s">
        <v>48</v>
      </c>
      <c r="AO68" s="169"/>
      <c r="AP68" s="168" t="s">
        <v>48</v>
      </c>
      <c r="AQ68" s="169"/>
      <c r="AR68" s="168" t="s">
        <v>48</v>
      </c>
      <c r="AS68" s="169"/>
      <c r="AT68" s="168" t="s">
        <v>48</v>
      </c>
      <c r="AU68" s="169"/>
      <c r="AV68" s="168" t="s">
        <v>48</v>
      </c>
      <c r="AW68" s="169"/>
      <c r="AX68" s="168" t="s">
        <v>48</v>
      </c>
      <c r="AY68" s="169"/>
      <c r="BA68" s="168" t="s">
        <v>49</v>
      </c>
      <c r="BB68" s="169"/>
      <c r="BC68" s="168" t="s">
        <v>49</v>
      </c>
      <c r="BD68" s="169"/>
      <c r="BE68" s="168" t="s">
        <v>49</v>
      </c>
      <c r="BF68" s="169"/>
      <c r="BG68" s="168" t="s">
        <v>49</v>
      </c>
      <c r="BH68" s="169"/>
      <c r="BI68" s="168" t="s">
        <v>49</v>
      </c>
      <c r="BJ68" s="169"/>
      <c r="BK68" s="168" t="s">
        <v>49</v>
      </c>
      <c r="BL68" s="169"/>
    </row>
    <row r="69" spans="1:74" s="54" customFormat="1" ht="11.25" customHeight="1">
      <c r="A69" s="53"/>
      <c r="B69" s="14"/>
      <c r="C69" s="43"/>
      <c r="D69" s="34"/>
      <c r="E69" s="46"/>
      <c r="F69" s="46"/>
      <c r="G69" s="47"/>
      <c r="H69" s="48" t="s">
        <v>118</v>
      </c>
      <c r="I69" s="155">
        <v>16</v>
      </c>
      <c r="J69" s="155">
        <v>16</v>
      </c>
      <c r="K69" s="52"/>
      <c r="L69" s="50"/>
      <c r="M69" s="50"/>
      <c r="N69" s="50"/>
      <c r="O69" s="36"/>
      <c r="P69" s="36"/>
      <c r="Q69" s="50"/>
      <c r="R69" s="50"/>
      <c r="S69" s="50"/>
      <c r="T69" s="50"/>
      <c r="U69" s="36"/>
      <c r="V69" s="37"/>
      <c r="W69" s="53"/>
      <c r="X69" s="53"/>
      <c r="Y69" s="53"/>
      <c r="Z69" s="92">
        <f>AB69</f>
        <v>5</v>
      </c>
      <c r="AA69" s="92">
        <f>AD69</f>
        <v>74</v>
      </c>
      <c r="AB69" s="168">
        <f>IF(AF69&gt;0,AF69,MAX($AF$69:$AG$75))</f>
        <v>5</v>
      </c>
      <c r="AC69" s="169"/>
      <c r="AD69" s="168">
        <f>IF(AH69&gt;0,AH69,MAX($AH$69:$AI$75))</f>
        <v>74</v>
      </c>
      <c r="AE69" s="169"/>
      <c r="AF69" s="168">
        <f>HLOOKUP($AF$67,$AN$67:$AY$75,3,FALSE)</f>
        <v>5</v>
      </c>
      <c r="AG69" s="169"/>
      <c r="AH69" s="168">
        <f>HLOOKUP($AF$67,$BA$67:$BL$75,3,FALSE)</f>
        <v>74</v>
      </c>
      <c r="AI69" s="169"/>
      <c r="AJ69" s="91"/>
      <c r="AK69" s="91"/>
      <c r="AL69" s="91"/>
      <c r="AM69" s="6"/>
      <c r="AN69" s="168">
        <v>5</v>
      </c>
      <c r="AO69" s="169"/>
      <c r="AP69" s="168">
        <v>5</v>
      </c>
      <c r="AQ69" s="169"/>
      <c r="AR69" s="168">
        <v>5</v>
      </c>
      <c r="AS69" s="169"/>
      <c r="AT69" s="168">
        <v>5</v>
      </c>
      <c r="AU69" s="169"/>
      <c r="AV69" s="168">
        <v>5</v>
      </c>
      <c r="AW69" s="169"/>
      <c r="AX69" s="168">
        <v>5</v>
      </c>
      <c r="AY69" s="169"/>
      <c r="AZ69" s="53"/>
      <c r="BA69" s="168">
        <v>74</v>
      </c>
      <c r="BB69" s="169"/>
      <c r="BC69" s="168">
        <v>74</v>
      </c>
      <c r="BD69" s="169"/>
      <c r="BE69" s="168">
        <v>74</v>
      </c>
      <c r="BF69" s="169"/>
      <c r="BG69" s="168">
        <v>74</v>
      </c>
      <c r="BH69" s="169"/>
      <c r="BI69" s="168">
        <v>74</v>
      </c>
      <c r="BJ69" s="169"/>
      <c r="BK69" s="168">
        <v>74</v>
      </c>
      <c r="BL69" s="169"/>
      <c r="BM69" s="53"/>
      <c r="BN69" s="53"/>
      <c r="BO69" s="53"/>
      <c r="BP69" s="53"/>
      <c r="BQ69" s="53"/>
      <c r="BR69" s="53"/>
      <c r="BS69" s="53"/>
      <c r="BT69" s="53"/>
      <c r="BU69" s="53"/>
      <c r="BV69" s="53"/>
    </row>
    <row r="70" spans="1:74" s="54" customFormat="1" ht="11.25" customHeight="1">
      <c r="A70" s="53"/>
      <c r="B70" s="49"/>
      <c r="C70" s="50"/>
      <c r="D70" s="50"/>
      <c r="E70" s="50"/>
      <c r="F70" s="50"/>
      <c r="G70" s="51"/>
      <c r="H70" s="185" t="s">
        <v>26</v>
      </c>
      <c r="I70" s="82" t="s">
        <v>101</v>
      </c>
      <c r="J70" s="82" t="s">
        <v>102</v>
      </c>
      <c r="K70" s="52"/>
      <c r="L70" s="50"/>
      <c r="M70" s="50"/>
      <c r="N70" s="55"/>
      <c r="O70" s="56"/>
      <c r="P70" s="56"/>
      <c r="Q70" s="50"/>
      <c r="R70" s="50"/>
      <c r="S70" s="50"/>
      <c r="T70" s="55"/>
      <c r="U70" s="56"/>
      <c r="V70" s="57"/>
      <c r="W70" s="53"/>
      <c r="X70" s="53"/>
      <c r="Y70" s="53"/>
      <c r="Z70" s="92">
        <f aca="true" t="shared" si="0" ref="Z70:Z75">AB70</f>
        <v>18</v>
      </c>
      <c r="AA70" s="92">
        <f aca="true" t="shared" si="1" ref="AA70:AA75">AD70</f>
        <v>74</v>
      </c>
      <c r="AB70" s="168">
        <f aca="true" t="shared" si="2" ref="AB70:AB75">IF(AF70&gt;0,AF70,MAX($AF$69:$AG$75))</f>
        <v>18</v>
      </c>
      <c r="AC70" s="169"/>
      <c r="AD70" s="168">
        <f aca="true" t="shared" si="3" ref="AD70:AD75">IF(AH70&gt;0,AH70,MAX($AH$69:$AI$75))</f>
        <v>74</v>
      </c>
      <c r="AE70" s="169"/>
      <c r="AF70" s="168">
        <f>HLOOKUP($AF$67,$AN$67:$AY$75,4,FALSE)</f>
        <v>18</v>
      </c>
      <c r="AG70" s="169"/>
      <c r="AH70" s="168">
        <f>HLOOKUP($AF$67,$BA$67:$BL$75,4,FALSE)</f>
        <v>74</v>
      </c>
      <c r="AI70" s="169"/>
      <c r="AJ70" s="91"/>
      <c r="AK70" s="91"/>
      <c r="AL70" s="91"/>
      <c r="AM70" s="53"/>
      <c r="AN70" s="168">
        <v>45</v>
      </c>
      <c r="AO70" s="169"/>
      <c r="AP70" s="168">
        <v>25</v>
      </c>
      <c r="AQ70" s="169"/>
      <c r="AR70" s="168">
        <v>18</v>
      </c>
      <c r="AS70" s="169"/>
      <c r="AT70" s="168">
        <v>15</v>
      </c>
      <c r="AU70" s="169"/>
      <c r="AV70" s="168">
        <v>13</v>
      </c>
      <c r="AW70" s="169"/>
      <c r="AX70" s="168">
        <v>12</v>
      </c>
      <c r="AY70" s="169"/>
      <c r="AZ70" s="53"/>
      <c r="BA70" s="168">
        <v>74</v>
      </c>
      <c r="BB70" s="169"/>
      <c r="BC70" s="168">
        <v>74</v>
      </c>
      <c r="BD70" s="169"/>
      <c r="BE70" s="168">
        <v>74</v>
      </c>
      <c r="BF70" s="169"/>
      <c r="BG70" s="168">
        <v>74</v>
      </c>
      <c r="BH70" s="169"/>
      <c r="BI70" s="168">
        <v>74</v>
      </c>
      <c r="BJ70" s="169"/>
      <c r="BK70" s="168">
        <v>74</v>
      </c>
      <c r="BL70" s="169"/>
      <c r="BM70" s="53"/>
      <c r="BN70" s="53"/>
      <c r="BO70" s="53"/>
      <c r="BP70" s="53"/>
      <c r="BQ70" s="53"/>
      <c r="BR70" s="53"/>
      <c r="BS70" s="53"/>
      <c r="BT70" s="53"/>
      <c r="BU70" s="53"/>
      <c r="BV70" s="53"/>
    </row>
    <row r="71" spans="1:74" s="54" customFormat="1" ht="11.25" customHeight="1">
      <c r="A71" s="53"/>
      <c r="B71" s="49"/>
      <c r="C71" s="50"/>
      <c r="D71" s="50"/>
      <c r="E71" s="50"/>
      <c r="F71" s="50"/>
      <c r="G71" s="50"/>
      <c r="H71" s="186"/>
      <c r="I71" s="82" t="s">
        <v>22</v>
      </c>
      <c r="J71" s="82" t="s">
        <v>21</v>
      </c>
      <c r="K71" s="50"/>
      <c r="L71" s="50"/>
      <c r="M71" s="50"/>
      <c r="N71" s="55"/>
      <c r="O71" s="56"/>
      <c r="P71" s="56"/>
      <c r="Q71" s="50"/>
      <c r="R71" s="50"/>
      <c r="S71" s="50"/>
      <c r="T71" s="55"/>
      <c r="U71" s="56"/>
      <c r="V71" s="57"/>
      <c r="W71" s="53"/>
      <c r="X71" s="53"/>
      <c r="Y71" s="53"/>
      <c r="Z71" s="92">
        <f t="shared" si="0"/>
        <v>32</v>
      </c>
      <c r="AA71" s="92">
        <f t="shared" si="1"/>
        <v>74</v>
      </c>
      <c r="AB71" s="168">
        <f t="shared" si="2"/>
        <v>32</v>
      </c>
      <c r="AC71" s="169"/>
      <c r="AD71" s="168">
        <f t="shared" si="3"/>
        <v>74</v>
      </c>
      <c r="AE71" s="169"/>
      <c r="AF71" s="168">
        <f>HLOOKUP($AF$67,$AN$67:$AY$75,5,FALSE)</f>
        <v>32</v>
      </c>
      <c r="AG71" s="169"/>
      <c r="AH71" s="168">
        <f>HLOOKUP($AF$67,$BA$67:$BL$75,5,FALSE)</f>
        <v>74</v>
      </c>
      <c r="AI71" s="169"/>
      <c r="AJ71" s="91"/>
      <c r="AK71" s="91"/>
      <c r="AL71" s="91"/>
      <c r="AM71" s="53"/>
      <c r="AN71" s="168"/>
      <c r="AO71" s="169"/>
      <c r="AP71" s="168">
        <v>45</v>
      </c>
      <c r="AQ71" s="169"/>
      <c r="AR71" s="168">
        <v>32</v>
      </c>
      <c r="AS71" s="169"/>
      <c r="AT71" s="168">
        <v>25</v>
      </c>
      <c r="AU71" s="169"/>
      <c r="AV71" s="168">
        <v>21</v>
      </c>
      <c r="AW71" s="169"/>
      <c r="AX71" s="168">
        <v>18</v>
      </c>
      <c r="AY71" s="169"/>
      <c r="AZ71" s="53"/>
      <c r="BA71" s="168"/>
      <c r="BB71" s="169"/>
      <c r="BC71" s="168">
        <v>74</v>
      </c>
      <c r="BD71" s="169"/>
      <c r="BE71" s="168">
        <v>74</v>
      </c>
      <c r="BF71" s="169"/>
      <c r="BG71" s="168">
        <v>74</v>
      </c>
      <c r="BH71" s="169"/>
      <c r="BI71" s="168">
        <v>74</v>
      </c>
      <c r="BJ71" s="169"/>
      <c r="BK71" s="168">
        <v>74</v>
      </c>
      <c r="BL71" s="169"/>
      <c r="BM71" s="53"/>
      <c r="BN71" s="53"/>
      <c r="BO71" s="53"/>
      <c r="BP71" s="53"/>
      <c r="BQ71" s="53"/>
      <c r="BR71" s="53"/>
      <c r="BS71" s="53"/>
      <c r="BT71" s="53"/>
      <c r="BU71" s="53"/>
      <c r="BV71" s="53"/>
    </row>
    <row r="72" spans="1:74" s="54" customFormat="1" ht="11.25" customHeight="1">
      <c r="A72" s="53"/>
      <c r="B72" s="87" t="s">
        <v>42</v>
      </c>
      <c r="C72" s="88" t="s">
        <v>103</v>
      </c>
      <c r="D72" s="89"/>
      <c r="E72" s="90"/>
      <c r="F72" s="89"/>
      <c r="G72" s="89"/>
      <c r="H72" s="11"/>
      <c r="I72" s="11"/>
      <c r="J72" s="11"/>
      <c r="K72" s="50"/>
      <c r="L72" s="50"/>
      <c r="M72" s="50"/>
      <c r="N72" s="55"/>
      <c r="O72" s="56"/>
      <c r="P72" s="56"/>
      <c r="Q72" s="50"/>
      <c r="R72" s="50"/>
      <c r="S72" s="50"/>
      <c r="T72" s="55"/>
      <c r="U72" s="56"/>
      <c r="V72" s="57"/>
      <c r="W72" s="53"/>
      <c r="X72" s="53"/>
      <c r="Y72" s="53"/>
      <c r="Z72" s="92">
        <f t="shared" si="0"/>
        <v>45</v>
      </c>
      <c r="AA72" s="92">
        <f t="shared" si="1"/>
        <v>74</v>
      </c>
      <c r="AB72" s="168">
        <f t="shared" si="2"/>
        <v>45</v>
      </c>
      <c r="AC72" s="169"/>
      <c r="AD72" s="168">
        <f t="shared" si="3"/>
        <v>74</v>
      </c>
      <c r="AE72" s="169"/>
      <c r="AF72" s="168">
        <f>HLOOKUP($AF$67,$AN$67:$AY$75,6,FALSE)</f>
        <v>45</v>
      </c>
      <c r="AG72" s="169"/>
      <c r="AH72" s="168">
        <f>HLOOKUP($AF$67,$BA$67:$BL$75,6,FALSE)</f>
        <v>74</v>
      </c>
      <c r="AI72" s="169"/>
      <c r="AJ72" s="91"/>
      <c r="AK72" s="91"/>
      <c r="AL72" s="91"/>
      <c r="AM72" s="53"/>
      <c r="AN72" s="168"/>
      <c r="AO72" s="169"/>
      <c r="AP72" s="168"/>
      <c r="AQ72" s="169"/>
      <c r="AR72" s="168">
        <v>45</v>
      </c>
      <c r="AS72" s="169"/>
      <c r="AT72" s="168">
        <v>35</v>
      </c>
      <c r="AU72" s="169"/>
      <c r="AV72" s="168">
        <v>29</v>
      </c>
      <c r="AW72" s="169"/>
      <c r="AX72" s="168">
        <v>25</v>
      </c>
      <c r="AY72" s="169"/>
      <c r="AZ72" s="53"/>
      <c r="BA72" s="168"/>
      <c r="BB72" s="169"/>
      <c r="BC72" s="168"/>
      <c r="BD72" s="169"/>
      <c r="BE72" s="168">
        <v>74</v>
      </c>
      <c r="BF72" s="169"/>
      <c r="BG72" s="168">
        <v>74</v>
      </c>
      <c r="BH72" s="169"/>
      <c r="BI72" s="168">
        <v>74</v>
      </c>
      <c r="BJ72" s="169"/>
      <c r="BK72" s="168">
        <v>74</v>
      </c>
      <c r="BL72" s="169"/>
      <c r="BM72" s="53"/>
      <c r="BN72" s="53"/>
      <c r="BO72" s="53"/>
      <c r="BP72" s="53"/>
      <c r="BQ72" s="53"/>
      <c r="BR72" s="53"/>
      <c r="BS72" s="53"/>
      <c r="BT72" s="53"/>
      <c r="BU72" s="53"/>
      <c r="BV72" s="53"/>
    </row>
    <row r="73" spans="1:74" s="54" customFormat="1" ht="11.25" customHeight="1">
      <c r="A73" s="53"/>
      <c r="B73" s="14"/>
      <c r="C73" s="11" t="s">
        <v>104</v>
      </c>
      <c r="D73" s="11"/>
      <c r="F73" s="77" t="str">
        <f>IF(S11&gt;2400,"=2.29*sqrt(fc')/D  &lt;=25","=1.14*sqrt(fc')/D  &lt;=11")</f>
        <v>=2.29*sqrt(fc')/D  &lt;=25</v>
      </c>
      <c r="G73" s="78"/>
      <c r="I73" s="79" t="s">
        <v>6</v>
      </c>
      <c r="J73" s="27">
        <f>IF(S11&gt;2400,MIN((2.29*SQRT(H10)/MAX(J67,J69)*10),25),MIN((1.145*SQRT(H10)/MAX(J67,69)*10),11))</f>
        <v>20.740782967983634</v>
      </c>
      <c r="K73" s="148" t="s">
        <v>124</v>
      </c>
      <c r="L73" s="50"/>
      <c r="M73" s="50"/>
      <c r="N73" s="55"/>
      <c r="R73" s="50"/>
      <c r="S73" s="50"/>
      <c r="T73" s="55"/>
      <c r="U73" s="56"/>
      <c r="V73" s="57"/>
      <c r="W73" s="53"/>
      <c r="X73" s="53"/>
      <c r="Y73" s="53"/>
      <c r="Z73" s="92">
        <f t="shared" si="0"/>
        <v>45</v>
      </c>
      <c r="AA73" s="92">
        <f t="shared" si="1"/>
        <v>74</v>
      </c>
      <c r="AB73" s="168">
        <f t="shared" si="2"/>
        <v>45</v>
      </c>
      <c r="AC73" s="169"/>
      <c r="AD73" s="168">
        <f t="shared" si="3"/>
        <v>74</v>
      </c>
      <c r="AE73" s="169"/>
      <c r="AF73" s="168">
        <f>HLOOKUP($AF$67,$AN$67:$AY$75,7,FALSE)</f>
        <v>0</v>
      </c>
      <c r="AG73" s="169"/>
      <c r="AH73" s="168">
        <f>HLOOKUP($AF$67,$BA$67:$BL$75,7,FALSE)</f>
        <v>0</v>
      </c>
      <c r="AI73" s="169"/>
      <c r="AJ73" s="91"/>
      <c r="AK73" s="91"/>
      <c r="AL73" s="91"/>
      <c r="AM73" s="53"/>
      <c r="AN73" s="168"/>
      <c r="AO73" s="169"/>
      <c r="AP73" s="168"/>
      <c r="AQ73" s="169"/>
      <c r="AR73" s="168"/>
      <c r="AS73" s="169"/>
      <c r="AT73" s="168">
        <v>45</v>
      </c>
      <c r="AU73" s="169"/>
      <c r="AV73" s="168">
        <v>37</v>
      </c>
      <c r="AW73" s="169"/>
      <c r="AX73" s="168">
        <v>32</v>
      </c>
      <c r="AY73" s="169"/>
      <c r="AZ73" s="53"/>
      <c r="BA73" s="168"/>
      <c r="BB73" s="169"/>
      <c r="BC73" s="168"/>
      <c r="BD73" s="169"/>
      <c r="BE73" s="168"/>
      <c r="BF73" s="169"/>
      <c r="BG73" s="168">
        <v>74</v>
      </c>
      <c r="BH73" s="169"/>
      <c r="BI73" s="168">
        <v>74</v>
      </c>
      <c r="BJ73" s="169"/>
      <c r="BK73" s="168">
        <v>74</v>
      </c>
      <c r="BL73" s="169"/>
      <c r="BM73" s="53"/>
      <c r="BN73" s="53"/>
      <c r="BO73" s="53"/>
      <c r="BP73" s="53"/>
      <c r="BQ73" s="53"/>
      <c r="BR73" s="53"/>
      <c r="BS73" s="53"/>
      <c r="BT73" s="53"/>
      <c r="BU73" s="53"/>
      <c r="BV73" s="53"/>
    </row>
    <row r="74" spans="1:74" s="54" customFormat="1" ht="11.25" customHeight="1">
      <c r="A74" s="53"/>
      <c r="B74" s="14"/>
      <c r="C74" s="11" t="s">
        <v>115</v>
      </c>
      <c r="D74" s="11"/>
      <c r="E74" s="18"/>
      <c r="F74" s="18"/>
      <c r="G74" s="78"/>
      <c r="I74" s="79" t="s">
        <v>6</v>
      </c>
      <c r="J74" s="27">
        <f>ROUNDUP(IF(S11&gt;2400,MAX(((MAX(J67,J69)/10)*(S12))/(4*J73),30),MAX(((MAX(J67,J69)/10)*(S12))/(4*J73),60)),0)</f>
        <v>33</v>
      </c>
      <c r="K74" s="148" t="s">
        <v>129</v>
      </c>
      <c r="L74" s="50"/>
      <c r="M74" s="50"/>
      <c r="N74" s="55"/>
      <c r="O74" s="56"/>
      <c r="P74" s="56"/>
      <c r="Q74" s="50"/>
      <c r="R74" s="50"/>
      <c r="S74" s="50"/>
      <c r="T74" s="55"/>
      <c r="U74" s="56"/>
      <c r="V74" s="57"/>
      <c r="W74" s="53"/>
      <c r="X74" s="53"/>
      <c r="Y74" s="53"/>
      <c r="Z74" s="92">
        <f t="shared" si="0"/>
        <v>45</v>
      </c>
      <c r="AA74" s="92">
        <f t="shared" si="1"/>
        <v>74</v>
      </c>
      <c r="AB74" s="168">
        <f t="shared" si="2"/>
        <v>45</v>
      </c>
      <c r="AC74" s="169"/>
      <c r="AD74" s="168">
        <f t="shared" si="3"/>
        <v>74</v>
      </c>
      <c r="AE74" s="169"/>
      <c r="AF74" s="168">
        <f>HLOOKUP($AF$67,$AN$67:$AY$75,8,FALSE)</f>
        <v>0</v>
      </c>
      <c r="AG74" s="169"/>
      <c r="AH74" s="168">
        <f>HLOOKUP($AF$67,$BA$67:$BL$75,8,FALSE)</f>
        <v>0</v>
      </c>
      <c r="AI74" s="169"/>
      <c r="AJ74" s="91"/>
      <c r="AK74" s="91"/>
      <c r="AL74" s="91"/>
      <c r="AM74" s="53"/>
      <c r="AN74" s="168"/>
      <c r="AO74" s="169"/>
      <c r="AP74" s="168"/>
      <c r="AQ74" s="169"/>
      <c r="AR74" s="168"/>
      <c r="AS74" s="169"/>
      <c r="AT74" s="168"/>
      <c r="AU74" s="169"/>
      <c r="AV74" s="168">
        <v>45</v>
      </c>
      <c r="AW74" s="169"/>
      <c r="AX74" s="168">
        <v>38</v>
      </c>
      <c r="AY74" s="169"/>
      <c r="AZ74" s="53"/>
      <c r="BA74" s="168"/>
      <c r="BB74" s="169"/>
      <c r="BC74" s="168"/>
      <c r="BD74" s="169"/>
      <c r="BE74" s="168"/>
      <c r="BF74" s="169"/>
      <c r="BG74" s="168"/>
      <c r="BH74" s="169"/>
      <c r="BI74" s="168">
        <v>74</v>
      </c>
      <c r="BJ74" s="169"/>
      <c r="BK74" s="168">
        <v>74</v>
      </c>
      <c r="BL74" s="169"/>
      <c r="BM74" s="53"/>
      <c r="BN74" s="53"/>
      <c r="BO74" s="53"/>
      <c r="BP74" s="53"/>
      <c r="BQ74" s="53"/>
      <c r="BR74" s="53"/>
      <c r="BS74" s="53"/>
      <c r="BT74" s="53"/>
      <c r="BU74" s="53"/>
      <c r="BV74" s="53"/>
    </row>
    <row r="75" spans="1:74" s="54" customFormat="1" ht="11.25" customHeight="1">
      <c r="A75" s="53"/>
      <c r="B75" s="49"/>
      <c r="C75" s="50"/>
      <c r="D75" s="50"/>
      <c r="E75" s="50"/>
      <c r="F75" s="50"/>
      <c r="G75" s="50"/>
      <c r="H75" s="55"/>
      <c r="I75" s="56"/>
      <c r="J75" s="56"/>
      <c r="K75" s="50"/>
      <c r="L75" s="50"/>
      <c r="M75" s="50"/>
      <c r="N75" s="55"/>
      <c r="O75" s="56"/>
      <c r="P75" s="56"/>
      <c r="Q75" s="50"/>
      <c r="R75" s="50"/>
      <c r="S75" s="50"/>
      <c r="T75" s="55"/>
      <c r="U75" s="56"/>
      <c r="V75" s="57"/>
      <c r="W75" s="53"/>
      <c r="X75" s="53"/>
      <c r="Y75" s="53"/>
      <c r="Z75" s="92">
        <f t="shared" si="0"/>
        <v>45</v>
      </c>
      <c r="AA75" s="92">
        <f t="shared" si="1"/>
        <v>74</v>
      </c>
      <c r="AB75" s="168">
        <f t="shared" si="2"/>
        <v>45</v>
      </c>
      <c r="AC75" s="169"/>
      <c r="AD75" s="168">
        <f t="shared" si="3"/>
        <v>74</v>
      </c>
      <c r="AE75" s="169"/>
      <c r="AF75" s="168">
        <f>HLOOKUP($AF$67,$AN$67:$AY$75,9,FALSE)</f>
        <v>0</v>
      </c>
      <c r="AG75" s="169"/>
      <c r="AH75" s="168">
        <f>HLOOKUP($AF$67,$BA$67:$BL$75,9,FALSE)</f>
        <v>0</v>
      </c>
      <c r="AI75" s="169"/>
      <c r="AJ75" s="91"/>
      <c r="AK75" s="91"/>
      <c r="AL75" s="91"/>
      <c r="AM75" s="53"/>
      <c r="AN75" s="168"/>
      <c r="AO75" s="169"/>
      <c r="AP75" s="168"/>
      <c r="AQ75" s="169"/>
      <c r="AR75" s="168"/>
      <c r="AS75" s="169"/>
      <c r="AT75" s="168"/>
      <c r="AU75" s="169"/>
      <c r="AV75" s="168"/>
      <c r="AW75" s="169"/>
      <c r="AX75" s="168">
        <v>45</v>
      </c>
      <c r="AY75" s="169"/>
      <c r="AZ75" s="53"/>
      <c r="BA75" s="168"/>
      <c r="BB75" s="169"/>
      <c r="BC75" s="168"/>
      <c r="BD75" s="169"/>
      <c r="BE75" s="168"/>
      <c r="BF75" s="169"/>
      <c r="BG75" s="168"/>
      <c r="BH75" s="169"/>
      <c r="BI75" s="168"/>
      <c r="BJ75" s="169"/>
      <c r="BK75" s="168">
        <v>74</v>
      </c>
      <c r="BL75" s="169"/>
      <c r="BM75" s="53"/>
      <c r="BN75" s="53"/>
      <c r="BO75" s="53"/>
      <c r="BP75" s="53"/>
      <c r="BQ75" s="53"/>
      <c r="BR75" s="53"/>
      <c r="BS75" s="53"/>
      <c r="BT75" s="53"/>
      <c r="BU75" s="53"/>
      <c r="BV75" s="53"/>
    </row>
    <row r="76" spans="1:74" s="54" customFormat="1" ht="11.25" customHeight="1">
      <c r="A76" s="53"/>
      <c r="B76" s="87" t="s">
        <v>43</v>
      </c>
      <c r="C76" s="88" t="s">
        <v>105</v>
      </c>
      <c r="D76" s="89"/>
      <c r="E76" s="89"/>
      <c r="F76" s="89"/>
      <c r="G76" s="89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57"/>
      <c r="W76" s="53"/>
      <c r="X76" s="53"/>
      <c r="Y76" s="53"/>
      <c r="Z76" s="6"/>
      <c r="AA76" s="6"/>
      <c r="AB76" s="6"/>
      <c r="AC76" s="6"/>
      <c r="AD76" s="6"/>
      <c r="AE76" s="6"/>
      <c r="AF76" s="207"/>
      <c r="AG76" s="207"/>
      <c r="AH76" s="207"/>
      <c r="AI76" s="207"/>
      <c r="AJ76" s="6"/>
      <c r="AK76" s="6"/>
      <c r="AL76" s="6"/>
      <c r="AM76" s="6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53"/>
      <c r="BA76" s="7"/>
      <c r="BB76" s="7"/>
      <c r="BC76" s="7"/>
      <c r="BD76" s="6"/>
      <c r="BE76" s="6"/>
      <c r="BF76" s="6"/>
      <c r="BG76" s="6"/>
      <c r="BH76" s="6"/>
      <c r="BI76" s="6"/>
      <c r="BJ76" s="6"/>
      <c r="BK76" s="6"/>
      <c r="BL76" s="6"/>
      <c r="BM76" s="53"/>
      <c r="BN76" s="53"/>
      <c r="BO76" s="53"/>
      <c r="BP76" s="53"/>
      <c r="BQ76" s="53"/>
      <c r="BR76" s="53"/>
      <c r="BS76" s="53"/>
      <c r="BT76" s="53"/>
      <c r="BU76" s="53"/>
      <c r="BV76" s="53"/>
    </row>
    <row r="77" spans="1:74" s="54" customFormat="1" ht="11.25" customHeight="1">
      <c r="A77" s="53"/>
      <c r="B77" s="14"/>
      <c r="C77" s="11" t="s">
        <v>29</v>
      </c>
      <c r="D77" s="11"/>
      <c r="E77" s="18" t="s">
        <v>6</v>
      </c>
      <c r="F77" s="84">
        <f>IF(E40-F53&lt;0,0,E40-F53)</f>
        <v>0</v>
      </c>
      <c r="G77" s="148" t="s">
        <v>126</v>
      </c>
      <c r="H77" s="11"/>
      <c r="I77" s="11" t="s">
        <v>106</v>
      </c>
      <c r="J77" s="11"/>
      <c r="K77" s="18" t="s">
        <v>6</v>
      </c>
      <c r="L77" s="160">
        <v>1</v>
      </c>
      <c r="M77" s="161" t="s">
        <v>118</v>
      </c>
      <c r="N77" s="156">
        <v>6</v>
      </c>
      <c r="O77" s="77" t="s">
        <v>130</v>
      </c>
      <c r="P77" s="11" t="s">
        <v>107</v>
      </c>
      <c r="Q77" s="11"/>
      <c r="R77" s="11"/>
      <c r="S77" s="11"/>
      <c r="T77" s="18" t="s">
        <v>6</v>
      </c>
      <c r="U77" s="80">
        <f>ROUND(IF(F79&gt;0.795*SQRT(H10),S45/4,IF(F77=0,MIN((S45/2),0.3),MIN(L78*L80*S45/F77,S45/2,0.3))),2)</f>
        <v>0.3</v>
      </c>
      <c r="V77" s="57" t="s">
        <v>127</v>
      </c>
      <c r="W77" s="53"/>
      <c r="X77" s="53"/>
      <c r="Y77" s="53"/>
      <c r="Z77" s="6"/>
      <c r="AA77" s="6"/>
      <c r="AB77" s="6"/>
      <c r="AC77" s="6"/>
      <c r="AD77" s="6"/>
      <c r="AE77" s="6"/>
      <c r="AF77" s="168" t="s">
        <v>50</v>
      </c>
      <c r="AG77" s="169"/>
      <c r="AH77" s="168" t="s">
        <v>50</v>
      </c>
      <c r="AI77" s="169"/>
      <c r="AJ77" s="91"/>
      <c r="AK77" s="91"/>
      <c r="AL77" s="91"/>
      <c r="AM77" s="6"/>
      <c r="AN77" s="168" t="s">
        <v>50</v>
      </c>
      <c r="AO77" s="169"/>
      <c r="AP77" s="168" t="s">
        <v>50</v>
      </c>
      <c r="AQ77" s="169"/>
      <c r="AR77" s="168" t="s">
        <v>50</v>
      </c>
      <c r="AS77" s="169"/>
      <c r="AT77" s="168" t="s">
        <v>50</v>
      </c>
      <c r="AU77" s="169"/>
      <c r="AV77" s="168" t="s">
        <v>50</v>
      </c>
      <c r="AW77" s="169"/>
      <c r="AX77" s="168" t="s">
        <v>50</v>
      </c>
      <c r="AY77" s="169"/>
      <c r="AZ77" s="53"/>
      <c r="BA77" s="168" t="s">
        <v>50</v>
      </c>
      <c r="BB77" s="169"/>
      <c r="BC77" s="168" t="s">
        <v>50</v>
      </c>
      <c r="BD77" s="169"/>
      <c r="BE77" s="168" t="s">
        <v>50</v>
      </c>
      <c r="BF77" s="169"/>
      <c r="BG77" s="168" t="s">
        <v>50</v>
      </c>
      <c r="BH77" s="169"/>
      <c r="BI77" s="168" t="s">
        <v>50</v>
      </c>
      <c r="BJ77" s="169"/>
      <c r="BK77" s="168" t="s">
        <v>50</v>
      </c>
      <c r="BL77" s="169"/>
      <c r="BM77" s="53"/>
      <c r="BN77" s="53"/>
      <c r="BO77" s="53"/>
      <c r="BP77" s="53"/>
      <c r="BQ77" s="53"/>
      <c r="BR77" s="53"/>
      <c r="BS77" s="53"/>
      <c r="BT77" s="53"/>
      <c r="BU77" s="53"/>
      <c r="BV77" s="53"/>
    </row>
    <row r="78" spans="1:74" s="54" customFormat="1" ht="11.25" customHeight="1">
      <c r="A78" s="53"/>
      <c r="B78" s="14"/>
      <c r="C78" s="11" t="s">
        <v>30</v>
      </c>
      <c r="D78" s="11"/>
      <c r="E78" s="18" t="s">
        <v>6</v>
      </c>
      <c r="F78" s="27">
        <f>1.32*SQRT(H10)</f>
        <v>19.12861730497006</v>
      </c>
      <c r="G78" s="148" t="s">
        <v>124</v>
      </c>
      <c r="H78" s="11"/>
      <c r="I78" s="11" t="s">
        <v>33</v>
      </c>
      <c r="J78" s="11"/>
      <c r="K78" s="18" t="s">
        <v>6</v>
      </c>
      <c r="L78" s="27">
        <f>2*(PI()/4*(N77/10)^2)</f>
        <v>0.5654866776461628</v>
      </c>
      <c r="M78" s="77" t="s">
        <v>128</v>
      </c>
      <c r="P78" s="11" t="s">
        <v>133</v>
      </c>
      <c r="Q78" s="11"/>
      <c r="R78" s="11"/>
      <c r="S78" s="11"/>
      <c r="T78" s="159" t="s">
        <v>6</v>
      </c>
      <c r="U78" s="162">
        <v>0.3</v>
      </c>
      <c r="V78" s="163" t="s">
        <v>127</v>
      </c>
      <c r="W78" s="53"/>
      <c r="X78" s="53"/>
      <c r="Y78" s="53"/>
      <c r="Z78" s="6"/>
      <c r="AA78" s="6"/>
      <c r="AB78" s="6"/>
      <c r="AC78" s="6"/>
      <c r="AD78" s="6"/>
      <c r="AE78" s="6"/>
      <c r="AF78" s="170">
        <f>J68</f>
        <v>2</v>
      </c>
      <c r="AG78" s="172"/>
      <c r="AH78" s="172"/>
      <c r="AI78" s="169"/>
      <c r="AJ78" s="91"/>
      <c r="AK78" s="91"/>
      <c r="AL78" s="91"/>
      <c r="AM78" s="6"/>
      <c r="AN78" s="168">
        <v>2</v>
      </c>
      <c r="AO78" s="169"/>
      <c r="AP78" s="168">
        <v>3</v>
      </c>
      <c r="AQ78" s="169"/>
      <c r="AR78" s="168">
        <v>4</v>
      </c>
      <c r="AS78" s="169"/>
      <c r="AT78" s="168">
        <v>5</v>
      </c>
      <c r="AU78" s="169"/>
      <c r="AV78" s="168">
        <v>6</v>
      </c>
      <c r="AW78" s="169"/>
      <c r="AX78" s="168">
        <v>7</v>
      </c>
      <c r="AY78" s="169"/>
      <c r="AZ78" s="53"/>
      <c r="BA78" s="168">
        <v>2</v>
      </c>
      <c r="BB78" s="169"/>
      <c r="BC78" s="168">
        <v>3</v>
      </c>
      <c r="BD78" s="169"/>
      <c r="BE78" s="168">
        <v>4</v>
      </c>
      <c r="BF78" s="169"/>
      <c r="BG78" s="168">
        <v>5</v>
      </c>
      <c r="BH78" s="169"/>
      <c r="BI78" s="168">
        <v>6</v>
      </c>
      <c r="BJ78" s="169"/>
      <c r="BK78" s="168">
        <v>7</v>
      </c>
      <c r="BL78" s="169"/>
      <c r="BM78" s="53"/>
      <c r="BN78" s="53"/>
      <c r="BO78" s="53"/>
      <c r="BP78" s="53"/>
      <c r="BQ78" s="53"/>
      <c r="BR78" s="53"/>
      <c r="BS78" s="53"/>
      <c r="BT78" s="53"/>
      <c r="BU78" s="53"/>
      <c r="BV78" s="53"/>
    </row>
    <row r="79" spans="1:74" s="54" customFormat="1" ht="11.25" customHeight="1">
      <c r="A79" s="53"/>
      <c r="B79" s="14"/>
      <c r="C79" s="11" t="s">
        <v>31</v>
      </c>
      <c r="D79" s="11"/>
      <c r="E79" s="18" t="s">
        <v>6</v>
      </c>
      <c r="F79" s="27">
        <f>E40/(L46*S45*10000)</f>
        <v>1.7360000000000002</v>
      </c>
      <c r="G79" s="148" t="s">
        <v>124</v>
      </c>
      <c r="H79" s="11"/>
      <c r="I79" s="11" t="s">
        <v>34</v>
      </c>
      <c r="J79" s="11"/>
      <c r="K79" s="18" t="s">
        <v>6</v>
      </c>
      <c r="L79" s="85" t="str">
        <f>IF(L78&gt;0.0015*L46*U77*100,"OK","NG.")</f>
        <v>OK</v>
      </c>
      <c r="M79" s="77"/>
      <c r="N79" s="11"/>
      <c r="O79" s="11"/>
      <c r="P79" s="11"/>
      <c r="Q79" s="11"/>
      <c r="R79" s="11"/>
      <c r="S79" s="11"/>
      <c r="T79" s="11"/>
      <c r="U79" s="165" t="str">
        <f>IF(U78&lt;=U77,"OK","NG.")</f>
        <v>OK</v>
      </c>
      <c r="V79" s="57"/>
      <c r="W79" s="53"/>
      <c r="X79" s="53"/>
      <c r="Y79" s="53"/>
      <c r="Z79" s="92" t="s">
        <v>48</v>
      </c>
      <c r="AA79" s="92" t="s">
        <v>49</v>
      </c>
      <c r="AB79" s="168" t="s">
        <v>48</v>
      </c>
      <c r="AC79" s="169"/>
      <c r="AD79" s="168" t="s">
        <v>49</v>
      </c>
      <c r="AE79" s="169"/>
      <c r="AF79" s="168" t="s">
        <v>48</v>
      </c>
      <c r="AG79" s="169"/>
      <c r="AH79" s="168" t="s">
        <v>49</v>
      </c>
      <c r="AI79" s="169"/>
      <c r="AJ79" s="91"/>
      <c r="AK79" s="91"/>
      <c r="AL79" s="91"/>
      <c r="AM79" s="6"/>
      <c r="AN79" s="168" t="s">
        <v>48</v>
      </c>
      <c r="AO79" s="169"/>
      <c r="AP79" s="168" t="s">
        <v>48</v>
      </c>
      <c r="AQ79" s="169"/>
      <c r="AR79" s="168" t="s">
        <v>48</v>
      </c>
      <c r="AS79" s="169"/>
      <c r="AT79" s="168" t="s">
        <v>48</v>
      </c>
      <c r="AU79" s="169"/>
      <c r="AV79" s="168" t="s">
        <v>48</v>
      </c>
      <c r="AW79" s="169"/>
      <c r="AX79" s="168" t="s">
        <v>48</v>
      </c>
      <c r="AY79" s="169"/>
      <c r="AZ79" s="53"/>
      <c r="BA79" s="168" t="s">
        <v>49</v>
      </c>
      <c r="BB79" s="169"/>
      <c r="BC79" s="168" t="s">
        <v>49</v>
      </c>
      <c r="BD79" s="169"/>
      <c r="BE79" s="168" t="s">
        <v>49</v>
      </c>
      <c r="BF79" s="169"/>
      <c r="BG79" s="168" t="s">
        <v>49</v>
      </c>
      <c r="BH79" s="169"/>
      <c r="BI79" s="168" t="s">
        <v>49</v>
      </c>
      <c r="BJ79" s="169"/>
      <c r="BK79" s="168" t="s">
        <v>49</v>
      </c>
      <c r="BL79" s="169"/>
      <c r="BM79" s="53"/>
      <c r="BN79" s="53"/>
      <c r="BO79" s="53"/>
      <c r="BP79" s="53"/>
      <c r="BQ79" s="53"/>
      <c r="BR79" s="53"/>
      <c r="BS79" s="53"/>
      <c r="BT79" s="53"/>
      <c r="BU79" s="53"/>
      <c r="BV79" s="53"/>
    </row>
    <row r="80" spans="1:74" s="54" customFormat="1" ht="11.25" customHeight="1">
      <c r="A80" s="53"/>
      <c r="B80" s="14"/>
      <c r="C80" s="11" t="s">
        <v>32</v>
      </c>
      <c r="D80" s="11"/>
      <c r="E80" s="18" t="s">
        <v>6</v>
      </c>
      <c r="F80" s="85" t="str">
        <f>IF(F79&lt;F78,"OK","NG.")</f>
        <v>OK</v>
      </c>
      <c r="G80" s="11"/>
      <c r="H80" s="11"/>
      <c r="I80" s="11" t="s">
        <v>35</v>
      </c>
      <c r="J80" s="11"/>
      <c r="K80" s="18" t="s">
        <v>6</v>
      </c>
      <c r="L80" s="18">
        <f>IF(N77&gt;=10,S12,1200)</f>
        <v>1200</v>
      </c>
      <c r="M80" s="148" t="s">
        <v>124</v>
      </c>
      <c r="N80" s="11"/>
      <c r="O80" s="11"/>
      <c r="P80" s="11"/>
      <c r="Q80" s="11"/>
      <c r="R80" s="11"/>
      <c r="S80" s="11"/>
      <c r="T80" s="11"/>
      <c r="U80" s="11"/>
      <c r="V80" s="57"/>
      <c r="W80" s="53"/>
      <c r="X80" s="53"/>
      <c r="Y80" s="53"/>
      <c r="Z80" s="92">
        <f>AB80</f>
        <v>5</v>
      </c>
      <c r="AA80" s="92">
        <f>AD80</f>
        <v>70</v>
      </c>
      <c r="AB80" s="168">
        <f>IF(AF80&gt;0,AF80,MAX($AF$80:$AG$86))</f>
        <v>5</v>
      </c>
      <c r="AC80" s="169"/>
      <c r="AD80" s="168">
        <f>IF(AH80&gt;0,AH80,MAX($AH$80:$AI$86))</f>
        <v>70</v>
      </c>
      <c r="AE80" s="169"/>
      <c r="AF80" s="168">
        <f>HLOOKUP($AF$78,$AN$78:$AY$86,3,FALSE)</f>
        <v>5</v>
      </c>
      <c r="AG80" s="169"/>
      <c r="AH80" s="168">
        <f>HLOOKUP($AF$78,$BA$78:$BL$86,3,FALSE)</f>
        <v>70</v>
      </c>
      <c r="AI80" s="169"/>
      <c r="AJ80" s="91"/>
      <c r="AK80" s="91"/>
      <c r="AL80" s="91"/>
      <c r="AM80" s="6"/>
      <c r="AN80" s="168">
        <v>5</v>
      </c>
      <c r="AO80" s="169"/>
      <c r="AP80" s="168">
        <v>5</v>
      </c>
      <c r="AQ80" s="169"/>
      <c r="AR80" s="168">
        <v>5</v>
      </c>
      <c r="AS80" s="169"/>
      <c r="AT80" s="168">
        <v>5</v>
      </c>
      <c r="AU80" s="169"/>
      <c r="AV80" s="168">
        <v>5</v>
      </c>
      <c r="AW80" s="169"/>
      <c r="AX80" s="168">
        <v>5</v>
      </c>
      <c r="AY80" s="169"/>
      <c r="AZ80" s="53"/>
      <c r="BA80" s="168">
        <v>70</v>
      </c>
      <c r="BB80" s="169"/>
      <c r="BC80" s="168">
        <v>70</v>
      </c>
      <c r="BD80" s="169"/>
      <c r="BE80" s="168">
        <v>70</v>
      </c>
      <c r="BF80" s="169"/>
      <c r="BG80" s="168">
        <v>70</v>
      </c>
      <c r="BH80" s="169"/>
      <c r="BI80" s="168">
        <v>70</v>
      </c>
      <c r="BJ80" s="169"/>
      <c r="BK80" s="168">
        <v>70</v>
      </c>
      <c r="BL80" s="169"/>
      <c r="BM80" s="53"/>
      <c r="BN80" s="53"/>
      <c r="BO80" s="53"/>
      <c r="BP80" s="53"/>
      <c r="BQ80" s="53"/>
      <c r="BR80" s="53"/>
      <c r="BS80" s="53"/>
      <c r="BT80" s="53"/>
      <c r="BU80" s="53"/>
      <c r="BV80" s="53"/>
    </row>
    <row r="81" spans="1:74" s="54" customFormat="1" ht="11.25" customHeight="1">
      <c r="A81" s="53"/>
      <c r="B81" s="14"/>
      <c r="C81" s="17" t="s">
        <v>108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57"/>
      <c r="W81" s="53"/>
      <c r="X81" s="53"/>
      <c r="Y81" s="53"/>
      <c r="Z81" s="92">
        <f aca="true" t="shared" si="4" ref="Z81:Z86">AB81</f>
        <v>45</v>
      </c>
      <c r="AA81" s="92">
        <f aca="true" t="shared" si="5" ref="AA81:AA86">AD81</f>
        <v>70</v>
      </c>
      <c r="AB81" s="168">
        <f aca="true" t="shared" si="6" ref="AB81:AB86">IF(AF81&gt;0,AF81,MAX($AF$80:$AG$86))</f>
        <v>45</v>
      </c>
      <c r="AC81" s="169"/>
      <c r="AD81" s="168">
        <f aca="true" t="shared" si="7" ref="AD81:AD86">IF(AH81&gt;0,AH81,MAX($AH$80:$AI$86))</f>
        <v>70</v>
      </c>
      <c r="AE81" s="169"/>
      <c r="AF81" s="168">
        <f>HLOOKUP($AF$78,$AN$78:$AY$86,4,FALSE)</f>
        <v>45</v>
      </c>
      <c r="AG81" s="169"/>
      <c r="AH81" s="168">
        <f>HLOOKUP($AF$78,$BA$78:$BL$86,4,FALSE)</f>
        <v>70</v>
      </c>
      <c r="AI81" s="169"/>
      <c r="AJ81" s="91"/>
      <c r="AK81" s="91"/>
      <c r="AL81" s="91"/>
      <c r="AM81" s="6"/>
      <c r="AN81" s="168">
        <v>45</v>
      </c>
      <c r="AO81" s="169"/>
      <c r="AP81" s="168">
        <v>25</v>
      </c>
      <c r="AQ81" s="169"/>
      <c r="AR81" s="168">
        <v>18</v>
      </c>
      <c r="AS81" s="169"/>
      <c r="AT81" s="168">
        <v>15</v>
      </c>
      <c r="AU81" s="169"/>
      <c r="AV81" s="168">
        <v>13</v>
      </c>
      <c r="AW81" s="169"/>
      <c r="AX81" s="168">
        <v>12</v>
      </c>
      <c r="AY81" s="169"/>
      <c r="AZ81" s="53"/>
      <c r="BA81" s="168">
        <v>70</v>
      </c>
      <c r="BB81" s="169"/>
      <c r="BC81" s="168">
        <v>70</v>
      </c>
      <c r="BD81" s="169"/>
      <c r="BE81" s="168">
        <v>70</v>
      </c>
      <c r="BF81" s="169"/>
      <c r="BG81" s="168">
        <v>70</v>
      </c>
      <c r="BH81" s="169"/>
      <c r="BI81" s="168">
        <v>70</v>
      </c>
      <c r="BJ81" s="169"/>
      <c r="BK81" s="168">
        <v>70</v>
      </c>
      <c r="BL81" s="169"/>
      <c r="BM81" s="53"/>
      <c r="BN81" s="53"/>
      <c r="BO81" s="53"/>
      <c r="BP81" s="53"/>
      <c r="BQ81" s="53"/>
      <c r="BR81" s="53"/>
      <c r="BS81" s="53"/>
      <c r="BT81" s="53"/>
      <c r="BU81" s="53"/>
      <c r="BV81" s="53"/>
    </row>
    <row r="82" spans="1:74" s="54" customFormat="1" ht="11.25" customHeight="1">
      <c r="A82" s="53"/>
      <c r="B82" s="16"/>
      <c r="C82" s="17" t="s">
        <v>107</v>
      </c>
      <c r="D82" s="17"/>
      <c r="E82" s="17"/>
      <c r="F82" s="17"/>
      <c r="G82" s="76" t="s">
        <v>6</v>
      </c>
      <c r="H82" s="75" t="str">
        <f>IF(SUM(E38,K39)&gt;0,"2 ปลอก"&amp;"-"&amp;N77&amp;" มม."&amp;" @ "&amp;U78&amp;" ม.",N77&amp;" มม."&amp;" @ "&amp;U78&amp;" ม.")</f>
        <v>6 มม. @ 0.3 ม.</v>
      </c>
      <c r="I82" s="76"/>
      <c r="J82" s="11"/>
      <c r="K82" s="11"/>
      <c r="L82" s="11"/>
      <c r="M82" s="11"/>
      <c r="N82" s="11"/>
      <c r="O82" s="126"/>
      <c r="P82" s="126"/>
      <c r="Q82" s="126"/>
      <c r="R82" s="126"/>
      <c r="S82" s="126"/>
      <c r="T82" s="126"/>
      <c r="U82" s="11"/>
      <c r="V82" s="57"/>
      <c r="W82" s="53"/>
      <c r="X82" s="53"/>
      <c r="Y82" s="53"/>
      <c r="Z82" s="92">
        <f t="shared" si="4"/>
        <v>45</v>
      </c>
      <c r="AA82" s="92">
        <f t="shared" si="5"/>
        <v>70</v>
      </c>
      <c r="AB82" s="168">
        <f t="shared" si="6"/>
        <v>45</v>
      </c>
      <c r="AC82" s="169"/>
      <c r="AD82" s="168">
        <f t="shared" si="7"/>
        <v>70</v>
      </c>
      <c r="AE82" s="169"/>
      <c r="AF82" s="168">
        <f>HLOOKUP($AF$78,$AN$78:$AY$86,5,FALSE)</f>
        <v>0</v>
      </c>
      <c r="AG82" s="169"/>
      <c r="AH82" s="168">
        <f>HLOOKUP($AF$78,$BA$78:$BL$86,5,FALSE)</f>
        <v>0</v>
      </c>
      <c r="AI82" s="169"/>
      <c r="AJ82" s="91"/>
      <c r="AK82" s="91"/>
      <c r="AL82" s="91"/>
      <c r="AM82" s="6"/>
      <c r="AN82" s="168"/>
      <c r="AO82" s="169"/>
      <c r="AP82" s="168">
        <v>45</v>
      </c>
      <c r="AQ82" s="169"/>
      <c r="AR82" s="168">
        <v>32</v>
      </c>
      <c r="AS82" s="169"/>
      <c r="AT82" s="168">
        <v>25</v>
      </c>
      <c r="AU82" s="169"/>
      <c r="AV82" s="168">
        <v>21</v>
      </c>
      <c r="AW82" s="169"/>
      <c r="AX82" s="168">
        <v>18</v>
      </c>
      <c r="AY82" s="169"/>
      <c r="AZ82" s="53"/>
      <c r="BA82" s="168"/>
      <c r="BB82" s="169"/>
      <c r="BC82" s="168">
        <v>70</v>
      </c>
      <c r="BD82" s="169"/>
      <c r="BE82" s="168">
        <v>70</v>
      </c>
      <c r="BF82" s="169"/>
      <c r="BG82" s="168">
        <v>70</v>
      </c>
      <c r="BH82" s="169"/>
      <c r="BI82" s="168">
        <v>70</v>
      </c>
      <c r="BJ82" s="169"/>
      <c r="BK82" s="168">
        <v>70</v>
      </c>
      <c r="BL82" s="169"/>
      <c r="BM82" s="53"/>
      <c r="BN82" s="53"/>
      <c r="BO82" s="53"/>
      <c r="BP82" s="53"/>
      <c r="BQ82" s="53"/>
      <c r="BR82" s="53"/>
      <c r="BS82" s="53"/>
      <c r="BT82" s="53"/>
      <c r="BU82" s="53"/>
      <c r="BV82" s="53"/>
    </row>
    <row r="83" spans="1:74" s="54" customFormat="1" ht="11.25" customHeight="1">
      <c r="A83" s="53"/>
      <c r="B83" s="49"/>
      <c r="C83" s="50"/>
      <c r="D83" s="50"/>
      <c r="E83" s="50"/>
      <c r="F83" s="50"/>
      <c r="G83" s="50"/>
      <c r="H83" s="55"/>
      <c r="I83" s="56"/>
      <c r="J83" s="56"/>
      <c r="K83" s="50"/>
      <c r="L83" s="50"/>
      <c r="M83" s="50"/>
      <c r="N83" s="55"/>
      <c r="O83" s="17" t="str">
        <f>O3&amp;"  "&amp;Q3</f>
        <v>วิศวกรโครงสร้าง :  นาย สุธีร์     แก้วคำ  สย.9698</v>
      </c>
      <c r="P83" s="56"/>
      <c r="Q83" s="50"/>
      <c r="R83" s="50"/>
      <c r="S83" s="50"/>
      <c r="T83" s="55"/>
      <c r="U83" s="56"/>
      <c r="V83" s="57"/>
      <c r="W83" s="53"/>
      <c r="X83" s="53"/>
      <c r="Y83" s="53"/>
      <c r="Z83" s="92">
        <f t="shared" si="4"/>
        <v>45</v>
      </c>
      <c r="AA83" s="92">
        <f t="shared" si="5"/>
        <v>70</v>
      </c>
      <c r="AB83" s="168">
        <f t="shared" si="6"/>
        <v>45</v>
      </c>
      <c r="AC83" s="169"/>
      <c r="AD83" s="168">
        <f t="shared" si="7"/>
        <v>70</v>
      </c>
      <c r="AE83" s="169"/>
      <c r="AF83" s="168">
        <f>HLOOKUP($AF$78,$AN$78:$AY$86,6,FALSE)</f>
        <v>0</v>
      </c>
      <c r="AG83" s="169"/>
      <c r="AH83" s="168">
        <f>HLOOKUP($AF$78,$BA$78:$BL$86,6,FALSE)</f>
        <v>0</v>
      </c>
      <c r="AI83" s="169"/>
      <c r="AJ83" s="91"/>
      <c r="AK83" s="91"/>
      <c r="AL83" s="91"/>
      <c r="AM83" s="6"/>
      <c r="AN83" s="168"/>
      <c r="AO83" s="169"/>
      <c r="AP83" s="168"/>
      <c r="AQ83" s="169"/>
      <c r="AR83" s="168">
        <v>45</v>
      </c>
      <c r="AS83" s="169"/>
      <c r="AT83" s="168">
        <v>35</v>
      </c>
      <c r="AU83" s="169"/>
      <c r="AV83" s="168">
        <v>29</v>
      </c>
      <c r="AW83" s="169"/>
      <c r="AX83" s="168">
        <v>25</v>
      </c>
      <c r="AY83" s="169"/>
      <c r="AZ83" s="53"/>
      <c r="BA83" s="168"/>
      <c r="BB83" s="169"/>
      <c r="BC83" s="168"/>
      <c r="BD83" s="169"/>
      <c r="BE83" s="168">
        <v>70</v>
      </c>
      <c r="BF83" s="169"/>
      <c r="BG83" s="168">
        <v>70</v>
      </c>
      <c r="BH83" s="169"/>
      <c r="BI83" s="168">
        <v>70</v>
      </c>
      <c r="BJ83" s="169"/>
      <c r="BK83" s="168">
        <v>70</v>
      </c>
      <c r="BL83" s="169"/>
      <c r="BM83" s="53"/>
      <c r="BN83" s="53"/>
      <c r="BO83" s="53"/>
      <c r="BP83" s="53"/>
      <c r="BQ83" s="53"/>
      <c r="BR83" s="53"/>
      <c r="BS83" s="53"/>
      <c r="BT83" s="53"/>
      <c r="BU83" s="53"/>
      <c r="BV83" s="53"/>
    </row>
    <row r="84" spans="1:74" s="54" customFormat="1" ht="11.25" customHeight="1">
      <c r="A84" s="53"/>
      <c r="B84" s="49"/>
      <c r="C84" s="50"/>
      <c r="D84" s="50"/>
      <c r="E84" s="50"/>
      <c r="F84" s="50"/>
      <c r="G84" s="50"/>
      <c r="H84" s="55"/>
      <c r="I84" s="56"/>
      <c r="J84" s="56"/>
      <c r="K84" s="50"/>
      <c r="L84" s="50"/>
      <c r="M84" s="50"/>
      <c r="N84" s="55"/>
      <c r="P84" s="56"/>
      <c r="Q84" s="50"/>
      <c r="R84" s="50"/>
      <c r="S84" s="50"/>
      <c r="T84" s="55"/>
      <c r="U84" s="56"/>
      <c r="V84" s="57"/>
      <c r="W84" s="53"/>
      <c r="X84" s="53"/>
      <c r="Y84" s="53"/>
      <c r="Z84" s="92">
        <f t="shared" si="4"/>
        <v>45</v>
      </c>
      <c r="AA84" s="92">
        <f t="shared" si="5"/>
        <v>70</v>
      </c>
      <c r="AB84" s="168">
        <f t="shared" si="6"/>
        <v>45</v>
      </c>
      <c r="AC84" s="169"/>
      <c r="AD84" s="168">
        <f t="shared" si="7"/>
        <v>70</v>
      </c>
      <c r="AE84" s="169"/>
      <c r="AF84" s="168">
        <f>HLOOKUP($AF$78,$AN$78:$AY$86,7,FALSE)</f>
        <v>0</v>
      </c>
      <c r="AG84" s="169"/>
      <c r="AH84" s="168">
        <f>HLOOKUP($AF$78,$BA$78:$BL$86,7,FALSE)</f>
        <v>0</v>
      </c>
      <c r="AI84" s="169"/>
      <c r="AJ84" s="91"/>
      <c r="AK84" s="91"/>
      <c r="AL84" s="91"/>
      <c r="AM84" s="6"/>
      <c r="AN84" s="168"/>
      <c r="AO84" s="169"/>
      <c r="AP84" s="168"/>
      <c r="AQ84" s="169"/>
      <c r="AR84" s="168"/>
      <c r="AS84" s="169"/>
      <c r="AT84" s="168">
        <v>45</v>
      </c>
      <c r="AU84" s="169"/>
      <c r="AV84" s="168">
        <v>37</v>
      </c>
      <c r="AW84" s="169"/>
      <c r="AX84" s="168">
        <v>32</v>
      </c>
      <c r="AY84" s="169"/>
      <c r="AZ84" s="53"/>
      <c r="BA84" s="168"/>
      <c r="BB84" s="169"/>
      <c r="BC84" s="168"/>
      <c r="BD84" s="169"/>
      <c r="BE84" s="168"/>
      <c r="BF84" s="169"/>
      <c r="BG84" s="168">
        <v>70</v>
      </c>
      <c r="BH84" s="169"/>
      <c r="BI84" s="168">
        <v>70</v>
      </c>
      <c r="BJ84" s="169"/>
      <c r="BK84" s="168">
        <v>70</v>
      </c>
      <c r="BL84" s="169"/>
      <c r="BM84" s="53"/>
      <c r="BN84" s="53"/>
      <c r="BO84" s="53"/>
      <c r="BP84" s="53"/>
      <c r="BQ84" s="53"/>
      <c r="BR84" s="53"/>
      <c r="BS84" s="53"/>
      <c r="BT84" s="53"/>
      <c r="BU84" s="53"/>
      <c r="BV84" s="53"/>
    </row>
    <row r="85" spans="1:74" s="54" customFormat="1" ht="11.25" customHeight="1" thickBot="1">
      <c r="A85" s="53"/>
      <c r="B85" s="58"/>
      <c r="C85" s="59"/>
      <c r="D85" s="59"/>
      <c r="E85" s="59"/>
      <c r="F85" s="59"/>
      <c r="G85" s="59"/>
      <c r="H85" s="60"/>
      <c r="I85" s="61"/>
      <c r="J85" s="61"/>
      <c r="K85" s="59"/>
      <c r="L85" s="59"/>
      <c r="M85" s="59"/>
      <c r="N85" s="60"/>
      <c r="O85" s="61"/>
      <c r="P85" s="61"/>
      <c r="Q85" s="59"/>
      <c r="R85" s="59"/>
      <c r="S85" s="59"/>
      <c r="T85" s="60"/>
      <c r="U85" s="61"/>
      <c r="V85" s="62"/>
      <c r="W85" s="53"/>
      <c r="X85" s="53"/>
      <c r="Y85" s="53"/>
      <c r="Z85" s="92">
        <f t="shared" si="4"/>
        <v>45</v>
      </c>
      <c r="AA85" s="92">
        <f t="shared" si="5"/>
        <v>70</v>
      </c>
      <c r="AB85" s="168">
        <f t="shared" si="6"/>
        <v>45</v>
      </c>
      <c r="AC85" s="169"/>
      <c r="AD85" s="168">
        <f t="shared" si="7"/>
        <v>70</v>
      </c>
      <c r="AE85" s="169"/>
      <c r="AF85" s="168">
        <f>HLOOKUP($AF$78,$AN$78:$AY$86,8,FALSE)</f>
        <v>0</v>
      </c>
      <c r="AG85" s="169"/>
      <c r="AH85" s="168">
        <f>HLOOKUP($AF$78,$BA$78:$BL$86,8,FALSE)</f>
        <v>0</v>
      </c>
      <c r="AI85" s="169"/>
      <c r="AJ85" s="91"/>
      <c r="AK85" s="91"/>
      <c r="AL85" s="91"/>
      <c r="AM85" s="6"/>
      <c r="AN85" s="168"/>
      <c r="AO85" s="169"/>
      <c r="AP85" s="168"/>
      <c r="AQ85" s="169"/>
      <c r="AR85" s="168"/>
      <c r="AS85" s="169"/>
      <c r="AT85" s="168"/>
      <c r="AU85" s="169"/>
      <c r="AV85" s="168">
        <v>45</v>
      </c>
      <c r="AW85" s="169"/>
      <c r="AX85" s="168">
        <v>38</v>
      </c>
      <c r="AY85" s="169"/>
      <c r="AZ85" s="53"/>
      <c r="BA85" s="168"/>
      <c r="BB85" s="169"/>
      <c r="BC85" s="168"/>
      <c r="BD85" s="169"/>
      <c r="BE85" s="168"/>
      <c r="BF85" s="169"/>
      <c r="BG85" s="168"/>
      <c r="BH85" s="169"/>
      <c r="BI85" s="168">
        <v>70</v>
      </c>
      <c r="BJ85" s="169"/>
      <c r="BK85" s="168">
        <v>70</v>
      </c>
      <c r="BL85" s="169"/>
      <c r="BM85" s="53"/>
      <c r="BN85" s="53"/>
      <c r="BO85" s="53"/>
      <c r="BP85" s="53"/>
      <c r="BQ85" s="53"/>
      <c r="BR85" s="53"/>
      <c r="BS85" s="53"/>
      <c r="BT85" s="53"/>
      <c r="BU85" s="53"/>
      <c r="BV85" s="53"/>
    </row>
    <row r="86" spans="1:74" s="54" customFormat="1" ht="11.25" customHeight="1">
      <c r="A86" s="53"/>
      <c r="B86" s="118"/>
      <c r="C86" s="218" t="s">
        <v>140</v>
      </c>
      <c r="D86" s="218"/>
      <c r="E86" s="218"/>
      <c r="F86" s="218"/>
      <c r="G86" s="219"/>
      <c r="H86" s="123" t="str">
        <f>H2</f>
        <v>โครงการ :</v>
      </c>
      <c r="I86" s="119"/>
      <c r="J86" s="119" t="str">
        <f>J2</f>
        <v>WAREHOUSE EXTENSION</v>
      </c>
      <c r="K86" s="2"/>
      <c r="L86" s="3"/>
      <c r="M86" s="4"/>
      <c r="N86" s="124"/>
      <c r="O86" s="5" t="str">
        <f>O2</f>
        <v>รายการ :</v>
      </c>
      <c r="P86" s="5"/>
      <c r="Q86" s="180" t="str">
        <f>Q2</f>
        <v>GB3A</v>
      </c>
      <c r="R86" s="180"/>
      <c r="S86" s="180"/>
      <c r="T86" s="181"/>
      <c r="U86" s="190" t="str">
        <f>U2</f>
        <v>หน้า</v>
      </c>
      <c r="V86" s="121">
        <f>V2+1</f>
        <v>2</v>
      </c>
      <c r="W86" s="53"/>
      <c r="X86" s="53"/>
      <c r="Y86" s="53"/>
      <c r="Z86" s="92">
        <f t="shared" si="4"/>
        <v>45</v>
      </c>
      <c r="AA86" s="92">
        <f t="shared" si="5"/>
        <v>70</v>
      </c>
      <c r="AB86" s="168">
        <f t="shared" si="6"/>
        <v>45</v>
      </c>
      <c r="AC86" s="169"/>
      <c r="AD86" s="168">
        <f t="shared" si="7"/>
        <v>70</v>
      </c>
      <c r="AE86" s="169"/>
      <c r="AF86" s="168">
        <f>HLOOKUP($AF$78,$AN$78:$AY$86,9,FALSE)</f>
        <v>0</v>
      </c>
      <c r="AG86" s="169"/>
      <c r="AH86" s="168">
        <f>HLOOKUP($AF$78,$BA$78:$BL$86,9,FALSE)</f>
        <v>0</v>
      </c>
      <c r="AI86" s="169"/>
      <c r="AJ86" s="91"/>
      <c r="AK86" s="91"/>
      <c r="AL86" s="91"/>
      <c r="AM86" s="6"/>
      <c r="AN86" s="168"/>
      <c r="AO86" s="169"/>
      <c r="AP86" s="168"/>
      <c r="AQ86" s="169"/>
      <c r="AR86" s="168"/>
      <c r="AS86" s="169"/>
      <c r="AT86" s="168"/>
      <c r="AU86" s="169"/>
      <c r="AV86" s="168"/>
      <c r="AW86" s="169"/>
      <c r="AX86" s="168">
        <v>45</v>
      </c>
      <c r="AY86" s="169"/>
      <c r="AZ86" s="53"/>
      <c r="BA86" s="168"/>
      <c r="BB86" s="169"/>
      <c r="BC86" s="168"/>
      <c r="BD86" s="169"/>
      <c r="BE86" s="168"/>
      <c r="BF86" s="169"/>
      <c r="BG86" s="168"/>
      <c r="BH86" s="169"/>
      <c r="BI86" s="168"/>
      <c r="BJ86" s="169"/>
      <c r="BK86" s="168">
        <v>70</v>
      </c>
      <c r="BL86" s="169"/>
      <c r="BM86" s="53"/>
      <c r="BN86" s="53"/>
      <c r="BO86" s="53"/>
      <c r="BP86" s="53"/>
      <c r="BQ86" s="53"/>
      <c r="BR86" s="53"/>
      <c r="BS86" s="53"/>
      <c r="BT86" s="53"/>
      <c r="BU86" s="53"/>
      <c r="BV86" s="53"/>
    </row>
    <row r="87" spans="2:55" ht="11.25" customHeight="1">
      <c r="B87" s="120"/>
      <c r="C87" s="220"/>
      <c r="D87" s="220"/>
      <c r="E87" s="220"/>
      <c r="F87" s="220"/>
      <c r="G87" s="221"/>
      <c r="H87" s="125" t="str">
        <f>H3</f>
        <v>เจ้าของ :</v>
      </c>
      <c r="I87" s="114"/>
      <c r="J87" s="114" t="str">
        <f>J3</f>
        <v>THAI SWEDISH ASSEMBLY CO.,LTD</v>
      </c>
      <c r="K87" s="8"/>
      <c r="L87" s="9"/>
      <c r="M87" s="10"/>
      <c r="N87" s="15"/>
      <c r="O87" s="173" t="str">
        <f>O3</f>
        <v>วิศวกรโครงสร้าง :</v>
      </c>
      <c r="P87" s="174"/>
      <c r="Q87" s="175" t="str">
        <f>Q3</f>
        <v>นาย สุธีร์     แก้วคำ  สย.9698</v>
      </c>
      <c r="R87" s="175"/>
      <c r="S87" s="175"/>
      <c r="T87" s="176"/>
      <c r="U87" s="191"/>
      <c r="V87" s="115" t="str">
        <f>V3</f>
        <v>ของ</v>
      </c>
      <c r="AF87" s="207"/>
      <c r="AG87" s="207"/>
      <c r="AH87" s="207"/>
      <c r="AI87" s="20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BA87" s="7"/>
      <c r="BB87" s="7"/>
      <c r="BC87" s="7"/>
    </row>
    <row r="88" spans="2:64" ht="11.25" customHeight="1">
      <c r="B88" s="120"/>
      <c r="C88" s="220" t="s">
        <v>141</v>
      </c>
      <c r="D88" s="220"/>
      <c r="E88" s="220"/>
      <c r="F88" s="220"/>
      <c r="G88" s="221"/>
      <c r="H88" s="125" t="str">
        <f>H4</f>
        <v>ที่ตั้ง :</v>
      </c>
      <c r="I88" s="114"/>
      <c r="J88" s="114" t="str">
        <f>J4</f>
        <v>อ.บางเสาธง จ.สมุทรปราการ</v>
      </c>
      <c r="K88" s="8"/>
      <c r="L88" s="12"/>
      <c r="M88" s="13"/>
      <c r="N88" s="15"/>
      <c r="O88" s="173" t="str">
        <f>O4</f>
        <v>วันที่:</v>
      </c>
      <c r="P88" s="174"/>
      <c r="Q88" s="177">
        <f>Q4</f>
        <v>41630.33766319444</v>
      </c>
      <c r="R88" s="177"/>
      <c r="S88" s="177"/>
      <c r="T88" s="178"/>
      <c r="U88" s="191"/>
      <c r="V88" s="122">
        <f>V86</f>
        <v>2</v>
      </c>
      <c r="AF88" s="168" t="s">
        <v>51</v>
      </c>
      <c r="AG88" s="169"/>
      <c r="AH88" s="168" t="s">
        <v>51</v>
      </c>
      <c r="AI88" s="169"/>
      <c r="AJ88" s="91"/>
      <c r="AK88" s="91"/>
      <c r="AL88" s="91"/>
      <c r="AN88" s="208" t="s">
        <v>51</v>
      </c>
      <c r="AO88" s="209"/>
      <c r="AP88" s="208" t="s">
        <v>51</v>
      </c>
      <c r="AQ88" s="209"/>
      <c r="AR88" s="208" t="s">
        <v>51</v>
      </c>
      <c r="AS88" s="209"/>
      <c r="AT88" s="208" t="s">
        <v>51</v>
      </c>
      <c r="AU88" s="209"/>
      <c r="AV88" s="208" t="s">
        <v>51</v>
      </c>
      <c r="AW88" s="209"/>
      <c r="AX88" s="208" t="s">
        <v>51</v>
      </c>
      <c r="AY88" s="209"/>
      <c r="BA88" s="168" t="s">
        <v>51</v>
      </c>
      <c r="BB88" s="169"/>
      <c r="BC88" s="168" t="s">
        <v>51</v>
      </c>
      <c r="BD88" s="169"/>
      <c r="BE88" s="168" t="s">
        <v>51</v>
      </c>
      <c r="BF88" s="169"/>
      <c r="BG88" s="168" t="s">
        <v>51</v>
      </c>
      <c r="BH88" s="169"/>
      <c r="BI88" s="168" t="s">
        <v>51</v>
      </c>
      <c r="BJ88" s="169"/>
      <c r="BK88" s="168" t="s">
        <v>51</v>
      </c>
      <c r="BL88" s="169"/>
    </row>
    <row r="89" spans="2:64" ht="11.25" customHeight="1" thickBot="1">
      <c r="B89" s="14"/>
      <c r="C89" s="222"/>
      <c r="D89" s="222"/>
      <c r="E89" s="222"/>
      <c r="F89" s="222"/>
      <c r="G89" s="223"/>
      <c r="H89" s="66"/>
      <c r="I89" s="67"/>
      <c r="J89" s="67"/>
      <c r="K89" s="67"/>
      <c r="L89" s="67"/>
      <c r="M89" s="67"/>
      <c r="N89" s="68"/>
      <c r="O89" s="67"/>
      <c r="P89" s="67"/>
      <c r="Q89" s="67"/>
      <c r="R89" s="67"/>
      <c r="S89" s="67"/>
      <c r="T89" s="67"/>
      <c r="U89" s="192"/>
      <c r="V89" s="68"/>
      <c r="AF89" s="170">
        <f>I66</f>
        <v>0</v>
      </c>
      <c r="AG89" s="172"/>
      <c r="AH89" s="172"/>
      <c r="AI89" s="169"/>
      <c r="AJ89" s="91"/>
      <c r="AK89" s="91"/>
      <c r="AL89" s="91"/>
      <c r="AN89" s="168">
        <v>2</v>
      </c>
      <c r="AO89" s="169"/>
      <c r="AP89" s="168">
        <v>3</v>
      </c>
      <c r="AQ89" s="169"/>
      <c r="AR89" s="168">
        <v>4</v>
      </c>
      <c r="AS89" s="169"/>
      <c r="AT89" s="168">
        <v>5</v>
      </c>
      <c r="AU89" s="169"/>
      <c r="AV89" s="168">
        <v>6</v>
      </c>
      <c r="AW89" s="169"/>
      <c r="AX89" s="168">
        <v>7</v>
      </c>
      <c r="AY89" s="169"/>
      <c r="BA89" s="168">
        <v>2</v>
      </c>
      <c r="BB89" s="169"/>
      <c r="BC89" s="168">
        <v>3</v>
      </c>
      <c r="BD89" s="169"/>
      <c r="BE89" s="168">
        <v>4</v>
      </c>
      <c r="BF89" s="169"/>
      <c r="BG89" s="168">
        <v>5</v>
      </c>
      <c r="BH89" s="169"/>
      <c r="BI89" s="168">
        <v>6</v>
      </c>
      <c r="BJ89" s="169"/>
      <c r="BK89" s="168">
        <v>7</v>
      </c>
      <c r="BL89" s="169"/>
    </row>
    <row r="90" spans="2:64" ht="11.25" customHeight="1" thickBot="1">
      <c r="B90" s="187" t="str">
        <f>B6</f>
        <v>ออกแบบคานยื่นคอนกรีตเสริมเหล็ก - วิธีหน่วยแรงใช้งาน</v>
      </c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9"/>
      <c r="Z90" s="92" t="s">
        <v>48</v>
      </c>
      <c r="AA90" s="92" t="s">
        <v>49</v>
      </c>
      <c r="AB90" s="168" t="s">
        <v>48</v>
      </c>
      <c r="AC90" s="169"/>
      <c r="AD90" s="168" t="s">
        <v>49</v>
      </c>
      <c r="AE90" s="169"/>
      <c r="AF90" s="168" t="s">
        <v>48</v>
      </c>
      <c r="AG90" s="169"/>
      <c r="AH90" s="168" t="s">
        <v>49</v>
      </c>
      <c r="AI90" s="169"/>
      <c r="AJ90" s="91"/>
      <c r="AK90" s="91"/>
      <c r="AL90" s="91"/>
      <c r="AN90" s="168" t="s">
        <v>48</v>
      </c>
      <c r="AO90" s="169"/>
      <c r="AP90" s="168" t="s">
        <v>48</v>
      </c>
      <c r="AQ90" s="169"/>
      <c r="AR90" s="168" t="s">
        <v>48</v>
      </c>
      <c r="AS90" s="169"/>
      <c r="AT90" s="168" t="s">
        <v>48</v>
      </c>
      <c r="AU90" s="169"/>
      <c r="AV90" s="168" t="s">
        <v>48</v>
      </c>
      <c r="AW90" s="169"/>
      <c r="AX90" s="168" t="s">
        <v>48</v>
      </c>
      <c r="AY90" s="169"/>
      <c r="BA90" s="168" t="s">
        <v>49</v>
      </c>
      <c r="BB90" s="169"/>
      <c r="BC90" s="168" t="s">
        <v>49</v>
      </c>
      <c r="BD90" s="169"/>
      <c r="BE90" s="168" t="s">
        <v>49</v>
      </c>
      <c r="BF90" s="169"/>
      <c r="BG90" s="168" t="s">
        <v>49</v>
      </c>
      <c r="BH90" s="169"/>
      <c r="BI90" s="168" t="s">
        <v>49</v>
      </c>
      <c r="BJ90" s="169"/>
      <c r="BK90" s="168" t="s">
        <v>49</v>
      </c>
      <c r="BL90" s="169"/>
    </row>
    <row r="91" spans="2:64" ht="11.25" customHeight="1">
      <c r="B91" s="8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5"/>
      <c r="Z91" s="92" t="e">
        <f>AB91</f>
        <v>#N/A</v>
      </c>
      <c r="AA91" s="92" t="e">
        <f>AD91</f>
        <v>#N/A</v>
      </c>
      <c r="AB91" s="168" t="e">
        <f>IF(AF91&gt;0,AF91,MAX($AF$91:$AG$97))</f>
        <v>#N/A</v>
      </c>
      <c r="AC91" s="169"/>
      <c r="AD91" s="168" t="e">
        <f>IF(AH91&gt;0,AH91,MAX($AH$91:$AI$97))</f>
        <v>#N/A</v>
      </c>
      <c r="AE91" s="169"/>
      <c r="AF91" s="168" t="e">
        <f>HLOOKUP($AF$89,$AN$89:$AY$97,3,FALSE)</f>
        <v>#N/A</v>
      </c>
      <c r="AG91" s="169"/>
      <c r="AH91" s="168" t="e">
        <f>HLOOKUP($AF$89,$BA$89:$BL$97,3,FALSE)</f>
        <v>#N/A</v>
      </c>
      <c r="AI91" s="169"/>
      <c r="AJ91" s="91"/>
      <c r="AK91" s="91"/>
      <c r="AL91" s="91"/>
      <c r="AN91" s="168">
        <v>5</v>
      </c>
      <c r="AO91" s="169"/>
      <c r="AP91" s="168">
        <v>5</v>
      </c>
      <c r="AQ91" s="169"/>
      <c r="AR91" s="168">
        <v>5</v>
      </c>
      <c r="AS91" s="169"/>
      <c r="AT91" s="168">
        <v>5</v>
      </c>
      <c r="AU91" s="169"/>
      <c r="AV91" s="168">
        <v>5</v>
      </c>
      <c r="AW91" s="169"/>
      <c r="AX91" s="168">
        <v>5</v>
      </c>
      <c r="AY91" s="169"/>
      <c r="BA91" s="168">
        <v>9</v>
      </c>
      <c r="BB91" s="169"/>
      <c r="BC91" s="168">
        <v>9</v>
      </c>
      <c r="BD91" s="169"/>
      <c r="BE91" s="168">
        <v>9</v>
      </c>
      <c r="BF91" s="169"/>
      <c r="BG91" s="168">
        <v>9</v>
      </c>
      <c r="BH91" s="169"/>
      <c r="BI91" s="168">
        <v>9</v>
      </c>
      <c r="BJ91" s="169"/>
      <c r="BK91" s="168">
        <v>9</v>
      </c>
      <c r="BL91" s="169"/>
    </row>
    <row r="92" spans="2:64" ht="11.25" customHeight="1">
      <c r="B92" s="87" t="s">
        <v>44</v>
      </c>
      <c r="C92" s="88" t="s">
        <v>109</v>
      </c>
      <c r="D92" s="89"/>
      <c r="E92" s="89"/>
      <c r="F92" s="89"/>
      <c r="G92" s="89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5"/>
      <c r="Z92" s="92" t="e">
        <f aca="true" t="shared" si="8" ref="Z92:Z97">AB92</f>
        <v>#N/A</v>
      </c>
      <c r="AA92" s="92" t="e">
        <f aca="true" t="shared" si="9" ref="AA92:AA97">AD92</f>
        <v>#N/A</v>
      </c>
      <c r="AB92" s="168" t="e">
        <f aca="true" t="shared" si="10" ref="AB92:AB97">IF(AF92&gt;0,AF92,MAX($AF$91:$AG$97))</f>
        <v>#N/A</v>
      </c>
      <c r="AC92" s="169"/>
      <c r="AD92" s="168" t="e">
        <f aca="true" t="shared" si="11" ref="AD92:AD97">IF(AH92&gt;0,AH92,MAX($AH$91:$AI$97))</f>
        <v>#N/A</v>
      </c>
      <c r="AE92" s="169"/>
      <c r="AF92" s="168" t="e">
        <f>HLOOKUP($AF$89,$AN$89:$AY$97,4,FALSE)</f>
        <v>#N/A</v>
      </c>
      <c r="AG92" s="169"/>
      <c r="AH92" s="168" t="e">
        <f>HLOOKUP($AF$89,$BA$89:$BL$97,4,FALSE)</f>
        <v>#N/A</v>
      </c>
      <c r="AI92" s="169"/>
      <c r="AJ92" s="91"/>
      <c r="AK92" s="91"/>
      <c r="AL92" s="91"/>
      <c r="AN92" s="168">
        <v>45</v>
      </c>
      <c r="AO92" s="169"/>
      <c r="AP92" s="168">
        <v>25</v>
      </c>
      <c r="AQ92" s="169"/>
      <c r="AR92" s="168">
        <v>18</v>
      </c>
      <c r="AS92" s="169"/>
      <c r="AT92" s="168">
        <v>15</v>
      </c>
      <c r="AU92" s="169"/>
      <c r="AV92" s="168">
        <v>13</v>
      </c>
      <c r="AW92" s="169"/>
      <c r="AX92" s="168">
        <v>12</v>
      </c>
      <c r="AY92" s="169"/>
      <c r="BA92" s="168">
        <v>9</v>
      </c>
      <c r="BB92" s="169"/>
      <c r="BC92" s="168">
        <v>9</v>
      </c>
      <c r="BD92" s="169"/>
      <c r="BE92" s="168">
        <v>9</v>
      </c>
      <c r="BF92" s="169"/>
      <c r="BG92" s="168">
        <v>9</v>
      </c>
      <c r="BH92" s="169"/>
      <c r="BI92" s="168">
        <v>9</v>
      </c>
      <c r="BJ92" s="169"/>
      <c r="BK92" s="168">
        <v>9</v>
      </c>
      <c r="BL92" s="169"/>
    </row>
    <row r="93" spans="2:64" ht="11.25" customHeight="1">
      <c r="B93" s="1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5"/>
      <c r="Z93" s="92" t="e">
        <f t="shared" si="8"/>
        <v>#N/A</v>
      </c>
      <c r="AA93" s="92" t="e">
        <f t="shared" si="9"/>
        <v>#N/A</v>
      </c>
      <c r="AB93" s="168" t="e">
        <f t="shared" si="10"/>
        <v>#N/A</v>
      </c>
      <c r="AC93" s="169"/>
      <c r="AD93" s="168" t="e">
        <f t="shared" si="11"/>
        <v>#N/A</v>
      </c>
      <c r="AE93" s="169"/>
      <c r="AF93" s="168" t="e">
        <f>HLOOKUP($AF$89,$AN$89:$AY$97,5,FALSE)</f>
        <v>#N/A</v>
      </c>
      <c r="AG93" s="169"/>
      <c r="AH93" s="168" t="e">
        <f>HLOOKUP($AF$89,$BA$89:$BL$97,5,FALSE)</f>
        <v>#N/A</v>
      </c>
      <c r="AI93" s="169"/>
      <c r="AJ93" s="91"/>
      <c r="AK93" s="91"/>
      <c r="AL93" s="91"/>
      <c r="AN93" s="168"/>
      <c r="AO93" s="169"/>
      <c r="AP93" s="168">
        <v>45</v>
      </c>
      <c r="AQ93" s="169"/>
      <c r="AR93" s="168">
        <v>32</v>
      </c>
      <c r="AS93" s="169"/>
      <c r="AT93" s="168">
        <v>25</v>
      </c>
      <c r="AU93" s="169"/>
      <c r="AV93" s="168">
        <v>21</v>
      </c>
      <c r="AW93" s="169"/>
      <c r="AX93" s="168">
        <v>18</v>
      </c>
      <c r="AY93" s="169"/>
      <c r="BA93" s="168"/>
      <c r="BB93" s="169"/>
      <c r="BC93" s="168">
        <v>9</v>
      </c>
      <c r="BD93" s="169"/>
      <c r="BE93" s="168">
        <v>9</v>
      </c>
      <c r="BF93" s="169"/>
      <c r="BG93" s="168">
        <v>9</v>
      </c>
      <c r="BH93" s="169"/>
      <c r="BI93" s="168">
        <v>9</v>
      </c>
      <c r="BJ93" s="169"/>
      <c r="BK93" s="168">
        <v>9</v>
      </c>
      <c r="BL93" s="169"/>
    </row>
    <row r="94" spans="2:64" ht="11.25" customHeight="1">
      <c r="B94" s="14"/>
      <c r="C94" s="96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8"/>
      <c r="V94" s="15"/>
      <c r="Z94" s="92" t="e">
        <f t="shared" si="8"/>
        <v>#N/A</v>
      </c>
      <c r="AA94" s="92" t="e">
        <f t="shared" si="9"/>
        <v>#N/A</v>
      </c>
      <c r="AB94" s="168" t="e">
        <f t="shared" si="10"/>
        <v>#N/A</v>
      </c>
      <c r="AC94" s="169"/>
      <c r="AD94" s="168" t="e">
        <f t="shared" si="11"/>
        <v>#N/A</v>
      </c>
      <c r="AE94" s="169"/>
      <c r="AF94" s="168" t="e">
        <f>HLOOKUP($AF$89,$AN$89:$AY$97,6,FALSE)</f>
        <v>#N/A</v>
      </c>
      <c r="AG94" s="169"/>
      <c r="AH94" s="168" t="e">
        <f>HLOOKUP($AF$89,$BA$89:$BL$97,6,FALSE)</f>
        <v>#N/A</v>
      </c>
      <c r="AI94" s="169"/>
      <c r="AJ94" s="91"/>
      <c r="AK94" s="91"/>
      <c r="AL94" s="91"/>
      <c r="AN94" s="168"/>
      <c r="AO94" s="169"/>
      <c r="AP94" s="168"/>
      <c r="AQ94" s="169"/>
      <c r="AR94" s="168">
        <v>45</v>
      </c>
      <c r="AS94" s="169"/>
      <c r="AT94" s="168">
        <v>35</v>
      </c>
      <c r="AU94" s="169"/>
      <c r="AV94" s="168">
        <v>29</v>
      </c>
      <c r="AW94" s="169"/>
      <c r="AX94" s="168">
        <v>25</v>
      </c>
      <c r="AY94" s="169"/>
      <c r="BA94" s="168"/>
      <c r="BB94" s="169"/>
      <c r="BC94" s="168"/>
      <c r="BD94" s="169"/>
      <c r="BE94" s="168">
        <v>9</v>
      </c>
      <c r="BF94" s="169"/>
      <c r="BG94" s="168">
        <v>9</v>
      </c>
      <c r="BH94" s="169"/>
      <c r="BI94" s="168">
        <v>9</v>
      </c>
      <c r="BJ94" s="169"/>
      <c r="BK94" s="168">
        <v>9</v>
      </c>
      <c r="BL94" s="169"/>
    </row>
    <row r="95" spans="2:64" ht="11.25" customHeight="1">
      <c r="B95" s="14"/>
      <c r="C95" s="94"/>
      <c r="D95" s="167">
        <f>L46</f>
        <v>0.25</v>
      </c>
      <c r="E95" s="167"/>
      <c r="F95" s="11"/>
      <c r="G95" s="11"/>
      <c r="H95" s="11"/>
      <c r="I95" s="11"/>
      <c r="J95" s="11"/>
      <c r="K95" s="11"/>
      <c r="L95" s="210">
        <f>J74/100</f>
        <v>0.33</v>
      </c>
      <c r="M95" s="210"/>
      <c r="O95" s="106"/>
      <c r="P95" s="11"/>
      <c r="Q95" s="11"/>
      <c r="R95" s="11"/>
      <c r="S95" s="11"/>
      <c r="T95" s="11"/>
      <c r="U95" s="99"/>
      <c r="V95" s="15"/>
      <c r="Z95" s="92" t="e">
        <f t="shared" si="8"/>
        <v>#N/A</v>
      </c>
      <c r="AA95" s="92" t="e">
        <f t="shared" si="9"/>
        <v>#N/A</v>
      </c>
      <c r="AB95" s="168" t="e">
        <f t="shared" si="10"/>
        <v>#N/A</v>
      </c>
      <c r="AC95" s="169"/>
      <c r="AD95" s="168" t="e">
        <f t="shared" si="11"/>
        <v>#N/A</v>
      </c>
      <c r="AE95" s="169"/>
      <c r="AF95" s="168" t="e">
        <f>HLOOKUP($AF$89,$AN$89:$AY$97,7,FALSE)</f>
        <v>#N/A</v>
      </c>
      <c r="AG95" s="169"/>
      <c r="AH95" s="168" t="e">
        <f>HLOOKUP($AF$89,$BA$89:$BL$97,7,FALSE)</f>
        <v>#N/A</v>
      </c>
      <c r="AI95" s="169"/>
      <c r="AJ95" s="91"/>
      <c r="AK95" s="91"/>
      <c r="AL95" s="91"/>
      <c r="AN95" s="168"/>
      <c r="AO95" s="169"/>
      <c r="AP95" s="168"/>
      <c r="AQ95" s="169"/>
      <c r="AR95" s="168"/>
      <c r="AS95" s="169"/>
      <c r="AT95" s="168">
        <v>45</v>
      </c>
      <c r="AU95" s="169"/>
      <c r="AV95" s="168">
        <v>37</v>
      </c>
      <c r="AW95" s="169"/>
      <c r="AX95" s="168">
        <v>32</v>
      </c>
      <c r="AY95" s="169"/>
      <c r="BA95" s="168"/>
      <c r="BB95" s="169"/>
      <c r="BC95" s="168"/>
      <c r="BD95" s="169"/>
      <c r="BE95" s="168"/>
      <c r="BF95" s="169"/>
      <c r="BG95" s="168">
        <v>9</v>
      </c>
      <c r="BH95" s="169"/>
      <c r="BI95" s="168">
        <v>9</v>
      </c>
      <c r="BJ95" s="169"/>
      <c r="BK95" s="168">
        <v>9</v>
      </c>
      <c r="BL95" s="169"/>
    </row>
    <row r="96" spans="2:64" ht="11.25" customHeight="1">
      <c r="B96" s="14"/>
      <c r="C96" s="94"/>
      <c r="D96" s="14"/>
      <c r="E96" s="15"/>
      <c r="F96" s="11"/>
      <c r="G96" s="11"/>
      <c r="H96" s="11"/>
      <c r="I96" s="11"/>
      <c r="J96" s="11"/>
      <c r="K96" s="11"/>
      <c r="M96" s="11"/>
      <c r="R96" s="11"/>
      <c r="S96" s="11"/>
      <c r="T96" s="11"/>
      <c r="U96" s="99"/>
      <c r="V96" s="15"/>
      <c r="Z96" s="92" t="e">
        <f t="shared" si="8"/>
        <v>#N/A</v>
      </c>
      <c r="AA96" s="92" t="e">
        <f t="shared" si="9"/>
        <v>#N/A</v>
      </c>
      <c r="AB96" s="168" t="e">
        <f t="shared" si="10"/>
        <v>#N/A</v>
      </c>
      <c r="AC96" s="169"/>
      <c r="AD96" s="168" t="e">
        <f t="shared" si="11"/>
        <v>#N/A</v>
      </c>
      <c r="AE96" s="169"/>
      <c r="AF96" s="168" t="e">
        <f>HLOOKUP($AF$89,$AN$89:$AY$97,8,FALSE)</f>
        <v>#N/A</v>
      </c>
      <c r="AG96" s="169"/>
      <c r="AH96" s="168" t="e">
        <f>HLOOKUP($AF$89,$BA$89:$BL$97,8,FALSE)</f>
        <v>#N/A</v>
      </c>
      <c r="AI96" s="169"/>
      <c r="AJ96" s="91"/>
      <c r="AK96" s="91"/>
      <c r="AL96" s="91"/>
      <c r="AN96" s="168"/>
      <c r="AO96" s="169"/>
      <c r="AP96" s="168"/>
      <c r="AQ96" s="169"/>
      <c r="AR96" s="168"/>
      <c r="AS96" s="169"/>
      <c r="AT96" s="168"/>
      <c r="AU96" s="169"/>
      <c r="AV96" s="168">
        <v>45</v>
      </c>
      <c r="AW96" s="169"/>
      <c r="AX96" s="168">
        <v>38</v>
      </c>
      <c r="AY96" s="169"/>
      <c r="BA96" s="168"/>
      <c r="BB96" s="169"/>
      <c r="BC96" s="168"/>
      <c r="BD96" s="169"/>
      <c r="BE96" s="168"/>
      <c r="BF96" s="169"/>
      <c r="BG96" s="168"/>
      <c r="BH96" s="169"/>
      <c r="BI96" s="168">
        <v>9</v>
      </c>
      <c r="BJ96" s="169"/>
      <c r="BK96" s="168">
        <v>9</v>
      </c>
      <c r="BL96" s="169"/>
    </row>
    <row r="97" spans="2:64" ht="11.25" customHeight="1" thickBot="1">
      <c r="B97" s="14"/>
      <c r="C97" s="94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99"/>
      <c r="V97" s="15"/>
      <c r="Z97" s="92" t="e">
        <f t="shared" si="8"/>
        <v>#N/A</v>
      </c>
      <c r="AA97" s="92" t="e">
        <f t="shared" si="9"/>
        <v>#N/A</v>
      </c>
      <c r="AB97" s="168" t="e">
        <f t="shared" si="10"/>
        <v>#N/A</v>
      </c>
      <c r="AC97" s="169"/>
      <c r="AD97" s="168" t="e">
        <f t="shared" si="11"/>
        <v>#N/A</v>
      </c>
      <c r="AE97" s="169"/>
      <c r="AF97" s="168" t="e">
        <f>HLOOKUP($AF$89,$AN$89:$AY$97,9,FALSE)</f>
        <v>#N/A</v>
      </c>
      <c r="AG97" s="169"/>
      <c r="AH97" s="168" t="e">
        <f>HLOOKUP($AF$89,$BA$89:$BL$97,9,FALSE)</f>
        <v>#N/A</v>
      </c>
      <c r="AI97" s="169"/>
      <c r="AJ97" s="91"/>
      <c r="AK97" s="91"/>
      <c r="AL97" s="91"/>
      <c r="AN97" s="168"/>
      <c r="AO97" s="169"/>
      <c r="AP97" s="168"/>
      <c r="AQ97" s="169"/>
      <c r="AR97" s="168"/>
      <c r="AS97" s="169"/>
      <c r="AT97" s="168"/>
      <c r="AU97" s="169"/>
      <c r="AV97" s="168"/>
      <c r="AW97" s="169"/>
      <c r="AX97" s="168">
        <v>45</v>
      </c>
      <c r="AY97" s="169"/>
      <c r="BA97" s="168"/>
      <c r="BB97" s="169"/>
      <c r="BC97" s="168"/>
      <c r="BD97" s="169"/>
      <c r="BE97" s="168"/>
      <c r="BF97" s="169"/>
      <c r="BG97" s="168"/>
      <c r="BH97" s="169"/>
      <c r="BI97" s="168"/>
      <c r="BJ97" s="169"/>
      <c r="BK97" s="168">
        <v>9</v>
      </c>
      <c r="BL97" s="169"/>
    </row>
    <row r="98" spans="2:35" ht="11.25" customHeight="1" thickTop="1">
      <c r="B98" s="14"/>
      <c r="C98" s="94"/>
      <c r="D98" s="11"/>
      <c r="E98" s="11"/>
      <c r="F98" s="17" t="str">
        <f>IF(S10="SR-24",CONCATENATE(J66,"-","RB",J67," มม."),CONCATENATE(J66,"-","DB",J67," มม."))</f>
        <v>4-DB16 มม.</v>
      </c>
      <c r="G98" s="11"/>
      <c r="H98" s="11"/>
      <c r="I98" s="11"/>
      <c r="J98" s="11"/>
      <c r="K98" s="11"/>
      <c r="L98" s="107"/>
      <c r="M98" s="108"/>
      <c r="N98" s="108"/>
      <c r="O98" s="108"/>
      <c r="P98" s="108"/>
      <c r="Q98" s="108"/>
      <c r="R98" s="108"/>
      <c r="S98" s="109"/>
      <c r="T98" s="11"/>
      <c r="U98" s="99"/>
      <c r="V98" s="15"/>
      <c r="AF98" s="207"/>
      <c r="AG98" s="207"/>
      <c r="AH98" s="207"/>
      <c r="AI98" s="207"/>
    </row>
    <row r="99" spans="2:64" ht="11.25" customHeight="1">
      <c r="B99" s="14"/>
      <c r="C99" s="94"/>
      <c r="D99" s="11"/>
      <c r="E99" s="11"/>
      <c r="F99" s="17" t="str">
        <f>IF(J68="","",IF(S10="SR-24",CONCATENATE(J68,"-","RB",J69," มม."),CONCATENATE(J68,"-","DB",J69," มม.")))</f>
        <v>2-DB16 มม.</v>
      </c>
      <c r="G99" s="11"/>
      <c r="H99" s="11"/>
      <c r="I99" s="11"/>
      <c r="J99" s="11"/>
      <c r="K99" s="11"/>
      <c r="L99" s="110"/>
      <c r="M99" s="11"/>
      <c r="N99" s="11"/>
      <c r="O99" s="11"/>
      <c r="P99" s="11"/>
      <c r="Q99" s="11"/>
      <c r="R99" s="11"/>
      <c r="S99" s="111"/>
      <c r="T99" s="11"/>
      <c r="U99" s="99"/>
      <c r="V99" s="15"/>
      <c r="AF99" s="168" t="s">
        <v>52</v>
      </c>
      <c r="AG99" s="169"/>
      <c r="AH99" s="168" t="s">
        <v>52</v>
      </c>
      <c r="AI99" s="169"/>
      <c r="AJ99" s="91"/>
      <c r="AK99" s="91"/>
      <c r="AL99" s="91"/>
      <c r="AN99" s="208" t="s">
        <v>52</v>
      </c>
      <c r="AO99" s="209"/>
      <c r="AP99" s="208" t="s">
        <v>52</v>
      </c>
      <c r="AQ99" s="209"/>
      <c r="AR99" s="208" t="s">
        <v>52</v>
      </c>
      <c r="AS99" s="209"/>
      <c r="AT99" s="208" t="s">
        <v>52</v>
      </c>
      <c r="AU99" s="209"/>
      <c r="AV99" s="208" t="s">
        <v>52</v>
      </c>
      <c r="AW99" s="209"/>
      <c r="AX99" s="208" t="s">
        <v>52</v>
      </c>
      <c r="AY99" s="209"/>
      <c r="BA99" s="168" t="s">
        <v>52</v>
      </c>
      <c r="BB99" s="169"/>
      <c r="BC99" s="168" t="s">
        <v>52</v>
      </c>
      <c r="BD99" s="169"/>
      <c r="BE99" s="168" t="s">
        <v>52</v>
      </c>
      <c r="BF99" s="169"/>
      <c r="BG99" s="168" t="s">
        <v>52</v>
      </c>
      <c r="BH99" s="169"/>
      <c r="BI99" s="168" t="s">
        <v>52</v>
      </c>
      <c r="BJ99" s="169"/>
      <c r="BK99" s="168" t="s">
        <v>52</v>
      </c>
      <c r="BL99" s="169"/>
    </row>
    <row r="100" spans="2:64" ht="11.25" customHeight="1">
      <c r="B100" s="14"/>
      <c r="C100" s="94"/>
      <c r="D100" s="11"/>
      <c r="E100" s="11"/>
      <c r="F100" s="17"/>
      <c r="G100" s="11"/>
      <c r="H100" s="11"/>
      <c r="I100" s="11"/>
      <c r="J100" s="11"/>
      <c r="K100" s="11"/>
      <c r="L100" s="110"/>
      <c r="M100" s="11"/>
      <c r="N100" s="11"/>
      <c r="O100" s="11"/>
      <c r="P100" s="11"/>
      <c r="Q100" s="11"/>
      <c r="R100" s="11"/>
      <c r="S100" s="111"/>
      <c r="T100" s="11"/>
      <c r="U100" s="99"/>
      <c r="V100" s="15"/>
      <c r="AF100" s="170">
        <f>I68</f>
        <v>3</v>
      </c>
      <c r="AG100" s="172"/>
      <c r="AH100" s="172"/>
      <c r="AI100" s="169"/>
      <c r="AJ100" s="91"/>
      <c r="AK100" s="91"/>
      <c r="AL100" s="91"/>
      <c r="AN100" s="168">
        <v>2</v>
      </c>
      <c r="AO100" s="169"/>
      <c r="AP100" s="168">
        <v>3</v>
      </c>
      <c r="AQ100" s="169"/>
      <c r="AR100" s="168">
        <v>4</v>
      </c>
      <c r="AS100" s="169"/>
      <c r="AT100" s="168">
        <v>5</v>
      </c>
      <c r="AU100" s="169"/>
      <c r="AV100" s="168">
        <v>6</v>
      </c>
      <c r="AW100" s="169"/>
      <c r="AX100" s="168">
        <v>7</v>
      </c>
      <c r="AY100" s="169"/>
      <c r="BA100" s="168">
        <v>2</v>
      </c>
      <c r="BB100" s="169"/>
      <c r="BC100" s="168">
        <v>3</v>
      </c>
      <c r="BD100" s="169"/>
      <c r="BE100" s="168">
        <v>4</v>
      </c>
      <c r="BF100" s="169"/>
      <c r="BG100" s="168">
        <v>5</v>
      </c>
      <c r="BH100" s="169"/>
      <c r="BI100" s="168">
        <v>6</v>
      </c>
      <c r="BJ100" s="169"/>
      <c r="BK100" s="168">
        <v>7</v>
      </c>
      <c r="BL100" s="169"/>
    </row>
    <row r="101" spans="2:64" ht="11.25" customHeight="1">
      <c r="B101" s="14"/>
      <c r="C101" s="94"/>
      <c r="D101" s="11"/>
      <c r="E101" s="11"/>
      <c r="F101" s="17"/>
      <c r="G101" s="11"/>
      <c r="H101" s="11"/>
      <c r="I101" s="11"/>
      <c r="J101" s="105"/>
      <c r="K101" s="105"/>
      <c r="L101" s="110"/>
      <c r="M101" s="11"/>
      <c r="N101" s="11"/>
      <c r="O101" s="11"/>
      <c r="P101" s="11"/>
      <c r="Q101" s="11"/>
      <c r="R101" s="11"/>
      <c r="S101" s="111"/>
      <c r="T101" s="11"/>
      <c r="U101" s="99"/>
      <c r="V101" s="15"/>
      <c r="Z101" s="92" t="s">
        <v>48</v>
      </c>
      <c r="AA101" s="92" t="s">
        <v>49</v>
      </c>
      <c r="AB101" s="168" t="s">
        <v>48</v>
      </c>
      <c r="AC101" s="169"/>
      <c r="AD101" s="168" t="s">
        <v>49</v>
      </c>
      <c r="AE101" s="169"/>
      <c r="AF101" s="168" t="s">
        <v>48</v>
      </c>
      <c r="AG101" s="169"/>
      <c r="AH101" s="168" t="s">
        <v>49</v>
      </c>
      <c r="AI101" s="169"/>
      <c r="AJ101" s="91"/>
      <c r="AK101" s="91"/>
      <c r="AL101" s="91"/>
      <c r="AN101" s="168" t="s">
        <v>48</v>
      </c>
      <c r="AO101" s="169"/>
      <c r="AP101" s="168" t="s">
        <v>48</v>
      </c>
      <c r="AQ101" s="169"/>
      <c r="AR101" s="168" t="s">
        <v>48</v>
      </c>
      <c r="AS101" s="169"/>
      <c r="AT101" s="168" t="s">
        <v>48</v>
      </c>
      <c r="AU101" s="169"/>
      <c r="AV101" s="168" t="s">
        <v>48</v>
      </c>
      <c r="AW101" s="169"/>
      <c r="AX101" s="168" t="s">
        <v>48</v>
      </c>
      <c r="AY101" s="169"/>
      <c r="BA101" s="168" t="s">
        <v>49</v>
      </c>
      <c r="BB101" s="169"/>
      <c r="BC101" s="168" t="s">
        <v>49</v>
      </c>
      <c r="BD101" s="169"/>
      <c r="BE101" s="168" t="s">
        <v>49</v>
      </c>
      <c r="BF101" s="169"/>
      <c r="BG101" s="168" t="s">
        <v>49</v>
      </c>
      <c r="BH101" s="169"/>
      <c r="BI101" s="168" t="s">
        <v>49</v>
      </c>
      <c r="BJ101" s="169"/>
      <c r="BK101" s="168" t="s">
        <v>49</v>
      </c>
      <c r="BL101" s="169"/>
    </row>
    <row r="102" spans="2:64" ht="11.25" customHeight="1" thickBot="1">
      <c r="B102" s="14"/>
      <c r="C102" s="95"/>
      <c r="D102" s="11"/>
      <c r="E102" s="11"/>
      <c r="F102" s="17"/>
      <c r="G102" s="11"/>
      <c r="H102" s="11"/>
      <c r="I102" s="11"/>
      <c r="J102" s="105"/>
      <c r="K102" s="105"/>
      <c r="L102" s="110"/>
      <c r="M102" s="11"/>
      <c r="N102" s="112"/>
      <c r="O102" s="112"/>
      <c r="P102" s="112"/>
      <c r="Q102" s="112"/>
      <c r="R102" s="112"/>
      <c r="S102" s="113"/>
      <c r="T102" s="11"/>
      <c r="U102" s="99"/>
      <c r="V102" s="15"/>
      <c r="Z102" s="92">
        <f>AB102</f>
        <v>5</v>
      </c>
      <c r="AA102" s="92">
        <f>AD102</f>
        <v>5</v>
      </c>
      <c r="AB102" s="168">
        <f>IF(AF102&gt;0,AF102,MAX($AF$102:$AG$108))</f>
        <v>5</v>
      </c>
      <c r="AC102" s="169"/>
      <c r="AD102" s="168">
        <f>IF(AH102&gt;0,AH102,MAX($AH$102:$AI$108))</f>
        <v>5</v>
      </c>
      <c r="AE102" s="169"/>
      <c r="AF102" s="168">
        <f>HLOOKUP($AF$100,$AN$100:$AY$108,3,FALSE)</f>
        <v>5</v>
      </c>
      <c r="AG102" s="169"/>
      <c r="AH102" s="168">
        <f>HLOOKUP($AF$100,$BA$100:$BL$108,3,FALSE)</f>
        <v>5</v>
      </c>
      <c r="AI102" s="169"/>
      <c r="AJ102" s="91"/>
      <c r="AK102" s="91"/>
      <c r="AL102" s="91"/>
      <c r="AN102" s="168">
        <v>5</v>
      </c>
      <c r="AO102" s="169"/>
      <c r="AP102" s="168">
        <v>5</v>
      </c>
      <c r="AQ102" s="169"/>
      <c r="AR102" s="168">
        <v>5</v>
      </c>
      <c r="AS102" s="169"/>
      <c r="AT102" s="168">
        <v>5</v>
      </c>
      <c r="AU102" s="169"/>
      <c r="AV102" s="168">
        <v>5</v>
      </c>
      <c r="AW102" s="169"/>
      <c r="AX102" s="168">
        <v>5</v>
      </c>
      <c r="AY102" s="169"/>
      <c r="BA102" s="168">
        <v>5</v>
      </c>
      <c r="BB102" s="169"/>
      <c r="BC102" s="168">
        <v>5</v>
      </c>
      <c r="BD102" s="169"/>
      <c r="BE102" s="168">
        <v>5</v>
      </c>
      <c r="BF102" s="169"/>
      <c r="BG102" s="168">
        <v>5</v>
      </c>
      <c r="BH102" s="169"/>
      <c r="BI102" s="168">
        <v>5</v>
      </c>
      <c r="BJ102" s="169"/>
      <c r="BK102" s="168">
        <v>5</v>
      </c>
      <c r="BL102" s="169"/>
    </row>
    <row r="103" spans="2:64" ht="11.25" customHeight="1" thickTop="1">
      <c r="B103" s="14"/>
      <c r="C103" s="149">
        <f>L47</f>
        <v>0.85</v>
      </c>
      <c r="D103" s="11"/>
      <c r="E103" s="11"/>
      <c r="F103" s="17" t="str">
        <f>IF(L66="","",IF(S10="SR-24",CONCATENATE(L66,"-","RB",M66," มม."),CONCATENATE(L66,"-","DB",M66," มม.")))</f>
        <v>2-DB16 มม.</v>
      </c>
      <c r="G103" s="11"/>
      <c r="H103" s="11"/>
      <c r="I103" s="11"/>
      <c r="J103" s="11"/>
      <c r="K103" s="11"/>
      <c r="L103" s="110"/>
      <c r="M103" s="111"/>
      <c r="N103" s="11"/>
      <c r="O103" s="11"/>
      <c r="P103" s="11"/>
      <c r="Q103" s="11"/>
      <c r="R103" s="11"/>
      <c r="S103" s="11"/>
      <c r="T103" s="11"/>
      <c r="U103" s="99"/>
      <c r="V103" s="15"/>
      <c r="Z103" s="92">
        <f aca="true" t="shared" si="12" ref="Z103:Z108">AB103</f>
        <v>25</v>
      </c>
      <c r="AA103" s="92">
        <f aca="true" t="shared" si="13" ref="AA103:AA108">AD103</f>
        <v>5</v>
      </c>
      <c r="AB103" s="168">
        <f aca="true" t="shared" si="14" ref="AB103:AB108">IF(AF103&gt;0,AF103,MAX($AF$102:$AG$108))</f>
        <v>25</v>
      </c>
      <c r="AC103" s="169"/>
      <c r="AD103" s="168">
        <f aca="true" t="shared" si="15" ref="AD103:AD108">IF(AH103&gt;0,AH103,MAX($AH$102:$AI$108))</f>
        <v>5</v>
      </c>
      <c r="AE103" s="169"/>
      <c r="AF103" s="168">
        <f>HLOOKUP($AF$100,$AN$100:$AY$108,4,FALSE)</f>
        <v>25</v>
      </c>
      <c r="AG103" s="169"/>
      <c r="AH103" s="168">
        <f>HLOOKUP($AF$100,$BA$100:$BL$108,4,FALSE)</f>
        <v>5</v>
      </c>
      <c r="AI103" s="169"/>
      <c r="AJ103" s="91"/>
      <c r="AK103" s="91"/>
      <c r="AL103" s="91"/>
      <c r="AN103" s="168">
        <v>45</v>
      </c>
      <c r="AO103" s="169"/>
      <c r="AP103" s="168">
        <v>25</v>
      </c>
      <c r="AQ103" s="169"/>
      <c r="AR103" s="168">
        <v>18</v>
      </c>
      <c r="AS103" s="169"/>
      <c r="AT103" s="168">
        <v>15</v>
      </c>
      <c r="AU103" s="169"/>
      <c r="AV103" s="168">
        <v>13</v>
      </c>
      <c r="AW103" s="169"/>
      <c r="AX103" s="168">
        <v>12</v>
      </c>
      <c r="AY103" s="169"/>
      <c r="BA103" s="168">
        <v>5</v>
      </c>
      <c r="BB103" s="169"/>
      <c r="BC103" s="168">
        <v>5</v>
      </c>
      <c r="BD103" s="169"/>
      <c r="BE103" s="168">
        <v>5</v>
      </c>
      <c r="BF103" s="169"/>
      <c r="BG103" s="168">
        <v>5</v>
      </c>
      <c r="BH103" s="169"/>
      <c r="BI103" s="168">
        <v>5</v>
      </c>
      <c r="BJ103" s="169"/>
      <c r="BK103" s="168">
        <v>5</v>
      </c>
      <c r="BL103" s="169"/>
    </row>
    <row r="104" spans="2:64" ht="11.25" customHeight="1">
      <c r="B104" s="14"/>
      <c r="C104" s="94"/>
      <c r="D104" s="11"/>
      <c r="E104" s="11"/>
      <c r="F104" s="17" t="str">
        <f>IF(E38&gt;0,H82,CONCATENATE(L77," ปลอก","-",N77,O77," @ ",U78,V77))</f>
        <v>1 ปลอก-6มม. @ 0.3ม.</v>
      </c>
      <c r="G104" s="11"/>
      <c r="H104" s="11"/>
      <c r="I104" s="11"/>
      <c r="J104" s="11"/>
      <c r="K104" s="11"/>
      <c r="L104" s="110"/>
      <c r="M104" s="111"/>
      <c r="N104" s="11"/>
      <c r="O104" s="11"/>
      <c r="P104" s="11"/>
      <c r="Q104" s="11"/>
      <c r="R104" s="11"/>
      <c r="S104" s="11"/>
      <c r="T104" s="11"/>
      <c r="U104" s="99"/>
      <c r="V104" s="15"/>
      <c r="Z104" s="92">
        <f t="shared" si="12"/>
        <v>45</v>
      </c>
      <c r="AA104" s="92">
        <f t="shared" si="13"/>
        <v>5</v>
      </c>
      <c r="AB104" s="168">
        <f t="shared" si="14"/>
        <v>45</v>
      </c>
      <c r="AC104" s="169"/>
      <c r="AD104" s="168">
        <f t="shared" si="15"/>
        <v>5</v>
      </c>
      <c r="AE104" s="169"/>
      <c r="AF104" s="168">
        <f>HLOOKUP($AF$100,$AN$100:$AY$108,5,FALSE)</f>
        <v>45</v>
      </c>
      <c r="AG104" s="169"/>
      <c r="AH104" s="168">
        <f>HLOOKUP($AF$100,$BA$100:$BL$108,5,FALSE)</f>
        <v>5</v>
      </c>
      <c r="AI104" s="169"/>
      <c r="AJ104" s="91"/>
      <c r="AK104" s="91"/>
      <c r="AL104" s="91"/>
      <c r="AN104" s="168"/>
      <c r="AO104" s="169"/>
      <c r="AP104" s="168">
        <v>45</v>
      </c>
      <c r="AQ104" s="169"/>
      <c r="AR104" s="168">
        <v>32</v>
      </c>
      <c r="AS104" s="169"/>
      <c r="AT104" s="168">
        <v>25</v>
      </c>
      <c r="AU104" s="169"/>
      <c r="AV104" s="168">
        <v>21</v>
      </c>
      <c r="AW104" s="169"/>
      <c r="AX104" s="168">
        <v>18</v>
      </c>
      <c r="AY104" s="169"/>
      <c r="BA104" s="168"/>
      <c r="BB104" s="169"/>
      <c r="BC104" s="168">
        <v>5</v>
      </c>
      <c r="BD104" s="169"/>
      <c r="BE104" s="168">
        <v>5</v>
      </c>
      <c r="BF104" s="169"/>
      <c r="BG104" s="168">
        <v>5</v>
      </c>
      <c r="BH104" s="169"/>
      <c r="BI104" s="168">
        <v>5</v>
      </c>
      <c r="BJ104" s="169"/>
      <c r="BK104" s="168">
        <v>5</v>
      </c>
      <c r="BL104" s="169"/>
    </row>
    <row r="105" spans="2:64" ht="11.25" customHeight="1">
      <c r="B105" s="14"/>
      <c r="C105" s="94"/>
      <c r="D105" s="11"/>
      <c r="E105" s="11"/>
      <c r="F105" s="17"/>
      <c r="G105" s="11"/>
      <c r="H105" s="11"/>
      <c r="I105" s="11"/>
      <c r="J105" s="11"/>
      <c r="K105" s="11"/>
      <c r="L105" s="110"/>
      <c r="M105" s="111"/>
      <c r="N105" s="11"/>
      <c r="O105" s="11"/>
      <c r="P105" s="11"/>
      <c r="Q105" s="11"/>
      <c r="R105" s="11"/>
      <c r="S105" s="11"/>
      <c r="T105" s="11"/>
      <c r="U105" s="99"/>
      <c r="V105" s="15"/>
      <c r="Z105" s="92">
        <f t="shared" si="12"/>
        <v>45</v>
      </c>
      <c r="AA105" s="92">
        <f t="shared" si="13"/>
        <v>5</v>
      </c>
      <c r="AB105" s="168">
        <f t="shared" si="14"/>
        <v>45</v>
      </c>
      <c r="AC105" s="169"/>
      <c r="AD105" s="168">
        <f t="shared" si="15"/>
        <v>5</v>
      </c>
      <c r="AE105" s="169"/>
      <c r="AF105" s="168">
        <f>HLOOKUP($AF$100,$AN$100:$AY$108,6,FALSE)</f>
        <v>0</v>
      </c>
      <c r="AG105" s="169"/>
      <c r="AH105" s="168">
        <f>HLOOKUP($AF$100,$BA$100:$BL$108,6,FALSE)</f>
        <v>0</v>
      </c>
      <c r="AI105" s="169"/>
      <c r="AJ105" s="91"/>
      <c r="AK105" s="91"/>
      <c r="AL105" s="91"/>
      <c r="AN105" s="168"/>
      <c r="AO105" s="169"/>
      <c r="AP105" s="168"/>
      <c r="AQ105" s="169"/>
      <c r="AR105" s="168">
        <v>45</v>
      </c>
      <c r="AS105" s="169"/>
      <c r="AT105" s="168">
        <v>35</v>
      </c>
      <c r="AU105" s="169"/>
      <c r="AV105" s="168">
        <v>29</v>
      </c>
      <c r="AW105" s="169"/>
      <c r="AX105" s="168">
        <v>25</v>
      </c>
      <c r="AY105" s="169"/>
      <c r="BA105" s="168"/>
      <c r="BB105" s="169"/>
      <c r="BC105" s="168"/>
      <c r="BD105" s="169"/>
      <c r="BE105" s="168">
        <v>5</v>
      </c>
      <c r="BF105" s="169"/>
      <c r="BG105" s="168">
        <v>5</v>
      </c>
      <c r="BH105" s="169"/>
      <c r="BI105" s="168">
        <v>5</v>
      </c>
      <c r="BJ105" s="169"/>
      <c r="BK105" s="168">
        <v>5</v>
      </c>
      <c r="BL105" s="169"/>
    </row>
    <row r="106" spans="2:64" ht="11.25" customHeight="1">
      <c r="B106" s="14"/>
      <c r="C106" s="94"/>
      <c r="D106" s="11"/>
      <c r="E106" s="11"/>
      <c r="F106" s="17"/>
      <c r="G106" s="11"/>
      <c r="H106" s="11"/>
      <c r="I106" s="11"/>
      <c r="J106" s="11"/>
      <c r="K106" s="11"/>
      <c r="L106" s="110"/>
      <c r="M106" s="111"/>
      <c r="N106" s="11"/>
      <c r="O106" s="11"/>
      <c r="P106" s="11"/>
      <c r="Q106" s="11"/>
      <c r="R106" s="11"/>
      <c r="S106" s="11"/>
      <c r="T106" s="11"/>
      <c r="U106" s="99"/>
      <c r="V106" s="15"/>
      <c r="Z106" s="92">
        <f t="shared" si="12"/>
        <v>45</v>
      </c>
      <c r="AA106" s="92">
        <f t="shared" si="13"/>
        <v>5</v>
      </c>
      <c r="AB106" s="168">
        <f t="shared" si="14"/>
        <v>45</v>
      </c>
      <c r="AC106" s="169"/>
      <c r="AD106" s="168">
        <f t="shared" si="15"/>
        <v>5</v>
      </c>
      <c r="AE106" s="169"/>
      <c r="AF106" s="168">
        <f>HLOOKUP($AF$100,$AN$100:$AY$108,7,FALSE)</f>
        <v>0</v>
      </c>
      <c r="AG106" s="169"/>
      <c r="AH106" s="168">
        <f>HLOOKUP($AF$100,$BA$100:$BL$108,7,FALSE)</f>
        <v>0</v>
      </c>
      <c r="AI106" s="169"/>
      <c r="AJ106" s="91"/>
      <c r="AK106" s="91"/>
      <c r="AL106" s="91"/>
      <c r="AN106" s="168"/>
      <c r="AO106" s="169"/>
      <c r="AP106" s="168"/>
      <c r="AQ106" s="169"/>
      <c r="AR106" s="168"/>
      <c r="AS106" s="169"/>
      <c r="AT106" s="168">
        <v>45</v>
      </c>
      <c r="AU106" s="169"/>
      <c r="AV106" s="168">
        <v>37</v>
      </c>
      <c r="AW106" s="169"/>
      <c r="AX106" s="168">
        <v>32</v>
      </c>
      <c r="AY106" s="169"/>
      <c r="BA106" s="168"/>
      <c r="BB106" s="169"/>
      <c r="BC106" s="168"/>
      <c r="BD106" s="169"/>
      <c r="BE106" s="168"/>
      <c r="BF106" s="169"/>
      <c r="BG106" s="168">
        <v>5</v>
      </c>
      <c r="BH106" s="169"/>
      <c r="BI106" s="168">
        <v>5</v>
      </c>
      <c r="BJ106" s="169"/>
      <c r="BK106" s="168">
        <v>5</v>
      </c>
      <c r="BL106" s="169"/>
    </row>
    <row r="107" spans="2:64" ht="11.25" customHeight="1">
      <c r="B107" s="14"/>
      <c r="C107" s="94"/>
      <c r="D107" s="11"/>
      <c r="E107" s="11"/>
      <c r="F107" s="17"/>
      <c r="G107" s="11"/>
      <c r="H107" s="11"/>
      <c r="I107" s="11"/>
      <c r="J107" s="11"/>
      <c r="K107" s="11"/>
      <c r="L107" s="110"/>
      <c r="M107" s="111"/>
      <c r="N107" s="11"/>
      <c r="O107" s="11"/>
      <c r="P107" s="11"/>
      <c r="Q107" s="11"/>
      <c r="R107" s="11"/>
      <c r="S107" s="11"/>
      <c r="T107" s="11"/>
      <c r="U107" s="99"/>
      <c r="V107" s="15"/>
      <c r="Z107" s="92">
        <f t="shared" si="12"/>
        <v>45</v>
      </c>
      <c r="AA107" s="92">
        <f t="shared" si="13"/>
        <v>5</v>
      </c>
      <c r="AB107" s="168">
        <f t="shared" si="14"/>
        <v>45</v>
      </c>
      <c r="AC107" s="169"/>
      <c r="AD107" s="168">
        <f t="shared" si="15"/>
        <v>5</v>
      </c>
      <c r="AE107" s="169"/>
      <c r="AF107" s="168">
        <f>HLOOKUP($AF$100,$AN$100:$AY$108,8,FALSE)</f>
        <v>0</v>
      </c>
      <c r="AG107" s="169"/>
      <c r="AH107" s="168">
        <f>HLOOKUP($AF$100,$BA$100:$BL$108,8,FALSE)</f>
        <v>0</v>
      </c>
      <c r="AI107" s="169"/>
      <c r="AJ107" s="91"/>
      <c r="AK107" s="91"/>
      <c r="AL107" s="91"/>
      <c r="AN107" s="168"/>
      <c r="AO107" s="169"/>
      <c r="AP107" s="168"/>
      <c r="AQ107" s="169"/>
      <c r="AR107" s="168"/>
      <c r="AS107" s="169"/>
      <c r="AT107" s="168"/>
      <c r="AU107" s="169"/>
      <c r="AV107" s="168">
        <v>45</v>
      </c>
      <c r="AW107" s="169"/>
      <c r="AX107" s="168">
        <v>38</v>
      </c>
      <c r="AY107" s="169"/>
      <c r="BA107" s="168"/>
      <c r="BB107" s="169"/>
      <c r="BC107" s="168"/>
      <c r="BD107" s="169"/>
      <c r="BE107" s="168"/>
      <c r="BF107" s="169"/>
      <c r="BG107" s="168"/>
      <c r="BH107" s="169"/>
      <c r="BI107" s="168">
        <v>5</v>
      </c>
      <c r="BJ107" s="169"/>
      <c r="BK107" s="168">
        <v>5</v>
      </c>
      <c r="BL107" s="169"/>
    </row>
    <row r="108" spans="2:64" ht="11.25" customHeight="1" thickBot="1">
      <c r="B108" s="14"/>
      <c r="C108" s="94"/>
      <c r="D108" s="11"/>
      <c r="E108" s="11"/>
      <c r="F108" s="17">
        <f>IF(I66="","",IF(S10="SR-24",CONCATENATE(I66,"-","RB",I67," มม."),CONCATENATE(I66,"-","DB",I67," มม.")))</f>
      </c>
      <c r="G108" s="11"/>
      <c r="H108" s="11"/>
      <c r="I108" s="11"/>
      <c r="J108" s="11"/>
      <c r="K108" s="11"/>
      <c r="L108" s="110"/>
      <c r="M108" s="111"/>
      <c r="N108" s="11"/>
      <c r="O108" s="11"/>
      <c r="P108" s="11"/>
      <c r="Q108" s="11"/>
      <c r="R108" s="11"/>
      <c r="S108" s="11"/>
      <c r="T108" s="11"/>
      <c r="U108" s="99"/>
      <c r="V108" s="15"/>
      <c r="Z108" s="92">
        <f t="shared" si="12"/>
        <v>45</v>
      </c>
      <c r="AA108" s="92">
        <f t="shared" si="13"/>
        <v>5</v>
      </c>
      <c r="AB108" s="168">
        <f t="shared" si="14"/>
        <v>45</v>
      </c>
      <c r="AC108" s="169"/>
      <c r="AD108" s="168">
        <f t="shared" si="15"/>
        <v>5</v>
      </c>
      <c r="AE108" s="169"/>
      <c r="AF108" s="168">
        <f>HLOOKUP($AF$100,$AN$100:$AY$108,9,FALSE)</f>
        <v>0</v>
      </c>
      <c r="AG108" s="169"/>
      <c r="AH108" s="168">
        <f>HLOOKUP($AF$100,$BA$100:$BL$108,9,FALSE)</f>
        <v>0</v>
      </c>
      <c r="AI108" s="169"/>
      <c r="AJ108" s="91"/>
      <c r="AK108" s="91"/>
      <c r="AL108" s="91"/>
      <c r="AN108" s="168"/>
      <c r="AO108" s="169"/>
      <c r="AP108" s="168"/>
      <c r="AQ108" s="169"/>
      <c r="AR108" s="168"/>
      <c r="AS108" s="169"/>
      <c r="AT108" s="168"/>
      <c r="AU108" s="169"/>
      <c r="AV108" s="168"/>
      <c r="AW108" s="169"/>
      <c r="AX108" s="168">
        <v>45</v>
      </c>
      <c r="AY108" s="169"/>
      <c r="BA108" s="168"/>
      <c r="BB108" s="169"/>
      <c r="BC108" s="168"/>
      <c r="BD108" s="169"/>
      <c r="BE108" s="168"/>
      <c r="BF108" s="169"/>
      <c r="BG108" s="168"/>
      <c r="BH108" s="169"/>
      <c r="BI108" s="168"/>
      <c r="BJ108" s="169"/>
      <c r="BK108" s="168">
        <v>5</v>
      </c>
      <c r="BL108" s="169"/>
    </row>
    <row r="109" spans="2:22" ht="11.25" customHeight="1">
      <c r="B109" s="14"/>
      <c r="C109" s="94"/>
      <c r="D109" s="11"/>
      <c r="E109" s="11"/>
      <c r="F109" s="17" t="str">
        <f>IF(S10="SR-24",CONCATENATE(I68,"-","RB",I69," มม."),CONCATENATE(I68,"-","DB",I69," มม."))</f>
        <v>3-DB16 มม.</v>
      </c>
      <c r="G109" s="11"/>
      <c r="H109" s="11"/>
      <c r="I109" s="11"/>
      <c r="J109" s="11"/>
      <c r="K109" s="127"/>
      <c r="L109" s="127"/>
      <c r="M109" s="127"/>
      <c r="N109" s="127"/>
      <c r="O109" s="167">
        <f>L48</f>
        <v>1.12</v>
      </c>
      <c r="P109" s="167"/>
      <c r="Q109" s="167"/>
      <c r="R109" s="11"/>
      <c r="S109" s="11"/>
      <c r="T109" s="11"/>
      <c r="U109" s="99"/>
      <c r="V109" s="15"/>
    </row>
    <row r="110" spans="2:47" ht="11.25" customHeight="1">
      <c r="B110" s="14"/>
      <c r="C110" s="94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99"/>
      <c r="V110" s="15"/>
      <c r="AF110" s="168" t="s">
        <v>52</v>
      </c>
      <c r="AG110" s="169"/>
      <c r="AH110" s="168" t="s">
        <v>52</v>
      </c>
      <c r="AI110" s="169"/>
      <c r="AN110" s="168" t="s">
        <v>53</v>
      </c>
      <c r="AO110" s="169"/>
      <c r="AP110" s="168" t="s">
        <v>53</v>
      </c>
      <c r="AQ110" s="169"/>
      <c r="AR110" s="168" t="s">
        <v>53</v>
      </c>
      <c r="AS110" s="169"/>
      <c r="AT110" s="168" t="s">
        <v>53</v>
      </c>
      <c r="AU110" s="169"/>
    </row>
    <row r="111" spans="2:47" ht="11.25" customHeight="1">
      <c r="B111" s="14"/>
      <c r="C111" s="94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99"/>
      <c r="V111" s="15"/>
      <c r="AF111" s="170">
        <f>L66</f>
        <v>2</v>
      </c>
      <c r="AG111" s="172"/>
      <c r="AH111" s="172"/>
      <c r="AI111" s="169"/>
      <c r="AN111" s="170">
        <v>2</v>
      </c>
      <c r="AO111" s="171"/>
      <c r="AP111" s="170">
        <v>4</v>
      </c>
      <c r="AQ111" s="171"/>
      <c r="AR111" s="170">
        <v>2</v>
      </c>
      <c r="AS111" s="171"/>
      <c r="AT111" s="170">
        <v>4</v>
      </c>
      <c r="AU111" s="171"/>
    </row>
    <row r="112" spans="2:47" ht="11.25" customHeight="1" thickBot="1">
      <c r="B112" s="14"/>
      <c r="C112" s="94"/>
      <c r="D112" s="166" t="s">
        <v>110</v>
      </c>
      <c r="E112" s="166"/>
      <c r="F112" s="11"/>
      <c r="G112" s="11"/>
      <c r="H112" s="11"/>
      <c r="I112" s="11"/>
      <c r="J112" s="11"/>
      <c r="K112" s="11"/>
      <c r="L112" s="11"/>
      <c r="N112" s="104"/>
      <c r="O112" s="166" t="s">
        <v>114</v>
      </c>
      <c r="P112" s="166"/>
      <c r="Q112" s="104"/>
      <c r="R112" s="11"/>
      <c r="S112" s="11"/>
      <c r="T112" s="11"/>
      <c r="U112" s="99"/>
      <c r="V112" s="15"/>
      <c r="Z112" s="93"/>
      <c r="AA112" s="93"/>
      <c r="AB112" s="168" t="s">
        <v>48</v>
      </c>
      <c r="AC112" s="169"/>
      <c r="AD112" s="168" t="s">
        <v>49</v>
      </c>
      <c r="AE112" s="169"/>
      <c r="AF112" s="168" t="s">
        <v>48</v>
      </c>
      <c r="AG112" s="169"/>
      <c r="AH112" s="168" t="s">
        <v>49</v>
      </c>
      <c r="AI112" s="169"/>
      <c r="AN112" s="168" t="s">
        <v>48</v>
      </c>
      <c r="AO112" s="169"/>
      <c r="AP112" s="168" t="s">
        <v>48</v>
      </c>
      <c r="AQ112" s="169"/>
      <c r="AR112" s="168" t="s">
        <v>49</v>
      </c>
      <c r="AS112" s="169"/>
      <c r="AT112" s="168" t="s">
        <v>49</v>
      </c>
      <c r="AU112" s="169"/>
    </row>
    <row r="113" spans="2:47" ht="11.25" customHeight="1" thickTop="1">
      <c r="B113" s="14"/>
      <c r="C113" s="94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65"/>
      <c r="P113" s="11"/>
      <c r="Q113" s="11"/>
      <c r="R113" s="11"/>
      <c r="S113" s="11"/>
      <c r="T113" s="11"/>
      <c r="U113" s="99"/>
      <c r="V113" s="15"/>
      <c r="Z113" s="92">
        <f>AB113</f>
        <v>5</v>
      </c>
      <c r="AA113" s="92">
        <f>AD113</f>
        <v>37</v>
      </c>
      <c r="AB113" s="168">
        <f>IF(AF113&gt;0,AF113,MAX($AF$113:$AG$116))</f>
        <v>5</v>
      </c>
      <c r="AC113" s="169"/>
      <c r="AD113" s="168">
        <f>IF(AH113&gt;0,AH113,MAX($AH$113:$AI$116))</f>
        <v>37</v>
      </c>
      <c r="AE113" s="169"/>
      <c r="AF113" s="168">
        <f>HLOOKUP($AF$111,$AN$111:$AQ$117,3,FALSE)</f>
        <v>5</v>
      </c>
      <c r="AG113" s="169"/>
      <c r="AH113" s="168">
        <f>HLOOKUP($AF$111,$AR$111:$AU$117,3,FALSE)</f>
        <v>37</v>
      </c>
      <c r="AI113" s="169"/>
      <c r="AN113" s="168">
        <v>5</v>
      </c>
      <c r="AO113" s="169"/>
      <c r="AP113" s="168">
        <v>5</v>
      </c>
      <c r="AQ113" s="169"/>
      <c r="AR113" s="168">
        <f>74/2</f>
        <v>37</v>
      </c>
      <c r="AS113" s="169"/>
      <c r="AT113" s="168">
        <v>25</v>
      </c>
      <c r="AU113" s="169"/>
    </row>
    <row r="114" spans="2:47" ht="11.25" customHeight="1">
      <c r="B114" s="14"/>
      <c r="C114" s="94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65"/>
      <c r="P114" s="11"/>
      <c r="Q114" s="11"/>
      <c r="R114" s="11"/>
      <c r="S114" s="11"/>
      <c r="T114" s="11"/>
      <c r="U114" s="99"/>
      <c r="V114" s="15"/>
      <c r="Z114" s="92">
        <f>AB114</f>
        <v>45</v>
      </c>
      <c r="AA114" s="92">
        <f>AD114</f>
        <v>37</v>
      </c>
      <c r="AB114" s="168">
        <f>IF(AF114&gt;0,AF114,MAX($AF$113:$AG$116))</f>
        <v>45</v>
      </c>
      <c r="AC114" s="169"/>
      <c r="AD114" s="168">
        <f>IF(AH114&gt;0,AH114,MAX($AH$113:$AI$116))</f>
        <v>37</v>
      </c>
      <c r="AE114" s="169"/>
      <c r="AF114" s="168">
        <f>HLOOKUP($AF$111,$AN$111:$AQ$117,4,FALSE)</f>
        <v>45</v>
      </c>
      <c r="AG114" s="169"/>
      <c r="AH114" s="168">
        <f>HLOOKUP($AF$111,$AR$111:$AU$117,4,FALSE)</f>
        <v>37</v>
      </c>
      <c r="AI114" s="169"/>
      <c r="AN114" s="168">
        <v>45</v>
      </c>
      <c r="AO114" s="169"/>
      <c r="AP114" s="168">
        <v>45</v>
      </c>
      <c r="AQ114" s="169"/>
      <c r="AR114" s="168">
        <f>74/2</f>
        <v>37</v>
      </c>
      <c r="AS114" s="169"/>
      <c r="AT114" s="168">
        <v>25</v>
      </c>
      <c r="AU114" s="169"/>
    </row>
    <row r="115" spans="2:47" ht="11.25" customHeight="1">
      <c r="B115" s="14"/>
      <c r="C115" s="100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2"/>
      <c r="V115" s="15"/>
      <c r="Z115" s="92">
        <f>AB115</f>
        <v>45</v>
      </c>
      <c r="AA115" s="92">
        <f>AD115</f>
        <v>37</v>
      </c>
      <c r="AB115" s="168">
        <f>IF(AF115&gt;0,AF115,MAX($AF$113:$AG$116))</f>
        <v>45</v>
      </c>
      <c r="AC115" s="169"/>
      <c r="AD115" s="168">
        <f>IF(AH115&gt;0,AH115,MAX($AH$113:$AI$116))</f>
        <v>37</v>
      </c>
      <c r="AE115" s="169"/>
      <c r="AF115" s="168">
        <f>HLOOKUP($AF$111,$AN$111:$AQ$117,5,FALSE)</f>
        <v>0</v>
      </c>
      <c r="AG115" s="169"/>
      <c r="AH115" s="168">
        <f>HLOOKUP($AF$111,$AR$111:$AU$117,5,FALSE)</f>
        <v>0</v>
      </c>
      <c r="AI115" s="169"/>
      <c r="AN115" s="168"/>
      <c r="AO115" s="172"/>
      <c r="AP115" s="168">
        <v>5</v>
      </c>
      <c r="AQ115" s="169"/>
      <c r="AR115" s="168"/>
      <c r="AS115" s="172"/>
      <c r="AT115" s="168">
        <v>50</v>
      </c>
      <c r="AU115" s="169"/>
    </row>
    <row r="116" spans="2:47" ht="11.25" customHeight="1">
      <c r="B116" s="14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103"/>
      <c r="P116" s="97"/>
      <c r="Q116" s="97"/>
      <c r="R116" s="97"/>
      <c r="S116" s="97"/>
      <c r="T116" s="97"/>
      <c r="U116" s="97"/>
      <c r="V116" s="15"/>
      <c r="Z116" s="92">
        <f>AB116</f>
        <v>45</v>
      </c>
      <c r="AA116" s="92">
        <f>AD116</f>
        <v>37</v>
      </c>
      <c r="AB116" s="168">
        <f>IF(AF116&gt;0,AF116,MAX($AF$113:$AG$116))</f>
        <v>45</v>
      </c>
      <c r="AC116" s="169"/>
      <c r="AD116" s="168">
        <f>IF(AH116&gt;0,AH116,MAX($AH$113:$AI$116))</f>
        <v>37</v>
      </c>
      <c r="AE116" s="169"/>
      <c r="AF116" s="168">
        <f>HLOOKUP($AF$111,$AN$111:$AQ$117,6,FALSE)</f>
        <v>0</v>
      </c>
      <c r="AG116" s="169"/>
      <c r="AH116" s="168">
        <f>HLOOKUP($AF$111,$AR$111:$AU$117,6,FALSE)</f>
        <v>0</v>
      </c>
      <c r="AI116" s="169"/>
      <c r="AN116" s="168"/>
      <c r="AO116" s="169"/>
      <c r="AP116" s="168">
        <v>45</v>
      </c>
      <c r="AQ116" s="169"/>
      <c r="AR116" s="168"/>
      <c r="AS116" s="169"/>
      <c r="AT116" s="168">
        <v>50</v>
      </c>
      <c r="AU116" s="169"/>
    </row>
    <row r="117" spans="2:47" ht="11.25" customHeight="1">
      <c r="B117" s="14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5"/>
      <c r="AN117" s="168"/>
      <c r="AO117" s="169"/>
      <c r="AP117" s="168"/>
      <c r="AQ117" s="169"/>
      <c r="AR117" s="168"/>
      <c r="AS117" s="169"/>
      <c r="AT117" s="168"/>
      <c r="AU117" s="169"/>
    </row>
    <row r="118" spans="2:22" ht="11.25" customHeight="1">
      <c r="B118" s="14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5"/>
    </row>
    <row r="119" spans="2:22" ht="11.25" customHeight="1">
      <c r="B119" s="14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5"/>
    </row>
    <row r="120" spans="2:22" ht="11.25" customHeight="1">
      <c r="B120" s="14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5"/>
    </row>
    <row r="121" spans="2:22" ht="11.25" customHeight="1">
      <c r="B121" s="14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5"/>
    </row>
    <row r="122" spans="2:22" ht="11.25" customHeight="1">
      <c r="B122" s="14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65"/>
      <c r="P122" s="11"/>
      <c r="Q122" s="11"/>
      <c r="R122" s="11"/>
      <c r="S122" s="11"/>
      <c r="T122" s="11"/>
      <c r="U122" s="11"/>
      <c r="V122" s="15"/>
    </row>
    <row r="123" spans="2:22" ht="11.25" customHeight="1">
      <c r="B123" s="14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5"/>
    </row>
    <row r="124" spans="2:22" ht="11.25" customHeight="1">
      <c r="B124" s="14"/>
      <c r="V124" s="15"/>
    </row>
    <row r="125" spans="2:22" ht="11.25" customHeight="1">
      <c r="B125" s="14"/>
      <c r="C125" s="64"/>
      <c r="D125" s="11"/>
      <c r="E125" s="11"/>
      <c r="F125" s="11"/>
      <c r="G125" s="18"/>
      <c r="H125" s="11"/>
      <c r="I125" s="18"/>
      <c r="J125" s="11"/>
      <c r="K125" s="11"/>
      <c r="L125" s="11"/>
      <c r="M125" s="11"/>
      <c r="N125" s="11"/>
      <c r="T125" s="11"/>
      <c r="U125" s="11"/>
      <c r="V125" s="15"/>
    </row>
    <row r="126" spans="2:22" ht="11.25" customHeight="1">
      <c r="B126" s="14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5"/>
    </row>
    <row r="127" spans="2:22" ht="11.25" customHeight="1">
      <c r="B127" s="14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5"/>
    </row>
    <row r="128" spans="2:22" ht="11.25" customHeight="1">
      <c r="B128" s="14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5"/>
    </row>
    <row r="129" spans="2:22" ht="11.25" customHeight="1">
      <c r="B129" s="14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5"/>
    </row>
    <row r="130" spans="2:22" ht="11.25" customHeight="1">
      <c r="B130" s="14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5"/>
    </row>
    <row r="131" spans="2:22" ht="11.25" customHeight="1">
      <c r="B131" s="14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5"/>
    </row>
    <row r="132" spans="2:22" ht="11.25" customHeight="1">
      <c r="B132" s="1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5"/>
    </row>
    <row r="133" spans="2:22" ht="11.25" customHeight="1">
      <c r="B133" s="1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5"/>
    </row>
    <row r="134" spans="2:22" ht="11.25" customHeight="1">
      <c r="B134" s="14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5"/>
    </row>
    <row r="135" spans="2:22" ht="11.25" customHeight="1">
      <c r="B135" s="14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5"/>
    </row>
    <row r="136" spans="2:22" ht="11.25" customHeight="1">
      <c r="B136" s="14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5"/>
    </row>
    <row r="137" spans="2:22" ht="11.25" customHeight="1">
      <c r="B137" s="1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5"/>
    </row>
    <row r="138" spans="2:22" ht="11.25" customHeight="1">
      <c r="B138" s="1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5"/>
    </row>
    <row r="139" spans="2:22" ht="11.25" customHeight="1">
      <c r="B139" s="14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5"/>
    </row>
    <row r="140" spans="2:22" ht="11.25" customHeight="1">
      <c r="B140" s="14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5"/>
    </row>
    <row r="141" spans="2:22" ht="11.25" customHeight="1">
      <c r="B141" s="14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5"/>
    </row>
    <row r="142" spans="2:22" ht="11.25" customHeight="1"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5"/>
    </row>
    <row r="143" spans="2:22" ht="11.25" customHeight="1"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5"/>
    </row>
    <row r="144" spans="2:22" ht="11.25" customHeight="1">
      <c r="B144" s="14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5"/>
    </row>
    <row r="145" spans="2:22" ht="11.25" customHeight="1"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5"/>
    </row>
    <row r="146" spans="2:22" ht="11.25" customHeight="1"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5"/>
    </row>
    <row r="147" spans="2:22" ht="11.25" customHeight="1">
      <c r="B147" s="14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5"/>
    </row>
    <row r="148" spans="2:22" ht="11.25" customHeight="1">
      <c r="B148" s="14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5"/>
    </row>
    <row r="149" spans="2:22" ht="11.25" customHeight="1">
      <c r="B149" s="14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5"/>
    </row>
    <row r="150" spans="2:22" ht="11.25" customHeight="1">
      <c r="B150" s="14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5"/>
    </row>
    <row r="151" spans="2:22" ht="11.25" customHeight="1">
      <c r="B151" s="14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5"/>
    </row>
    <row r="152" spans="2:22" ht="11.25" customHeight="1">
      <c r="B152" s="14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5"/>
    </row>
    <row r="153" spans="2:22" ht="11.25" customHeight="1">
      <c r="B153" s="14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5"/>
    </row>
    <row r="154" spans="2:22" ht="11.25" customHeight="1">
      <c r="B154" s="14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5"/>
    </row>
    <row r="155" spans="2:22" ht="11.25" customHeight="1">
      <c r="B155" s="14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5"/>
    </row>
    <row r="156" spans="2:22" ht="11.25" customHeight="1"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5"/>
    </row>
    <row r="157" spans="2:22" ht="11.25" customHeight="1"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5"/>
    </row>
    <row r="158" spans="2:22" ht="11.25" customHeight="1"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5"/>
    </row>
    <row r="159" spans="2:22" ht="11.25" customHeight="1">
      <c r="B159" s="14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5"/>
    </row>
    <row r="160" spans="2:22" ht="11.25" customHeight="1">
      <c r="B160" s="14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5"/>
    </row>
    <row r="161" spans="2:22" ht="11.25" customHeight="1">
      <c r="B161" s="14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5"/>
    </row>
    <row r="162" spans="2:22" ht="11.25" customHeight="1">
      <c r="B162" s="14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5"/>
    </row>
    <row r="163" spans="2:22" ht="11.25" customHeight="1">
      <c r="B163" s="14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5"/>
    </row>
    <row r="164" spans="2:22" ht="11.25" customHeight="1">
      <c r="B164" s="14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5"/>
    </row>
    <row r="165" spans="2:22" ht="11.25" customHeight="1">
      <c r="B165" s="14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5"/>
    </row>
    <row r="166" spans="2:22" ht="11.25" customHeight="1">
      <c r="B166" s="14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26"/>
      <c r="P166" s="126"/>
      <c r="Q166" s="126"/>
      <c r="R166" s="126"/>
      <c r="S166" s="126"/>
      <c r="T166" s="126"/>
      <c r="U166" s="11"/>
      <c r="V166" s="15"/>
    </row>
    <row r="167" spans="2:22" ht="11.25" customHeight="1">
      <c r="B167" s="14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7" t="str">
        <f>O3&amp;"  "&amp;Q3</f>
        <v>วิศวกรโครงสร้าง :  นาย สุธีร์     แก้วคำ  สย.9698</v>
      </c>
      <c r="P167" s="11"/>
      <c r="Q167" s="11"/>
      <c r="R167" s="11"/>
      <c r="S167" s="11"/>
      <c r="T167" s="11"/>
      <c r="U167" s="11"/>
      <c r="V167" s="15"/>
    </row>
    <row r="168" spans="2:22" ht="11.25" customHeight="1">
      <c r="B168" s="14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5"/>
    </row>
    <row r="169" spans="2:22" ht="11.25" customHeight="1" thickBot="1">
      <c r="B169" s="66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8"/>
    </row>
    <row r="170" spans="2:22" ht="11.25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="6" customFormat="1" ht="11.25" customHeight="1"/>
    <row r="172" s="6" customFormat="1" ht="11.25" customHeight="1"/>
    <row r="173" s="6" customFormat="1" ht="11.25" customHeight="1"/>
    <row r="174" s="6" customFormat="1" ht="11.25" customHeight="1"/>
    <row r="175" s="6" customFormat="1" ht="11.25" customHeight="1"/>
    <row r="176" s="6" customFormat="1" ht="11.25" customHeight="1"/>
    <row r="177" s="6" customFormat="1" ht="11.25" customHeight="1"/>
    <row r="178" s="6" customFormat="1" ht="11.25" customHeight="1"/>
    <row r="179" s="6" customFormat="1" ht="11.25" customHeight="1"/>
    <row r="180" s="6" customFormat="1" ht="11.25" customHeight="1"/>
    <row r="181" s="6" customFormat="1" ht="11.25" customHeight="1"/>
    <row r="182" s="6" customFormat="1" ht="11.25" customHeight="1"/>
    <row r="183" s="6" customFormat="1" ht="11.25" customHeight="1"/>
    <row r="184" s="6" customFormat="1" ht="11.25" customHeight="1"/>
    <row r="185" s="6" customFormat="1" ht="11.25" customHeight="1"/>
    <row r="186" s="6" customFormat="1" ht="11.25" customHeight="1"/>
    <row r="187" s="6" customFormat="1" ht="11.25" customHeight="1"/>
    <row r="188" s="6" customFormat="1" ht="11.25" customHeight="1"/>
    <row r="189" s="6" customFormat="1" ht="11.25" customHeight="1"/>
    <row r="190" s="6" customFormat="1" ht="11.25" customHeight="1"/>
    <row r="191" s="6" customFormat="1" ht="11.25" customHeight="1"/>
    <row r="192" s="6" customFormat="1" ht="11.25" customHeight="1"/>
    <row r="193" s="6" customFormat="1" ht="11.25" customHeight="1"/>
    <row r="194" s="6" customFormat="1" ht="11.25" customHeight="1"/>
    <row r="195" s="6" customFormat="1" ht="11.25" customHeight="1"/>
    <row r="196" s="6" customFormat="1" ht="11.25" customHeight="1"/>
    <row r="197" s="6" customFormat="1" ht="11.25" customHeight="1"/>
    <row r="198" s="6" customFormat="1" ht="11.25" customHeight="1"/>
    <row r="199" s="6" customFormat="1" ht="11.25" customHeight="1"/>
    <row r="200" s="6" customFormat="1" ht="11.25" customHeight="1"/>
    <row r="201" s="6" customFormat="1" ht="11.25" customHeight="1"/>
    <row r="202" s="6" customFormat="1" ht="11.25" customHeight="1"/>
    <row r="203" s="6" customFormat="1" ht="11.25" customHeight="1"/>
    <row r="204" s="6" customFormat="1" ht="11.25" customHeight="1"/>
    <row r="205" s="6" customFormat="1" ht="11.25" customHeight="1"/>
    <row r="206" s="6" customFormat="1" ht="11.25" customHeight="1"/>
    <row r="207" s="6" customFormat="1" ht="11.25" customHeight="1"/>
    <row r="208" s="6" customFormat="1" ht="11.25" customHeight="1"/>
    <row r="209" s="6" customFormat="1" ht="11.25" customHeight="1"/>
    <row r="210" s="6" customFormat="1" ht="11.25" customHeight="1"/>
    <row r="211" s="6" customFormat="1" ht="11.25" customHeight="1"/>
    <row r="212" s="6" customFormat="1" ht="11.25" customHeight="1"/>
    <row r="213" s="6" customFormat="1" ht="11.25" customHeight="1"/>
    <row r="214" s="6" customFormat="1" ht="11.25" customHeight="1"/>
    <row r="215" s="6" customFormat="1" ht="11.25" customHeight="1"/>
    <row r="216" s="6" customFormat="1" ht="11.25" customHeight="1"/>
    <row r="217" s="6" customFormat="1" ht="11.25" customHeight="1"/>
    <row r="218" s="6" customFormat="1" ht="11.25" customHeight="1"/>
    <row r="219" s="6" customFormat="1" ht="11.25" customHeight="1"/>
    <row r="220" s="6" customFormat="1" ht="11.25" customHeight="1"/>
    <row r="221" s="6" customFormat="1" ht="11.25" customHeight="1"/>
    <row r="222" s="6" customFormat="1" ht="11.25" customHeight="1"/>
    <row r="223" s="6" customFormat="1" ht="11.25" customHeight="1"/>
    <row r="224" s="6" customFormat="1" ht="11.25" customHeight="1"/>
    <row r="225" s="6" customFormat="1" ht="11.25" customHeight="1"/>
    <row r="226" s="6" customFormat="1" ht="11.25" customHeight="1"/>
    <row r="227" s="6" customFormat="1" ht="11.25" customHeight="1"/>
    <row r="228" s="6" customFormat="1" ht="11.25" customHeight="1"/>
    <row r="229" s="6" customFormat="1" ht="11.25" customHeight="1"/>
    <row r="230" s="6" customFormat="1" ht="11.25" customHeight="1"/>
    <row r="231" s="6" customFormat="1" ht="11.25" customHeight="1"/>
    <row r="232" s="6" customFormat="1" ht="11.25" customHeight="1"/>
    <row r="233" s="6" customFormat="1" ht="11.25" customHeight="1"/>
    <row r="234" s="6" customFormat="1" ht="11.25" customHeight="1"/>
    <row r="235" s="6" customFormat="1" ht="11.25" customHeight="1"/>
    <row r="236" s="6" customFormat="1" ht="11.25" customHeight="1"/>
    <row r="237" s="6" customFormat="1" ht="11.25" customHeight="1"/>
    <row r="238" s="6" customFormat="1" ht="11.25" customHeight="1"/>
    <row r="239" s="6" customFormat="1" ht="11.25" customHeight="1"/>
    <row r="240" s="6" customFormat="1" ht="11.25" customHeight="1"/>
    <row r="241" s="6" customFormat="1" ht="11.25" customHeight="1"/>
    <row r="242" s="6" customFormat="1" ht="11.25" customHeight="1"/>
    <row r="243" s="6" customFormat="1" ht="11.25" customHeight="1"/>
    <row r="244" s="6" customFormat="1" ht="11.25" customHeight="1"/>
    <row r="245" s="6" customFormat="1" ht="11.25" customHeight="1"/>
    <row r="246" s="6" customFormat="1" ht="11.25" customHeight="1"/>
    <row r="247" s="6" customFormat="1" ht="11.25" customHeight="1"/>
    <row r="248" s="6" customFormat="1" ht="11.25" customHeight="1"/>
    <row r="249" s="6" customFormat="1" ht="11.25" customHeight="1"/>
    <row r="250" s="6" customFormat="1" ht="11.25" customHeight="1"/>
    <row r="251" s="6" customFormat="1" ht="11.25" customHeight="1"/>
    <row r="252" s="6" customFormat="1" ht="11.25" customHeight="1"/>
    <row r="253" s="6" customFormat="1" ht="11.25" customHeight="1"/>
    <row r="254" s="6" customFormat="1" ht="11.25" customHeight="1"/>
    <row r="255" s="6" customFormat="1" ht="11.25" customHeight="1"/>
    <row r="256" s="6" customFormat="1" ht="11.25" customHeight="1"/>
    <row r="257" s="6" customFormat="1" ht="11.25" customHeight="1"/>
    <row r="258" s="6" customFormat="1" ht="11.25" customHeight="1"/>
    <row r="259" s="6" customFormat="1" ht="11.25" customHeight="1"/>
    <row r="260" s="6" customFormat="1" ht="11.25" customHeight="1"/>
    <row r="261" s="6" customFormat="1" ht="11.25" customHeight="1"/>
    <row r="262" s="6" customFormat="1" ht="11.25" customHeight="1"/>
    <row r="263" s="6" customFormat="1" ht="11.25" customHeight="1"/>
    <row r="264" s="6" customFormat="1" ht="11.25" customHeight="1"/>
    <row r="265" s="6" customFormat="1" ht="11.25" customHeight="1"/>
    <row r="266" s="6" customFormat="1" ht="11.25" customHeight="1"/>
    <row r="267" s="6" customFormat="1" ht="11.25" customHeight="1"/>
    <row r="268" s="6" customFormat="1" ht="11.25" customHeight="1"/>
    <row r="269" s="6" customFormat="1" ht="11.25" customHeight="1"/>
    <row r="270" s="6" customFormat="1" ht="11.25" customHeight="1"/>
    <row r="271" s="6" customFormat="1" ht="11.25" customHeight="1"/>
    <row r="272" s="6" customFormat="1" ht="11.25" customHeight="1"/>
    <row r="273" s="6" customFormat="1" ht="11.25" customHeight="1"/>
    <row r="274" s="6" customFormat="1" ht="11.25" customHeight="1"/>
    <row r="275" s="6" customFormat="1" ht="11.25" customHeight="1"/>
    <row r="276" s="6" customFormat="1" ht="11.25" customHeight="1"/>
    <row r="277" s="6" customFormat="1" ht="11.25" customHeight="1"/>
    <row r="278" s="6" customFormat="1" ht="11.25" customHeight="1"/>
    <row r="279" s="6" customFormat="1" ht="11.25" customHeight="1"/>
    <row r="280" s="6" customFormat="1" ht="11.25" customHeight="1"/>
    <row r="281" s="6" customFormat="1" ht="11.25" customHeight="1"/>
    <row r="282" s="6" customFormat="1" ht="11.25" customHeight="1"/>
    <row r="283" s="6" customFormat="1" ht="11.25" customHeight="1"/>
    <row r="284" s="6" customFormat="1" ht="11.25" customHeight="1"/>
    <row r="285" s="6" customFormat="1" ht="11.25" customHeight="1"/>
    <row r="286" s="6" customFormat="1" ht="11.25" customHeight="1"/>
    <row r="287" s="6" customFormat="1" ht="11.25" customHeight="1"/>
    <row r="288" s="6" customFormat="1" ht="11.25" customHeight="1"/>
    <row r="289" s="6" customFormat="1" ht="11.25" customHeight="1"/>
    <row r="290" s="6" customFormat="1" ht="11.25" customHeight="1"/>
    <row r="291" s="6" customFormat="1" ht="11.25" customHeight="1"/>
    <row r="292" s="6" customFormat="1" ht="11.25" customHeight="1"/>
    <row r="293" s="6" customFormat="1" ht="11.25" customHeight="1"/>
    <row r="294" s="6" customFormat="1" ht="11.25" customHeight="1"/>
    <row r="295" s="6" customFormat="1" ht="11.25" customHeight="1"/>
    <row r="296" s="6" customFormat="1" ht="11.25" customHeight="1"/>
    <row r="297" s="6" customFormat="1" ht="11.25" customHeight="1"/>
    <row r="298" s="6" customFormat="1" ht="11.25" customHeight="1"/>
    <row r="299" s="6" customFormat="1" ht="11.25" customHeight="1"/>
    <row r="300" s="6" customFormat="1" ht="11.25" customHeight="1"/>
    <row r="301" s="6" customFormat="1" ht="11.25" customHeight="1"/>
    <row r="302" s="6" customFormat="1" ht="11.25" customHeight="1"/>
    <row r="303" s="6" customFormat="1" ht="11.25" customHeight="1"/>
    <row r="304" s="6" customFormat="1" ht="11.25" customHeight="1"/>
    <row r="305" s="6" customFormat="1" ht="11.25" customHeight="1"/>
    <row r="306" s="6" customFormat="1" ht="11.25" customHeight="1"/>
    <row r="307" s="6" customFormat="1" ht="11.25" customHeight="1"/>
    <row r="308" s="6" customFormat="1" ht="11.25" customHeight="1"/>
    <row r="309" s="6" customFormat="1" ht="11.25" customHeight="1"/>
    <row r="310" s="6" customFormat="1" ht="11.25" customHeight="1"/>
    <row r="311" s="6" customFormat="1" ht="11.25" customHeight="1"/>
    <row r="312" s="6" customFormat="1" ht="11.25" customHeight="1"/>
    <row r="313" s="6" customFormat="1" ht="11.25" customHeight="1"/>
    <row r="314" s="6" customFormat="1" ht="11.25" customHeight="1"/>
    <row r="315" s="6" customFormat="1" ht="11.25" customHeight="1"/>
    <row r="316" s="6" customFormat="1" ht="11.25" customHeight="1"/>
    <row r="317" s="6" customFormat="1" ht="11.25" customHeight="1"/>
    <row r="318" s="6" customFormat="1" ht="11.25" customHeight="1"/>
    <row r="319" s="6" customFormat="1" ht="11.25" customHeight="1"/>
    <row r="320" s="6" customFormat="1" ht="11.25" customHeight="1"/>
    <row r="321" s="6" customFormat="1" ht="11.25" customHeight="1"/>
    <row r="322" s="6" customFormat="1" ht="11.25" customHeight="1"/>
    <row r="323" s="6" customFormat="1" ht="11.25" customHeight="1"/>
    <row r="324" s="6" customFormat="1" ht="11.25" customHeight="1"/>
    <row r="325" s="6" customFormat="1" ht="11.25" customHeight="1"/>
    <row r="326" s="6" customFormat="1" ht="11.25" customHeight="1"/>
    <row r="327" s="6" customFormat="1" ht="11.25" customHeight="1"/>
    <row r="328" s="6" customFormat="1" ht="11.25" customHeight="1"/>
    <row r="329" s="6" customFormat="1" ht="11.25" customHeight="1"/>
    <row r="330" s="6" customFormat="1" ht="11.25" customHeight="1"/>
    <row r="331" s="6" customFormat="1" ht="11.25" customHeight="1"/>
    <row r="332" s="6" customFormat="1" ht="11.25" customHeight="1"/>
    <row r="333" s="6" customFormat="1" ht="11.25" customHeight="1"/>
    <row r="334" s="6" customFormat="1" ht="11.25" customHeight="1"/>
    <row r="335" s="6" customFormat="1" ht="11.25" customHeight="1"/>
    <row r="336" s="6" customFormat="1" ht="11.25" customHeight="1"/>
    <row r="337" s="6" customFormat="1" ht="11.25" customHeight="1"/>
    <row r="338" s="6" customFormat="1" ht="11.25" customHeight="1"/>
    <row r="339" s="6" customFormat="1" ht="11.25" customHeight="1"/>
    <row r="340" s="6" customFormat="1" ht="11.25" customHeight="1"/>
    <row r="341" s="6" customFormat="1" ht="11.25" customHeight="1"/>
    <row r="342" s="6" customFormat="1" ht="11.25" customHeight="1"/>
    <row r="343" s="6" customFormat="1" ht="11.25" customHeight="1"/>
    <row r="344" s="6" customFormat="1" ht="11.25" customHeight="1"/>
    <row r="345" s="6" customFormat="1" ht="11.25" customHeight="1"/>
    <row r="346" s="6" customFormat="1" ht="11.25" customHeight="1"/>
    <row r="347" s="6" customFormat="1" ht="11.25" customHeight="1"/>
    <row r="348" s="6" customFormat="1" ht="11.25" customHeight="1"/>
    <row r="349" s="6" customFormat="1" ht="11.25" customHeight="1"/>
    <row r="350" s="6" customFormat="1" ht="11.25" customHeight="1"/>
    <row r="351" s="6" customFormat="1" ht="11.25" customHeight="1"/>
    <row r="352" s="6" customFormat="1" ht="11.25" customHeight="1"/>
    <row r="353" s="6" customFormat="1" ht="11.25" customHeight="1"/>
    <row r="354" s="6" customFormat="1" ht="11.25" customHeight="1"/>
    <row r="355" s="6" customFormat="1" ht="11.25" customHeight="1"/>
    <row r="356" s="6" customFormat="1" ht="11.25" customHeight="1"/>
    <row r="357" s="6" customFormat="1" ht="11.25" customHeight="1"/>
    <row r="358" s="6" customFormat="1" ht="11.25" customHeight="1"/>
    <row r="359" s="6" customFormat="1" ht="11.25" customHeight="1"/>
    <row r="360" s="6" customFormat="1" ht="11.25" customHeight="1"/>
    <row r="361" s="6" customFormat="1" ht="11.25" customHeight="1"/>
    <row r="362" s="6" customFormat="1" ht="11.25" customHeight="1"/>
    <row r="363" s="6" customFormat="1" ht="11.25" customHeight="1"/>
    <row r="364" s="6" customFormat="1" ht="11.25" customHeight="1"/>
    <row r="365" s="6" customFormat="1" ht="11.25" customHeight="1"/>
    <row r="366" s="6" customFormat="1" ht="11.25" customHeight="1"/>
    <row r="367" s="6" customFormat="1" ht="11.25" customHeight="1"/>
    <row r="368" s="6" customFormat="1" ht="11.25" customHeight="1"/>
    <row r="369" s="6" customFormat="1" ht="11.25" customHeight="1"/>
    <row r="370" s="6" customFormat="1" ht="11.25" customHeight="1"/>
    <row r="371" s="6" customFormat="1" ht="11.25" customHeight="1"/>
    <row r="372" s="6" customFormat="1" ht="11.25" customHeight="1"/>
    <row r="373" s="6" customFormat="1" ht="11.25" customHeight="1"/>
    <row r="374" s="6" customFormat="1" ht="11.25" customHeight="1"/>
    <row r="375" s="6" customFormat="1" ht="11.25" customHeight="1"/>
    <row r="376" s="6" customFormat="1" ht="11.25" customHeight="1"/>
    <row r="377" s="6" customFormat="1" ht="11.25" customHeight="1"/>
    <row r="378" s="6" customFormat="1" ht="11.25" customHeight="1"/>
    <row r="379" s="6" customFormat="1" ht="11.25" customHeight="1"/>
    <row r="380" s="6" customFormat="1" ht="11.25" customHeight="1"/>
    <row r="381" s="6" customFormat="1" ht="11.25" customHeight="1"/>
    <row r="382" s="6" customFormat="1" ht="11.25" customHeight="1"/>
    <row r="383" s="6" customFormat="1" ht="11.25" customHeight="1"/>
    <row r="384" s="6" customFormat="1" ht="11.25" customHeight="1"/>
    <row r="385" s="6" customFormat="1" ht="11.25" customHeight="1"/>
    <row r="386" s="6" customFormat="1" ht="11.25" customHeight="1"/>
    <row r="387" s="6" customFormat="1" ht="11.25" customHeight="1"/>
    <row r="388" s="6" customFormat="1" ht="11.25" customHeight="1"/>
    <row r="389" s="6" customFormat="1" ht="11.25" customHeight="1"/>
    <row r="390" s="6" customFormat="1" ht="11.25" customHeight="1"/>
    <row r="391" s="6" customFormat="1" ht="11.25" customHeight="1"/>
    <row r="392" s="6" customFormat="1" ht="11.25" customHeight="1"/>
    <row r="393" s="6" customFormat="1" ht="11.25" customHeight="1"/>
    <row r="394" s="6" customFormat="1" ht="11.25" customHeight="1"/>
    <row r="395" s="6" customFormat="1" ht="11.25" customHeight="1"/>
    <row r="396" s="6" customFormat="1" ht="11.25" customHeight="1"/>
    <row r="397" s="6" customFormat="1" ht="11.25" customHeight="1"/>
    <row r="398" s="6" customFormat="1" ht="11.25" customHeight="1"/>
    <row r="399" s="6" customFormat="1" ht="11.25" customHeight="1"/>
    <row r="400" s="6" customFormat="1" ht="11.25" customHeight="1"/>
    <row r="401" s="6" customFormat="1" ht="11.25" customHeight="1"/>
    <row r="402" s="6" customFormat="1" ht="11.25" customHeight="1"/>
    <row r="403" s="6" customFormat="1" ht="11.25" customHeight="1"/>
    <row r="404" s="6" customFormat="1" ht="11.25" customHeight="1"/>
    <row r="405" s="6" customFormat="1" ht="11.25" customHeight="1"/>
    <row r="406" s="6" customFormat="1" ht="11.25" customHeight="1"/>
    <row r="407" s="6" customFormat="1" ht="11.25" customHeight="1"/>
    <row r="408" s="6" customFormat="1" ht="11.25" customHeight="1"/>
    <row r="409" s="6" customFormat="1" ht="11.25" customHeight="1"/>
    <row r="410" s="6" customFormat="1" ht="11.25" customHeight="1"/>
    <row r="411" s="6" customFormat="1" ht="11.25" customHeight="1"/>
    <row r="412" s="6" customFormat="1" ht="11.25" customHeight="1"/>
    <row r="413" s="6" customFormat="1" ht="11.25" customHeight="1"/>
    <row r="414" s="6" customFormat="1" ht="11.25" customHeight="1"/>
    <row r="415" s="6" customFormat="1" ht="11.25" customHeight="1"/>
    <row r="416" s="6" customFormat="1" ht="11.25" customHeight="1"/>
    <row r="417" s="6" customFormat="1" ht="11.25" customHeight="1"/>
    <row r="418" s="6" customFormat="1" ht="11.25" customHeight="1"/>
    <row r="419" s="6" customFormat="1" ht="11.25" customHeight="1"/>
    <row r="420" s="6" customFormat="1" ht="11.25" customHeight="1"/>
    <row r="421" s="6" customFormat="1" ht="11.25" customHeight="1"/>
    <row r="422" s="6" customFormat="1" ht="11.25" customHeight="1"/>
    <row r="423" s="6" customFormat="1" ht="11.25" customHeight="1"/>
    <row r="424" s="6" customFormat="1" ht="11.25" customHeight="1"/>
    <row r="425" s="6" customFormat="1" ht="11.25" customHeight="1"/>
    <row r="426" s="6" customFormat="1" ht="11.25" customHeight="1"/>
    <row r="427" s="6" customFormat="1" ht="11.25" customHeight="1"/>
    <row r="428" s="6" customFormat="1" ht="11.25" customHeight="1"/>
    <row r="429" s="6" customFormat="1" ht="11.25" customHeight="1"/>
    <row r="430" s="6" customFormat="1" ht="11.25" customHeight="1"/>
    <row r="431" s="6" customFormat="1" ht="11.25" customHeight="1"/>
    <row r="432" s="6" customFormat="1" ht="11.25" customHeight="1"/>
    <row r="433" s="6" customFormat="1" ht="11.25" customHeight="1"/>
    <row r="434" s="6" customFormat="1" ht="11.25" customHeight="1"/>
    <row r="435" s="6" customFormat="1" ht="11.25" customHeight="1"/>
    <row r="436" s="6" customFormat="1" ht="11.25" customHeight="1"/>
    <row r="437" s="6" customFormat="1" ht="11.25" customHeight="1"/>
    <row r="438" s="6" customFormat="1" ht="11.25" customHeight="1"/>
    <row r="439" s="6" customFormat="1" ht="11.25" customHeight="1"/>
    <row r="440" s="6" customFormat="1" ht="11.25" customHeight="1"/>
    <row r="441" s="6" customFormat="1" ht="11.25" customHeight="1"/>
    <row r="442" s="6" customFormat="1" ht="11.25" customHeight="1"/>
    <row r="443" s="6" customFormat="1" ht="11.25" customHeight="1"/>
    <row r="444" s="6" customFormat="1" ht="11.25" customHeight="1"/>
    <row r="445" s="6" customFormat="1" ht="11.25" customHeight="1"/>
    <row r="446" s="6" customFormat="1" ht="11.25" customHeight="1"/>
    <row r="447" s="6" customFormat="1" ht="11.25" customHeight="1"/>
    <row r="448" s="6" customFormat="1" ht="11.25" customHeight="1"/>
    <row r="449" s="6" customFormat="1" ht="11.25" customHeight="1"/>
    <row r="450" s="6" customFormat="1" ht="11.25" customHeight="1"/>
    <row r="451" s="6" customFormat="1" ht="11.25" customHeight="1"/>
    <row r="452" s="6" customFormat="1" ht="11.25" customHeight="1"/>
    <row r="453" s="6" customFormat="1" ht="11.25" customHeight="1"/>
    <row r="454" s="6" customFormat="1" ht="11.25" customHeight="1"/>
    <row r="455" s="6" customFormat="1" ht="11.25" customHeight="1"/>
    <row r="456" s="6" customFormat="1" ht="11.25" customHeight="1"/>
    <row r="457" s="6" customFormat="1" ht="11.25" customHeight="1"/>
    <row r="458" s="6" customFormat="1" ht="11.25" customHeight="1"/>
    <row r="459" s="6" customFormat="1" ht="11.25" customHeight="1"/>
    <row r="460" s="6" customFormat="1" ht="11.25" customHeight="1"/>
    <row r="461" s="6" customFormat="1" ht="11.25" customHeight="1"/>
    <row r="462" s="6" customFormat="1" ht="11.25" customHeight="1"/>
    <row r="463" s="6" customFormat="1" ht="11.25" customHeight="1"/>
    <row r="464" s="6" customFormat="1" ht="11.25" customHeight="1"/>
    <row r="465" s="6" customFormat="1" ht="11.25" customHeight="1"/>
    <row r="466" s="6" customFormat="1" ht="11.25" customHeight="1"/>
    <row r="467" s="6" customFormat="1" ht="11.25" customHeight="1"/>
    <row r="468" s="6" customFormat="1" ht="11.25" customHeight="1"/>
    <row r="469" s="6" customFormat="1" ht="11.25" customHeight="1"/>
    <row r="470" s="6" customFormat="1" ht="11.25" customHeight="1"/>
  </sheetData>
  <sheetProtection/>
  <mergeCells count="737">
    <mergeCell ref="C4:G5"/>
    <mergeCell ref="C86:G87"/>
    <mergeCell ref="C88:G89"/>
    <mergeCell ref="J2:M2"/>
    <mergeCell ref="J4:M4"/>
    <mergeCell ref="E40:G40"/>
    <mergeCell ref="E39:G39"/>
    <mergeCell ref="E36:G36"/>
    <mergeCell ref="E37:G37"/>
    <mergeCell ref="E41:G41"/>
    <mergeCell ref="D95:E95"/>
    <mergeCell ref="O4:P4"/>
    <mergeCell ref="E38:G38"/>
    <mergeCell ref="Q2:T2"/>
    <mergeCell ref="Q4:T4"/>
    <mergeCell ref="O3:P3"/>
    <mergeCell ref="H10:I10"/>
    <mergeCell ref="B6:V6"/>
    <mergeCell ref="Q3:T3"/>
    <mergeCell ref="C2:G3"/>
    <mergeCell ref="D112:E112"/>
    <mergeCell ref="BA108:BB108"/>
    <mergeCell ref="BA105:BB105"/>
    <mergeCell ref="BA102:BB102"/>
    <mergeCell ref="BA99:BB99"/>
    <mergeCell ref="BA101:BB101"/>
    <mergeCell ref="AT108:AU108"/>
    <mergeCell ref="AV108:AW108"/>
    <mergeCell ref="AX108:AY108"/>
    <mergeCell ref="AN110:AO110"/>
    <mergeCell ref="BA97:BB97"/>
    <mergeCell ref="AN112:AO112"/>
    <mergeCell ref="AP112:AQ112"/>
    <mergeCell ref="BA95:BB95"/>
    <mergeCell ref="L95:M95"/>
    <mergeCell ref="AR112:AS112"/>
    <mergeCell ref="AH110:AI110"/>
    <mergeCell ref="BA100:BB100"/>
    <mergeCell ref="AF110:AG110"/>
    <mergeCell ref="AR108:AS108"/>
    <mergeCell ref="BE108:BF108"/>
    <mergeCell ref="BA106:BB106"/>
    <mergeCell ref="BC106:BD106"/>
    <mergeCell ref="BE106:BF106"/>
    <mergeCell ref="BA104:BB104"/>
    <mergeCell ref="BC104:BD104"/>
    <mergeCell ref="BE104:BF104"/>
    <mergeCell ref="BG108:BH108"/>
    <mergeCell ref="BI108:BJ108"/>
    <mergeCell ref="BK108:BL108"/>
    <mergeCell ref="BA107:BB107"/>
    <mergeCell ref="BC107:BD107"/>
    <mergeCell ref="BE107:BF107"/>
    <mergeCell ref="BG107:BH107"/>
    <mergeCell ref="BI107:BJ107"/>
    <mergeCell ref="BK107:BL107"/>
    <mergeCell ref="BC108:BD108"/>
    <mergeCell ref="BG106:BH106"/>
    <mergeCell ref="BI106:BJ106"/>
    <mergeCell ref="BK106:BL106"/>
    <mergeCell ref="BC105:BD105"/>
    <mergeCell ref="BE105:BF105"/>
    <mergeCell ref="BG105:BH105"/>
    <mergeCell ref="BI105:BJ105"/>
    <mergeCell ref="BK105:BL105"/>
    <mergeCell ref="BG104:BH104"/>
    <mergeCell ref="BI104:BJ104"/>
    <mergeCell ref="BK104:BL104"/>
    <mergeCell ref="BA103:BB103"/>
    <mergeCell ref="BC103:BD103"/>
    <mergeCell ref="BE103:BF103"/>
    <mergeCell ref="BG103:BH103"/>
    <mergeCell ref="BI103:BJ103"/>
    <mergeCell ref="BK103:BL103"/>
    <mergeCell ref="BC102:BD102"/>
    <mergeCell ref="BE102:BF102"/>
    <mergeCell ref="BG102:BH102"/>
    <mergeCell ref="BI102:BJ102"/>
    <mergeCell ref="BK102:BL102"/>
    <mergeCell ref="BC101:BD101"/>
    <mergeCell ref="BE101:BF101"/>
    <mergeCell ref="BG101:BH101"/>
    <mergeCell ref="BI101:BJ101"/>
    <mergeCell ref="BK101:BL101"/>
    <mergeCell ref="BC100:BD100"/>
    <mergeCell ref="BE100:BF100"/>
    <mergeCell ref="BG100:BH100"/>
    <mergeCell ref="BI100:BJ100"/>
    <mergeCell ref="BK100:BL100"/>
    <mergeCell ref="BC99:BD99"/>
    <mergeCell ref="BE99:BF99"/>
    <mergeCell ref="BG99:BH99"/>
    <mergeCell ref="BI99:BJ99"/>
    <mergeCell ref="BK99:BL99"/>
    <mergeCell ref="BC97:BD97"/>
    <mergeCell ref="BE97:BF97"/>
    <mergeCell ref="BG97:BH97"/>
    <mergeCell ref="BI97:BJ97"/>
    <mergeCell ref="BK97:BL97"/>
    <mergeCell ref="BA96:BB96"/>
    <mergeCell ref="BC96:BD96"/>
    <mergeCell ref="BE96:BF96"/>
    <mergeCell ref="BG96:BH96"/>
    <mergeCell ref="BI96:BJ96"/>
    <mergeCell ref="BK96:BL96"/>
    <mergeCell ref="BC95:BD95"/>
    <mergeCell ref="BE95:BF95"/>
    <mergeCell ref="BG95:BH95"/>
    <mergeCell ref="BI95:BJ95"/>
    <mergeCell ref="BK95:BL95"/>
    <mergeCell ref="BA94:BB94"/>
    <mergeCell ref="BC94:BD94"/>
    <mergeCell ref="BE94:BF94"/>
    <mergeCell ref="BG94:BH94"/>
    <mergeCell ref="BI94:BJ94"/>
    <mergeCell ref="BK94:BL94"/>
    <mergeCell ref="BA93:BB93"/>
    <mergeCell ref="BC93:BD93"/>
    <mergeCell ref="BE93:BF93"/>
    <mergeCell ref="BG93:BH93"/>
    <mergeCell ref="BI93:BJ93"/>
    <mergeCell ref="BK93:BL93"/>
    <mergeCell ref="BA92:BB92"/>
    <mergeCell ref="BC92:BD92"/>
    <mergeCell ref="BE92:BF92"/>
    <mergeCell ref="BG92:BH92"/>
    <mergeCell ref="BI92:BJ92"/>
    <mergeCell ref="BK92:BL92"/>
    <mergeCell ref="BA91:BB91"/>
    <mergeCell ref="BC91:BD91"/>
    <mergeCell ref="BE91:BF91"/>
    <mergeCell ref="BG91:BH91"/>
    <mergeCell ref="BI91:BJ91"/>
    <mergeCell ref="BK91:BL91"/>
    <mergeCell ref="BA90:BB90"/>
    <mergeCell ref="BC90:BD90"/>
    <mergeCell ref="BE90:BF90"/>
    <mergeCell ref="BG90:BH90"/>
    <mergeCell ref="BI90:BJ90"/>
    <mergeCell ref="BK90:BL90"/>
    <mergeCell ref="BA89:BB89"/>
    <mergeCell ref="BC89:BD89"/>
    <mergeCell ref="BE89:BF89"/>
    <mergeCell ref="BG89:BH89"/>
    <mergeCell ref="BI89:BJ89"/>
    <mergeCell ref="BK89:BL89"/>
    <mergeCell ref="BA88:BB88"/>
    <mergeCell ref="BC88:BD88"/>
    <mergeCell ref="BE88:BF88"/>
    <mergeCell ref="BG88:BH88"/>
    <mergeCell ref="BI88:BJ88"/>
    <mergeCell ref="BK88:BL88"/>
    <mergeCell ref="BA86:BB86"/>
    <mergeCell ref="BC86:BD86"/>
    <mergeCell ref="BE86:BF86"/>
    <mergeCell ref="BG86:BH86"/>
    <mergeCell ref="BI86:BJ86"/>
    <mergeCell ref="BK86:BL86"/>
    <mergeCell ref="BA85:BB85"/>
    <mergeCell ref="BC85:BD85"/>
    <mergeCell ref="BE85:BF85"/>
    <mergeCell ref="BG85:BH85"/>
    <mergeCell ref="BI85:BJ85"/>
    <mergeCell ref="BK85:BL85"/>
    <mergeCell ref="BA84:BB84"/>
    <mergeCell ref="BC84:BD84"/>
    <mergeCell ref="BE84:BF84"/>
    <mergeCell ref="BG84:BH84"/>
    <mergeCell ref="BI84:BJ84"/>
    <mergeCell ref="BK84:BL84"/>
    <mergeCell ref="BA83:BB83"/>
    <mergeCell ref="BC83:BD83"/>
    <mergeCell ref="BE83:BF83"/>
    <mergeCell ref="BG83:BH83"/>
    <mergeCell ref="BI83:BJ83"/>
    <mergeCell ref="BK83:BL83"/>
    <mergeCell ref="BA82:BB82"/>
    <mergeCell ref="BC82:BD82"/>
    <mergeCell ref="BE82:BF82"/>
    <mergeCell ref="BG82:BH82"/>
    <mergeCell ref="BI82:BJ82"/>
    <mergeCell ref="BK82:BL82"/>
    <mergeCell ref="BA81:BB81"/>
    <mergeCell ref="BC81:BD81"/>
    <mergeCell ref="BE81:BF81"/>
    <mergeCell ref="BG81:BH81"/>
    <mergeCell ref="BI81:BJ81"/>
    <mergeCell ref="BK81:BL81"/>
    <mergeCell ref="BA80:BB80"/>
    <mergeCell ref="BC80:BD80"/>
    <mergeCell ref="BE80:BF80"/>
    <mergeCell ref="BG80:BH80"/>
    <mergeCell ref="BI80:BJ80"/>
    <mergeCell ref="BK80:BL80"/>
    <mergeCell ref="BA79:BB79"/>
    <mergeCell ref="BC79:BD79"/>
    <mergeCell ref="BE79:BF79"/>
    <mergeCell ref="BG79:BH79"/>
    <mergeCell ref="BI79:BJ79"/>
    <mergeCell ref="BK79:BL79"/>
    <mergeCell ref="BA78:BB78"/>
    <mergeCell ref="BC78:BD78"/>
    <mergeCell ref="BE78:BF78"/>
    <mergeCell ref="BG78:BH78"/>
    <mergeCell ref="BI78:BJ78"/>
    <mergeCell ref="BK78:BL78"/>
    <mergeCell ref="BA77:BB77"/>
    <mergeCell ref="BC77:BD77"/>
    <mergeCell ref="BE77:BF77"/>
    <mergeCell ref="BG77:BH77"/>
    <mergeCell ref="BI77:BJ77"/>
    <mergeCell ref="BK77:BL77"/>
    <mergeCell ref="BA75:BB75"/>
    <mergeCell ref="BC75:BD75"/>
    <mergeCell ref="BE75:BF75"/>
    <mergeCell ref="BG75:BH75"/>
    <mergeCell ref="BI75:BJ75"/>
    <mergeCell ref="BK75:BL75"/>
    <mergeCell ref="BA74:BB74"/>
    <mergeCell ref="BC74:BD74"/>
    <mergeCell ref="BE74:BF74"/>
    <mergeCell ref="BG74:BH74"/>
    <mergeCell ref="BI74:BJ74"/>
    <mergeCell ref="BK74:BL74"/>
    <mergeCell ref="BA73:BB73"/>
    <mergeCell ref="BC73:BD73"/>
    <mergeCell ref="BE73:BF73"/>
    <mergeCell ref="BG73:BH73"/>
    <mergeCell ref="BI73:BJ73"/>
    <mergeCell ref="BK73:BL73"/>
    <mergeCell ref="BA72:BB72"/>
    <mergeCell ref="BC72:BD72"/>
    <mergeCell ref="BE72:BF72"/>
    <mergeCell ref="BG72:BH72"/>
    <mergeCell ref="BI72:BJ72"/>
    <mergeCell ref="BK72:BL72"/>
    <mergeCell ref="BA71:BB71"/>
    <mergeCell ref="BC71:BD71"/>
    <mergeCell ref="BE71:BF71"/>
    <mergeCell ref="BG71:BH71"/>
    <mergeCell ref="BI71:BJ71"/>
    <mergeCell ref="BK71:BL71"/>
    <mergeCell ref="BA70:BB70"/>
    <mergeCell ref="BC70:BD70"/>
    <mergeCell ref="BE70:BF70"/>
    <mergeCell ref="BG70:BH70"/>
    <mergeCell ref="BI70:BJ70"/>
    <mergeCell ref="BK70:BL70"/>
    <mergeCell ref="BI68:BJ68"/>
    <mergeCell ref="BK68:BL68"/>
    <mergeCell ref="BA69:BB69"/>
    <mergeCell ref="BC69:BD69"/>
    <mergeCell ref="BE69:BF69"/>
    <mergeCell ref="BG69:BH69"/>
    <mergeCell ref="BI69:BJ69"/>
    <mergeCell ref="BK69:BL69"/>
    <mergeCell ref="BI66:BJ66"/>
    <mergeCell ref="BK66:BL66"/>
    <mergeCell ref="BA67:BB67"/>
    <mergeCell ref="BC67:BD67"/>
    <mergeCell ref="BE67:BF67"/>
    <mergeCell ref="BG67:BH67"/>
    <mergeCell ref="BI67:BJ67"/>
    <mergeCell ref="BK67:BL67"/>
    <mergeCell ref="BA66:BB66"/>
    <mergeCell ref="BC66:BD66"/>
    <mergeCell ref="BE66:BF66"/>
    <mergeCell ref="BG66:BH66"/>
    <mergeCell ref="BA68:BB68"/>
    <mergeCell ref="BC68:BD68"/>
    <mergeCell ref="BE68:BF68"/>
    <mergeCell ref="BG68:BH68"/>
    <mergeCell ref="AN115:AO115"/>
    <mergeCell ref="AP115:AQ115"/>
    <mergeCell ref="AN116:AO116"/>
    <mergeCell ref="AP116:AQ116"/>
    <mergeCell ref="AN117:AO117"/>
    <mergeCell ref="AP117:AQ117"/>
    <mergeCell ref="AH112:AI112"/>
    <mergeCell ref="AF113:AG113"/>
    <mergeCell ref="AF112:AG112"/>
    <mergeCell ref="AH113:AI113"/>
    <mergeCell ref="AN114:AO114"/>
    <mergeCell ref="AP114:AQ114"/>
    <mergeCell ref="AP110:AQ110"/>
    <mergeCell ref="AR110:AS110"/>
    <mergeCell ref="AT110:AU110"/>
    <mergeCell ref="AR107:AS107"/>
    <mergeCell ref="AT107:AU107"/>
    <mergeCell ref="AV107:AW107"/>
    <mergeCell ref="AX107:AY107"/>
    <mergeCell ref="AB108:AC108"/>
    <mergeCell ref="AD108:AE108"/>
    <mergeCell ref="AF108:AG108"/>
    <mergeCell ref="AH108:AI108"/>
    <mergeCell ref="AN108:AO108"/>
    <mergeCell ref="AP108:AQ108"/>
    <mergeCell ref="AR106:AS106"/>
    <mergeCell ref="AT106:AU106"/>
    <mergeCell ref="AV106:AW106"/>
    <mergeCell ref="AX106:AY106"/>
    <mergeCell ref="AB107:AC107"/>
    <mergeCell ref="AD107:AE107"/>
    <mergeCell ref="AF107:AG107"/>
    <mergeCell ref="AH107:AI107"/>
    <mergeCell ref="AN107:AO107"/>
    <mergeCell ref="AP107:AQ107"/>
    <mergeCell ref="AR105:AS105"/>
    <mergeCell ref="AT105:AU105"/>
    <mergeCell ref="AV105:AW105"/>
    <mergeCell ref="AX105:AY105"/>
    <mergeCell ref="AB106:AC106"/>
    <mergeCell ref="AD106:AE106"/>
    <mergeCell ref="AF106:AG106"/>
    <mergeCell ref="AH106:AI106"/>
    <mergeCell ref="AN106:AO106"/>
    <mergeCell ref="AP106:AQ106"/>
    <mergeCell ref="AR104:AS104"/>
    <mergeCell ref="AT104:AU104"/>
    <mergeCell ref="AV104:AW104"/>
    <mergeCell ref="AX104:AY104"/>
    <mergeCell ref="AB105:AC105"/>
    <mergeCell ref="AD105:AE105"/>
    <mergeCell ref="AF105:AG105"/>
    <mergeCell ref="AH105:AI105"/>
    <mergeCell ref="AN105:AO105"/>
    <mergeCell ref="AP105:AQ105"/>
    <mergeCell ref="AR103:AS103"/>
    <mergeCell ref="AT103:AU103"/>
    <mergeCell ref="AV103:AW103"/>
    <mergeCell ref="AX103:AY103"/>
    <mergeCell ref="AB104:AC104"/>
    <mergeCell ref="AD104:AE104"/>
    <mergeCell ref="AF104:AG104"/>
    <mergeCell ref="AH104:AI104"/>
    <mergeCell ref="AN104:AO104"/>
    <mergeCell ref="AP104:AQ104"/>
    <mergeCell ref="AR102:AS102"/>
    <mergeCell ref="AT102:AU102"/>
    <mergeCell ref="AV102:AW102"/>
    <mergeCell ref="AX102:AY102"/>
    <mergeCell ref="AB103:AC103"/>
    <mergeCell ref="AD103:AE103"/>
    <mergeCell ref="AF103:AG103"/>
    <mergeCell ref="AH103:AI103"/>
    <mergeCell ref="AN103:AO103"/>
    <mergeCell ref="AP103:AQ103"/>
    <mergeCell ref="AR101:AS101"/>
    <mergeCell ref="AT101:AU101"/>
    <mergeCell ref="AV101:AW101"/>
    <mergeCell ref="AX101:AY101"/>
    <mergeCell ref="AB102:AC102"/>
    <mergeCell ref="AD102:AE102"/>
    <mergeCell ref="AF102:AG102"/>
    <mergeCell ref="AH102:AI102"/>
    <mergeCell ref="AN102:AO102"/>
    <mergeCell ref="AP102:AQ102"/>
    <mergeCell ref="AB101:AC101"/>
    <mergeCell ref="AD101:AE101"/>
    <mergeCell ref="AF101:AG101"/>
    <mergeCell ref="AH101:AI101"/>
    <mergeCell ref="AN101:AO101"/>
    <mergeCell ref="AP101:AQ101"/>
    <mergeCell ref="AV99:AW99"/>
    <mergeCell ref="AX99:AY99"/>
    <mergeCell ref="AF100:AI100"/>
    <mergeCell ref="AN100:AO100"/>
    <mergeCell ref="AP100:AQ100"/>
    <mergeCell ref="AR100:AS100"/>
    <mergeCell ref="AT100:AU100"/>
    <mergeCell ref="AV100:AW100"/>
    <mergeCell ref="AX100:AY100"/>
    <mergeCell ref="AT97:AU97"/>
    <mergeCell ref="AV97:AW97"/>
    <mergeCell ref="AX97:AY97"/>
    <mergeCell ref="AF98:AI98"/>
    <mergeCell ref="AF99:AG99"/>
    <mergeCell ref="AH99:AI99"/>
    <mergeCell ref="AN99:AO99"/>
    <mergeCell ref="AP99:AQ99"/>
    <mergeCell ref="AR99:AS99"/>
    <mergeCell ref="AT99:AU99"/>
    <mergeCell ref="AT96:AU96"/>
    <mergeCell ref="AV96:AW96"/>
    <mergeCell ref="AX96:AY96"/>
    <mergeCell ref="AB97:AC97"/>
    <mergeCell ref="AD97:AE97"/>
    <mergeCell ref="AF97:AG97"/>
    <mergeCell ref="AH97:AI97"/>
    <mergeCell ref="AN97:AO97"/>
    <mergeCell ref="AP97:AQ97"/>
    <mergeCell ref="AR97:AS97"/>
    <mergeCell ref="AT95:AU95"/>
    <mergeCell ref="AV95:AW95"/>
    <mergeCell ref="AX95:AY95"/>
    <mergeCell ref="AB96:AC96"/>
    <mergeCell ref="AD96:AE96"/>
    <mergeCell ref="AF96:AG96"/>
    <mergeCell ref="AH96:AI96"/>
    <mergeCell ref="AN96:AO96"/>
    <mergeCell ref="AP96:AQ96"/>
    <mergeCell ref="AR96:AS96"/>
    <mergeCell ref="AT94:AU94"/>
    <mergeCell ref="AV94:AW94"/>
    <mergeCell ref="AX94:AY94"/>
    <mergeCell ref="AB95:AC95"/>
    <mergeCell ref="AD95:AE95"/>
    <mergeCell ref="AF95:AG95"/>
    <mergeCell ref="AH95:AI95"/>
    <mergeCell ref="AN95:AO95"/>
    <mergeCell ref="AP95:AQ95"/>
    <mergeCell ref="AR95:AS95"/>
    <mergeCell ref="AT93:AU93"/>
    <mergeCell ref="AV93:AW93"/>
    <mergeCell ref="AX93:AY93"/>
    <mergeCell ref="AB94:AC94"/>
    <mergeCell ref="AD94:AE94"/>
    <mergeCell ref="AF94:AG94"/>
    <mergeCell ref="AH94:AI94"/>
    <mergeCell ref="AN94:AO94"/>
    <mergeCell ref="AP94:AQ94"/>
    <mergeCell ref="AR94:AS94"/>
    <mergeCell ref="AT92:AU92"/>
    <mergeCell ref="AV92:AW92"/>
    <mergeCell ref="AX92:AY92"/>
    <mergeCell ref="AB93:AC93"/>
    <mergeCell ref="AD93:AE93"/>
    <mergeCell ref="AF93:AG93"/>
    <mergeCell ref="AH93:AI93"/>
    <mergeCell ref="AN93:AO93"/>
    <mergeCell ref="AP93:AQ93"/>
    <mergeCell ref="AR93:AS93"/>
    <mergeCell ref="AT91:AU91"/>
    <mergeCell ref="AV91:AW91"/>
    <mergeCell ref="AX91:AY91"/>
    <mergeCell ref="AB92:AC92"/>
    <mergeCell ref="AD92:AE92"/>
    <mergeCell ref="AF92:AG92"/>
    <mergeCell ref="AH92:AI92"/>
    <mergeCell ref="AN92:AO92"/>
    <mergeCell ref="AP92:AQ92"/>
    <mergeCell ref="AR92:AS92"/>
    <mergeCell ref="AT90:AU90"/>
    <mergeCell ref="AV90:AW90"/>
    <mergeCell ref="AX90:AY90"/>
    <mergeCell ref="AB91:AC91"/>
    <mergeCell ref="AD91:AE91"/>
    <mergeCell ref="AF91:AG91"/>
    <mergeCell ref="AH91:AI91"/>
    <mergeCell ref="AN91:AO91"/>
    <mergeCell ref="AP91:AQ91"/>
    <mergeCell ref="AR91:AS91"/>
    <mergeCell ref="AD90:AE90"/>
    <mergeCell ref="AF90:AG90"/>
    <mergeCell ref="AH90:AI90"/>
    <mergeCell ref="AN90:AO90"/>
    <mergeCell ref="AP90:AQ90"/>
    <mergeCell ref="AR90:AS90"/>
    <mergeCell ref="AX88:AY88"/>
    <mergeCell ref="AF89:AI89"/>
    <mergeCell ref="AN89:AO89"/>
    <mergeCell ref="AP89:AQ89"/>
    <mergeCell ref="AR89:AS89"/>
    <mergeCell ref="AT89:AU89"/>
    <mergeCell ref="AV89:AW89"/>
    <mergeCell ref="AX89:AY89"/>
    <mergeCell ref="AT88:AU88"/>
    <mergeCell ref="AT86:AU86"/>
    <mergeCell ref="AV86:AW86"/>
    <mergeCell ref="AX86:AY86"/>
    <mergeCell ref="AF87:AI87"/>
    <mergeCell ref="AF88:AG88"/>
    <mergeCell ref="AH88:AI88"/>
    <mergeCell ref="AN88:AO88"/>
    <mergeCell ref="AP88:AQ88"/>
    <mergeCell ref="AR88:AS88"/>
    <mergeCell ref="AV88:AW88"/>
    <mergeCell ref="AT85:AU85"/>
    <mergeCell ref="AV85:AW85"/>
    <mergeCell ref="AX85:AY85"/>
    <mergeCell ref="AB86:AC86"/>
    <mergeCell ref="AD86:AE86"/>
    <mergeCell ref="AF86:AG86"/>
    <mergeCell ref="AH86:AI86"/>
    <mergeCell ref="AN86:AO86"/>
    <mergeCell ref="AP86:AQ86"/>
    <mergeCell ref="AR86:AS86"/>
    <mergeCell ref="AT84:AU84"/>
    <mergeCell ref="AV84:AW84"/>
    <mergeCell ref="AX84:AY84"/>
    <mergeCell ref="AB85:AC85"/>
    <mergeCell ref="AD85:AE85"/>
    <mergeCell ref="AF85:AG85"/>
    <mergeCell ref="AH85:AI85"/>
    <mergeCell ref="AN85:AO85"/>
    <mergeCell ref="AP85:AQ85"/>
    <mergeCell ref="AR85:AS85"/>
    <mergeCell ref="AT83:AU83"/>
    <mergeCell ref="AV83:AW83"/>
    <mergeCell ref="AX83:AY83"/>
    <mergeCell ref="AB84:AC84"/>
    <mergeCell ref="AD84:AE84"/>
    <mergeCell ref="AF84:AG84"/>
    <mergeCell ref="AH84:AI84"/>
    <mergeCell ref="AN84:AO84"/>
    <mergeCell ref="AP84:AQ84"/>
    <mergeCell ref="AR84:AS84"/>
    <mergeCell ref="AT82:AU82"/>
    <mergeCell ref="AV82:AW82"/>
    <mergeCell ref="AX82:AY82"/>
    <mergeCell ref="AB83:AC83"/>
    <mergeCell ref="AD83:AE83"/>
    <mergeCell ref="AF83:AG83"/>
    <mergeCell ref="AH83:AI83"/>
    <mergeCell ref="AN83:AO83"/>
    <mergeCell ref="AP83:AQ83"/>
    <mergeCell ref="AR83:AS83"/>
    <mergeCell ref="AT81:AU81"/>
    <mergeCell ref="AV81:AW81"/>
    <mergeCell ref="AX81:AY81"/>
    <mergeCell ref="AB82:AC82"/>
    <mergeCell ref="AD82:AE82"/>
    <mergeCell ref="AF82:AG82"/>
    <mergeCell ref="AH82:AI82"/>
    <mergeCell ref="AN82:AO82"/>
    <mergeCell ref="AP82:AQ82"/>
    <mergeCell ref="AR82:AS82"/>
    <mergeCell ref="AT80:AU80"/>
    <mergeCell ref="AV80:AW80"/>
    <mergeCell ref="AX80:AY80"/>
    <mergeCell ref="AB81:AC81"/>
    <mergeCell ref="AD81:AE81"/>
    <mergeCell ref="AF81:AG81"/>
    <mergeCell ref="AH81:AI81"/>
    <mergeCell ref="AN81:AO81"/>
    <mergeCell ref="AP81:AQ81"/>
    <mergeCell ref="AR81:AS81"/>
    <mergeCell ref="AT79:AU79"/>
    <mergeCell ref="AV79:AW79"/>
    <mergeCell ref="AX79:AY79"/>
    <mergeCell ref="AB80:AC80"/>
    <mergeCell ref="AD80:AE80"/>
    <mergeCell ref="AF80:AG80"/>
    <mergeCell ref="AH80:AI80"/>
    <mergeCell ref="AN80:AO80"/>
    <mergeCell ref="AP80:AQ80"/>
    <mergeCell ref="AR80:AS80"/>
    <mergeCell ref="AD79:AE79"/>
    <mergeCell ref="AF79:AG79"/>
    <mergeCell ref="AH79:AI79"/>
    <mergeCell ref="AN79:AO79"/>
    <mergeCell ref="AP79:AQ79"/>
    <mergeCell ref="AR79:AS79"/>
    <mergeCell ref="AT77:AU77"/>
    <mergeCell ref="AV77:AW77"/>
    <mergeCell ref="AX77:AY77"/>
    <mergeCell ref="AF78:AI78"/>
    <mergeCell ref="AN78:AO78"/>
    <mergeCell ref="AP78:AQ78"/>
    <mergeCell ref="AR78:AS78"/>
    <mergeCell ref="AT78:AU78"/>
    <mergeCell ref="AV78:AW78"/>
    <mergeCell ref="AX78:AY78"/>
    <mergeCell ref="AR75:AS75"/>
    <mergeCell ref="AT75:AU75"/>
    <mergeCell ref="AV75:AW75"/>
    <mergeCell ref="AX75:AY75"/>
    <mergeCell ref="AF76:AI76"/>
    <mergeCell ref="AF77:AG77"/>
    <mergeCell ref="AH77:AI77"/>
    <mergeCell ref="AN77:AO77"/>
    <mergeCell ref="AP77:AQ77"/>
    <mergeCell ref="AR77:AS77"/>
    <mergeCell ref="AR74:AS74"/>
    <mergeCell ref="AT74:AU74"/>
    <mergeCell ref="AV74:AW74"/>
    <mergeCell ref="AX74:AY74"/>
    <mergeCell ref="AB75:AC75"/>
    <mergeCell ref="AD75:AE75"/>
    <mergeCell ref="AF75:AG75"/>
    <mergeCell ref="AH75:AI75"/>
    <mergeCell ref="AN75:AO75"/>
    <mergeCell ref="AP75:AQ75"/>
    <mergeCell ref="AR73:AS73"/>
    <mergeCell ref="AT73:AU73"/>
    <mergeCell ref="AV73:AW73"/>
    <mergeCell ref="AX73:AY73"/>
    <mergeCell ref="AB74:AC74"/>
    <mergeCell ref="AD74:AE74"/>
    <mergeCell ref="AF74:AG74"/>
    <mergeCell ref="AH74:AI74"/>
    <mergeCell ref="AN74:AO74"/>
    <mergeCell ref="AP74:AQ74"/>
    <mergeCell ref="AR72:AS72"/>
    <mergeCell ref="AT72:AU72"/>
    <mergeCell ref="AV72:AW72"/>
    <mergeCell ref="AX72:AY72"/>
    <mergeCell ref="AB73:AC73"/>
    <mergeCell ref="AD73:AE73"/>
    <mergeCell ref="AF73:AG73"/>
    <mergeCell ref="AH73:AI73"/>
    <mergeCell ref="AN73:AO73"/>
    <mergeCell ref="AP73:AQ73"/>
    <mergeCell ref="AR71:AS71"/>
    <mergeCell ref="AT71:AU71"/>
    <mergeCell ref="AV71:AW71"/>
    <mergeCell ref="AX71:AY71"/>
    <mergeCell ref="AB72:AC72"/>
    <mergeCell ref="AD72:AE72"/>
    <mergeCell ref="AF72:AG72"/>
    <mergeCell ref="AH72:AI72"/>
    <mergeCell ref="AN72:AO72"/>
    <mergeCell ref="AP72:AQ72"/>
    <mergeCell ref="AB71:AC71"/>
    <mergeCell ref="AD71:AE71"/>
    <mergeCell ref="AF71:AG71"/>
    <mergeCell ref="AH71:AI71"/>
    <mergeCell ref="AN71:AO71"/>
    <mergeCell ref="AP71:AQ71"/>
    <mergeCell ref="AV69:AW69"/>
    <mergeCell ref="AX69:AY69"/>
    <mergeCell ref="AB70:AC70"/>
    <mergeCell ref="AD70:AE70"/>
    <mergeCell ref="AF70:AG70"/>
    <mergeCell ref="AH70:AI70"/>
    <mergeCell ref="AN70:AO70"/>
    <mergeCell ref="AP70:AQ70"/>
    <mergeCell ref="AV70:AW70"/>
    <mergeCell ref="AX70:AY70"/>
    <mergeCell ref="AV68:AW68"/>
    <mergeCell ref="AX68:AY68"/>
    <mergeCell ref="AB69:AC69"/>
    <mergeCell ref="AD69:AE69"/>
    <mergeCell ref="AF69:AG69"/>
    <mergeCell ref="AH69:AI69"/>
    <mergeCell ref="AN69:AO69"/>
    <mergeCell ref="AP69:AQ69"/>
    <mergeCell ref="AR69:AS69"/>
    <mergeCell ref="AT69:AU69"/>
    <mergeCell ref="AF68:AG68"/>
    <mergeCell ref="AH68:AI68"/>
    <mergeCell ref="AN68:AO68"/>
    <mergeCell ref="AP68:AQ68"/>
    <mergeCell ref="AR68:AS68"/>
    <mergeCell ref="AT68:AU68"/>
    <mergeCell ref="AV66:AW66"/>
    <mergeCell ref="AX66:AY66"/>
    <mergeCell ref="AF67:AI67"/>
    <mergeCell ref="AN67:AO67"/>
    <mergeCell ref="AP67:AQ67"/>
    <mergeCell ref="AR67:AS67"/>
    <mergeCell ref="AT67:AU67"/>
    <mergeCell ref="AV67:AW67"/>
    <mergeCell ref="AX67:AY67"/>
    <mergeCell ref="AF66:AG66"/>
    <mergeCell ref="S16:T16"/>
    <mergeCell ref="H12:I12"/>
    <mergeCell ref="H13:I13"/>
    <mergeCell ref="AT66:AU66"/>
    <mergeCell ref="N36:P36"/>
    <mergeCell ref="N37:P37"/>
    <mergeCell ref="M58:N58"/>
    <mergeCell ref="AF65:AI65"/>
    <mergeCell ref="AN66:AO66"/>
    <mergeCell ref="AP66:AQ66"/>
    <mergeCell ref="S10:T10"/>
    <mergeCell ref="J3:M3"/>
    <mergeCell ref="H16:I16"/>
    <mergeCell ref="H17:I17"/>
    <mergeCell ref="S17:T17"/>
    <mergeCell ref="AR66:AS66"/>
    <mergeCell ref="U2:U5"/>
    <mergeCell ref="S11:T11"/>
    <mergeCell ref="S12:T12"/>
    <mergeCell ref="S13:T13"/>
    <mergeCell ref="H11:I11"/>
    <mergeCell ref="N51:P51"/>
    <mergeCell ref="M59:N59"/>
    <mergeCell ref="E58:F58"/>
    <mergeCell ref="E59:F59"/>
    <mergeCell ref="E60:F60"/>
    <mergeCell ref="E61:F61"/>
    <mergeCell ref="E57:G57"/>
    <mergeCell ref="M57:O57"/>
    <mergeCell ref="H70:H71"/>
    <mergeCell ref="B90:V90"/>
    <mergeCell ref="U86:U89"/>
    <mergeCell ref="AR70:AS70"/>
    <mergeCell ref="AT70:AU70"/>
    <mergeCell ref="AB79:AC79"/>
    <mergeCell ref="E65:G65"/>
    <mergeCell ref="O88:P88"/>
    <mergeCell ref="Q86:T86"/>
    <mergeCell ref="K65:M65"/>
    <mergeCell ref="AH66:AI66"/>
    <mergeCell ref="AB68:AC68"/>
    <mergeCell ref="AD68:AE68"/>
    <mergeCell ref="AB112:AC112"/>
    <mergeCell ref="AR114:AS114"/>
    <mergeCell ref="AT114:AU114"/>
    <mergeCell ref="AD112:AE112"/>
    <mergeCell ref="AB114:AC114"/>
    <mergeCell ref="AH114:AI114"/>
    <mergeCell ref="AD113:AE113"/>
    <mergeCell ref="AN113:AO113"/>
    <mergeCell ref="AP113:AQ113"/>
    <mergeCell ref="AT113:AU113"/>
    <mergeCell ref="AR113:AS113"/>
    <mergeCell ref="AR115:AS115"/>
    <mergeCell ref="AT115:AU115"/>
    <mergeCell ref="O87:P87"/>
    <mergeCell ref="Q87:T87"/>
    <mergeCell ref="Q88:T88"/>
    <mergeCell ref="AB90:AC90"/>
    <mergeCell ref="AF111:AI111"/>
    <mergeCell ref="AB115:AC115"/>
    <mergeCell ref="AD115:AE115"/>
    <mergeCell ref="AB113:AC113"/>
    <mergeCell ref="AR116:AS116"/>
    <mergeCell ref="AT116:AU116"/>
    <mergeCell ref="AR117:AS117"/>
    <mergeCell ref="AT117:AU117"/>
    <mergeCell ref="AN111:AO111"/>
    <mergeCell ref="AP111:AQ111"/>
    <mergeCell ref="AR111:AS111"/>
    <mergeCell ref="AT111:AU111"/>
    <mergeCell ref="AT112:AU112"/>
    <mergeCell ref="O112:P112"/>
    <mergeCell ref="O109:Q109"/>
    <mergeCell ref="AH115:AI115"/>
    <mergeCell ref="AH116:AI116"/>
    <mergeCell ref="AB116:AC116"/>
    <mergeCell ref="AD116:AE116"/>
    <mergeCell ref="AD114:AE114"/>
    <mergeCell ref="AF114:AG114"/>
    <mergeCell ref="AF115:AG115"/>
    <mergeCell ref="AF116:AG116"/>
  </mergeCells>
  <conditionalFormatting sqref="M67:M68 S67:S68 G67:G68">
    <cfRule type="cellIs" priority="19" dxfId="11" operator="equal" stopIfTrue="1">
      <formula>"""Try again"""</formula>
    </cfRule>
  </conditionalFormatting>
  <conditionalFormatting sqref="O54 N51 N47">
    <cfRule type="cellIs" priority="15" dxfId="12" operator="equal" stopIfTrue="1">
      <formula>"Try again"</formula>
    </cfRule>
  </conditionalFormatting>
  <conditionalFormatting sqref="M67:M68 S67:S68 G67:G68">
    <cfRule type="cellIs" priority="12" dxfId="13" operator="equal" stopIfTrue="1">
      <formula>"Try again"</formula>
    </cfRule>
  </conditionalFormatting>
  <conditionalFormatting sqref="F80 L79 G67:G68 N51:P51 N47">
    <cfRule type="cellIs" priority="8" dxfId="14" operator="equal" stopIfTrue="1">
      <formula>"NG."</formula>
    </cfRule>
  </conditionalFormatting>
  <conditionalFormatting sqref="G67:G68 F80 L79 N47 N51:P51">
    <cfRule type="cellIs" priority="7" dxfId="15" operator="equal" stopIfTrue="1">
      <formula>"NG."</formula>
    </cfRule>
  </conditionalFormatting>
  <conditionalFormatting sqref="G67:G68 F80 L79 N47 N51:P51">
    <cfRule type="cellIs" priority="6" dxfId="16" operator="equal" stopIfTrue="1">
      <formula>"NG."</formula>
    </cfRule>
  </conditionalFormatting>
  <conditionalFormatting sqref="G67:G68 F80 L79 N51:P51 N47">
    <cfRule type="cellIs" priority="5" dxfId="17" operator="equal" stopIfTrue="1">
      <formula>"NG."</formula>
    </cfRule>
  </conditionalFormatting>
  <conditionalFormatting sqref="U79">
    <cfRule type="cellIs" priority="4" dxfId="14" operator="equal" stopIfTrue="1">
      <formula>"NG."</formula>
    </cfRule>
  </conditionalFormatting>
  <conditionalFormatting sqref="U79">
    <cfRule type="cellIs" priority="3" dxfId="15" operator="equal" stopIfTrue="1">
      <formula>"NG."</formula>
    </cfRule>
  </conditionalFormatting>
  <conditionalFormatting sqref="U79">
    <cfRule type="cellIs" priority="2" dxfId="16" operator="equal" stopIfTrue="1">
      <formula>"NG."</formula>
    </cfRule>
  </conditionalFormatting>
  <conditionalFormatting sqref="U79">
    <cfRule type="cellIs" priority="1" dxfId="17" operator="equal" stopIfTrue="1">
      <formula>"NG."</formula>
    </cfRule>
  </conditionalFormatting>
  <dataValidations count="8">
    <dataValidation type="list" allowBlank="1" showInputMessage="1" showErrorMessage="1" sqref="N77">
      <formula1>"6,9,10,12"</formula1>
    </dataValidation>
    <dataValidation type="list" allowBlank="1" showInputMessage="1" showErrorMessage="1" sqref="H12">
      <formula1>"0.375,.45"</formula1>
    </dataValidation>
    <dataValidation type="list" allowBlank="1" showInputMessage="1" showErrorMessage="1" sqref="O69:P69 I59:J59 I61:J61 U59:V59 U61:V61 I69:J69 I67:J67 Q59:Q62 U67:V67 U69:V69 M66">
      <formula1>"12,16,20,25,32"</formula1>
    </dataValidation>
    <dataValidation type="list" allowBlank="1" showInputMessage="1" showErrorMessage="1" sqref="L66">
      <formula1>"2,4"</formula1>
    </dataValidation>
    <dataValidation type="list" allowBlank="1" showInputMessage="1" showErrorMessage="1" sqref="I68:J68 I66:J66">
      <formula1>"2,3,4,5,6,7"</formula1>
    </dataValidation>
    <dataValidation type="list" allowBlank="1" showInputMessage="1" showErrorMessage="1" sqref="L45">
      <formula1>case</formula1>
    </dataValidation>
    <dataValidation type="list" allowBlank="1" showInputMessage="1" showErrorMessage="1" sqref="S10">
      <formula1>"SR-24,SD-30,SD-40"</formula1>
    </dataValidation>
    <dataValidation type="list" allowBlank="1" showInputMessage="1" showErrorMessage="1" sqref="L77">
      <formula1>"1,2,3,4,5,6,7,8,9,10"</formula1>
    </dataValidation>
  </dataValidations>
  <printOptions horizontalCentered="1" verticalCentered="1"/>
  <pageMargins left="0.3937007874015748" right="0.31496062992125984" top="0.3937007874015748" bottom="0.3937007874015748" header="0.31496062992125984" footer="0.07874015748031496"/>
  <pageSetup horizontalDpi="600" verticalDpi="600" orientation="portrait" paperSize="9" scale="85" r:id="rId2"/>
  <headerFooter>
    <oddFooter>&amp;L&amp;11&amp;Z&amp;F&amp;R&amp;11&amp;D/&amp;T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Sutee</dc:creator>
  <cp:keywords/>
  <dc:description/>
  <cp:lastModifiedBy>TOSHIBA</cp:lastModifiedBy>
  <cp:lastPrinted>2013-02-15T14:47:07Z</cp:lastPrinted>
  <dcterms:created xsi:type="dcterms:W3CDTF">2008-06-04T11:41:54Z</dcterms:created>
  <dcterms:modified xsi:type="dcterms:W3CDTF">2013-12-22T01:06:16Z</dcterms:modified>
  <cp:category/>
  <cp:version/>
  <cp:contentType/>
  <cp:contentStatus/>
</cp:coreProperties>
</file>