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ingle Lets" sheetId="1" r:id="rId4"/>
    <sheet name="HMO’s" sheetId="2" r:id="rId5"/>
    <sheet name="R2SA" sheetId="3" r:id="rId6"/>
    <sheet name="R2R" sheetId="4" r:id="rId7"/>
    <sheet name="LOA" sheetId="5" r:id="rId8"/>
    <sheet name="BRRR" sheetId="6" r:id="rId9"/>
    <sheet name="BRRR HMO" sheetId="7" r:id="rId10"/>
  </sheets>
</workbook>
</file>

<file path=xl/sharedStrings.xml><?xml version="1.0" encoding="utf-8"?>
<sst xmlns="http://schemas.openxmlformats.org/spreadsheetml/2006/main" uniqueCount="85">
  <si>
    <t>BTL 1</t>
  </si>
  <si>
    <t>House Price</t>
  </si>
  <si>
    <t>Deposit</t>
  </si>
  <si>
    <t>Rental (pcm)</t>
  </si>
  <si>
    <t>Mortgage</t>
  </si>
  <si>
    <t>Maintenance, Management &amp; Voids</t>
  </si>
  <si>
    <t>Bills</t>
  </si>
  <si>
    <t>Total Monthly Bills</t>
  </si>
  <si>
    <t>Monthly Profit</t>
  </si>
  <si>
    <t>Fees</t>
  </si>
  <si>
    <t>Refurb</t>
  </si>
  <si>
    <t>Annual Profit</t>
  </si>
  <si>
    <t>Total Investment</t>
  </si>
  <si>
    <t>ROI</t>
  </si>
  <si>
    <t>Mortgage Rate</t>
  </si>
  <si>
    <t>Lead flashing</t>
  </si>
  <si>
    <t>New Flat Roof</t>
  </si>
  <si>
    <t>Damp</t>
  </si>
  <si>
    <t>Clear and Clean</t>
  </si>
  <si>
    <t>20% BMV</t>
  </si>
  <si>
    <t>HMO 1</t>
  </si>
  <si>
    <t>Number of rooms</t>
  </si>
  <si>
    <t>Rent per Room</t>
  </si>
  <si>
    <t>Additional Rate Room</t>
  </si>
  <si>
    <t>Management and maintenance/voids</t>
  </si>
  <si>
    <t>Mortgage Monthly</t>
  </si>
  <si>
    <t>Total Monthly Profit</t>
  </si>
  <si>
    <t>Furniture</t>
  </si>
  <si>
    <t>Mortgage/Rent</t>
  </si>
  <si>
    <t>Occupancy Rate</t>
  </si>
  <si>
    <t>Number of Units</t>
  </si>
  <si>
    <t>Nightly Rate</t>
  </si>
  <si>
    <t>Total Nightly Rate</t>
  </si>
  <si>
    <t>Turnover</t>
  </si>
  <si>
    <t>Utilities</t>
  </si>
  <si>
    <t>Booking Fees 10%</t>
  </si>
  <si>
    <t>Management Fees (18%)</t>
  </si>
  <si>
    <t>Outgoings</t>
  </si>
  <si>
    <t>Profit</t>
  </si>
  <si>
    <t>Management Fees (12%)</t>
  </si>
  <si>
    <t>Rent</t>
  </si>
  <si>
    <t>Additional Rate Room (en-suites etc)</t>
  </si>
  <si>
    <t>Monthly Outgoings</t>
  </si>
  <si>
    <t>Agency</t>
  </si>
  <si>
    <t>Total Money In</t>
  </si>
  <si>
    <t>LOA 1</t>
  </si>
  <si>
    <t>Rent to LL</t>
  </si>
  <si>
    <t>MMV @ 22%</t>
  </si>
  <si>
    <t>CG Year on Year</t>
  </si>
  <si>
    <t>Lease Term</t>
  </si>
  <si>
    <t>Current Market Value</t>
  </si>
  <si>
    <t>NMD PP</t>
  </si>
  <si>
    <t>Cashflow</t>
  </si>
  <si>
    <t>Expected CG Profit</t>
  </si>
  <si>
    <t>Years to Reach NMD PP</t>
  </si>
  <si>
    <t>ROI on Purchase over Term</t>
  </si>
  <si>
    <t>BRR 1</t>
  </si>
  <si>
    <t>End Value</t>
  </si>
  <si>
    <t>Remortgage Value</t>
  </si>
  <si>
    <t>Financing Deposit</t>
  </si>
  <si>
    <t>Financing Gross Loan</t>
  </si>
  <si>
    <t>Net Loan Day 1</t>
  </si>
  <si>
    <t>Refurb Time Months</t>
  </si>
  <si>
    <t>Financing Fees</t>
  </si>
  <si>
    <t>Maintenance &amp; Management</t>
  </si>
  <si>
    <t>Monthly Cashflow</t>
  </si>
  <si>
    <t>Investment Needed</t>
  </si>
  <si>
    <t>Investment Needed - Financed</t>
  </si>
  <si>
    <t>Money Left In</t>
  </si>
  <si>
    <t>Money Left In - Financed</t>
  </si>
  <si>
    <t>ROI - Financed</t>
  </si>
  <si>
    <t>Sale @ MV</t>
  </si>
  <si>
    <t>Sale - Financed @ MV</t>
  </si>
  <si>
    <t>Sale @ 95 % MV</t>
  </si>
  <si>
    <t>Sale - Financed @ 95%  MV</t>
  </si>
  <si>
    <t>Sale @ 90% MV</t>
  </si>
  <si>
    <t>Sale - Financed @ 90% MV</t>
  </si>
  <si>
    <t>BRR HMO 1</t>
  </si>
  <si>
    <t>Purchase Fees</t>
  </si>
  <si>
    <t>Planning Fees</t>
  </si>
  <si>
    <t>Number of Rooms</t>
  </si>
  <si>
    <t>Additional Room Rate</t>
  </si>
  <si>
    <t>Rental pcm</t>
  </si>
  <si>
    <t>Sale</t>
  </si>
  <si>
    <t>Sale - Financed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</si>
</sst>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[$£-809]#,##0.00"/>
    <numFmt numFmtId="60" formatCode="#,##0%"/>
    <numFmt numFmtId="61" formatCode="#,##0.0%"/>
    <numFmt numFmtId="62" formatCode="[$£-809]0.00"/>
    <numFmt numFmtId="63" formatCode="#,##0.00%"/>
    <numFmt numFmtId="64" formatCode="#,##0.0"/>
  </numFmts>
  <fonts count="12">
    <font>
      <sz val="10"/>
      <color indexed="8"/>
      <name val="Helvetica Neue"/>
    </font>
    <font>
      <sz val="12"/>
      <color indexed="8"/>
      <name val="Helvetica Neue"/>
    </font>
    <font>
      <sz val="10"/>
      <color indexed="8"/>
      <name val="冬青黑体简体中文 W6"/>
    </font>
    <font>
      <sz val="10"/>
      <color indexed="8"/>
      <name val="冬青黑体简体中文 W3"/>
    </font>
    <font>
      <sz val="13"/>
      <color indexed="8"/>
      <name val="Helvetica Neue"/>
    </font>
    <font>
      <sz val="10"/>
      <color indexed="16"/>
      <name val="冬青黑体简体中文 W3"/>
    </font>
    <font>
      <sz val="10"/>
      <color indexed="16"/>
      <name val="冬青黑体简体中文 W6"/>
    </font>
    <font>
      <sz val="12"/>
      <color indexed="8"/>
      <name val="冬青黑体简体中文 W6"/>
    </font>
    <font>
      <sz val="12"/>
      <color indexed="8"/>
      <name val="冬青黑体简体中文 W3"/>
    </font>
    <font>
      <sz val="12"/>
      <color indexed="16"/>
      <name val="冬青黑体简体中文 W3"/>
    </font>
    <font>
      <sz val="12"/>
      <color indexed="17"/>
      <name val="冬青黑体简体中文 W3"/>
    </font>
    <font>
      <sz val="12"/>
      <color indexed="16"/>
      <name val="冬青黑体简体中文 W6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2" fillId="3" borderId="2" applyNumberFormat="1" applyFont="1" applyFill="1" applyBorder="1" applyAlignment="1" applyProtection="0">
      <alignment vertical="top" wrapText="1"/>
    </xf>
    <xf numFmtId="0" fontId="3" fillId="4" borderId="3" applyNumberFormat="1" applyFont="1" applyFill="1" applyBorder="1" applyAlignment="1" applyProtection="0">
      <alignment vertical="top" wrapText="1"/>
    </xf>
    <xf numFmtId="49" fontId="2" fillId="3" borderId="4" applyNumberFormat="1" applyFont="1" applyFill="1" applyBorder="1" applyAlignment="1" applyProtection="0">
      <alignment vertical="top" wrapText="1"/>
    </xf>
    <xf numFmtId="0" fontId="3" borderId="5" applyNumberFormat="1" applyFont="1" applyFill="0" applyBorder="1" applyAlignment="1" applyProtection="0">
      <alignment vertical="top" wrapText="1"/>
    </xf>
    <xf numFmtId="0" fontId="3" fillId="4" borderId="5" applyNumberFormat="1" applyFont="1" applyFill="1" applyBorder="1" applyAlignment="1" applyProtection="0">
      <alignment vertical="top" wrapText="1"/>
    </xf>
    <xf numFmtId="0" fontId="3" borderId="5" applyNumberFormat="0" applyFont="1" applyFill="0" applyBorder="1" applyAlignment="1" applyProtection="0">
      <alignment vertical="top" wrapText="1"/>
    </xf>
    <xf numFmtId="4" fontId="3" borderId="5" applyNumberFormat="1" applyFont="1" applyFill="0" applyBorder="1" applyAlignment="1" applyProtection="0">
      <alignment vertical="top" wrapText="1"/>
    </xf>
    <xf numFmtId="2" fontId="2" borderId="5" applyNumberFormat="1" applyFont="1" applyFill="0" applyBorder="1" applyAlignment="1" applyProtection="0">
      <alignment vertical="top" wrapText="1"/>
    </xf>
    <xf numFmtId="0" fontId="2" fillId="3" borderId="4" applyNumberFormat="0" applyFont="1" applyFill="1" applyBorder="1" applyAlignment="1" applyProtection="0">
      <alignment vertical="top" wrapText="1"/>
    </xf>
    <xf numFmtId="9" fontId="3" fillId="4" borderId="5" applyNumberFormat="1" applyFont="1" applyFill="1" applyBorder="1" applyAlignment="1" applyProtection="0">
      <alignment vertical="top" wrapText="1"/>
    </xf>
    <xf numFmtId="49" fontId="3" borderId="5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6" applyNumberFormat="0" applyFont="1" applyFill="1" applyBorder="1" applyAlignment="1" applyProtection="0">
      <alignment vertical="top" wrapText="1"/>
    </xf>
    <xf numFmtId="49" fontId="2" fillId="2" borderId="7" applyNumberFormat="1" applyFont="1" applyFill="1" applyBorder="1" applyAlignment="1" applyProtection="0">
      <alignment horizontal="center" vertical="top" wrapText="1"/>
    </xf>
    <xf numFmtId="49" fontId="2" fillId="3" borderId="6" applyNumberFormat="1" applyFont="1" applyFill="1" applyBorder="1" applyAlignment="1" applyProtection="0">
      <alignment vertical="top" wrapText="1"/>
    </xf>
    <xf numFmtId="3" fontId="3" fillId="4" borderId="8" applyNumberFormat="1" applyFont="1" applyFill="1" applyBorder="1" applyAlignment="1" applyProtection="0">
      <alignment horizontal="center" vertical="top" wrapText="1"/>
    </xf>
    <xf numFmtId="3" fontId="3" borderId="9" applyNumberFormat="1" applyFont="1" applyFill="0" applyBorder="1" applyAlignment="1" applyProtection="0">
      <alignment horizontal="center" vertical="top" wrapText="1"/>
    </xf>
    <xf numFmtId="3" fontId="3" fillId="4" borderId="9" applyNumberFormat="1" applyFont="1" applyFill="1" applyBorder="1" applyAlignment="1" applyProtection="0">
      <alignment horizontal="center" vertical="top" wrapText="1"/>
    </xf>
    <xf numFmtId="3" fontId="3" fillId="5" borderId="9" applyNumberFormat="1" applyFont="1" applyFill="1" applyBorder="1" applyAlignment="1" applyProtection="0">
      <alignment horizontal="center" vertical="top" wrapText="1"/>
    </xf>
    <xf numFmtId="49" fontId="2" fillId="3" borderId="10" applyNumberFormat="1" applyFont="1" applyFill="1" applyBorder="1" applyAlignment="1" applyProtection="0">
      <alignment vertical="top" wrapText="1"/>
    </xf>
    <xf numFmtId="4" fontId="3" borderId="5" applyNumberFormat="1" applyFont="1" applyFill="0" applyBorder="1" applyAlignment="1" applyProtection="0">
      <alignment horizontal="center" vertical="top" wrapText="1"/>
    </xf>
    <xf numFmtId="3" fontId="3" borderId="5" applyNumberFormat="1" applyFont="1" applyFill="0" applyBorder="1" applyAlignment="1" applyProtection="0">
      <alignment horizontal="center" vertical="top" wrapText="1"/>
    </xf>
    <xf numFmtId="3" fontId="2" borderId="5" applyNumberFormat="1" applyFont="1" applyFill="0" applyBorder="1" applyAlignment="1" applyProtection="0">
      <alignment horizontal="center" vertical="top" wrapText="1"/>
    </xf>
    <xf numFmtId="3" fontId="3" fillId="4" borderId="5" applyNumberFormat="1" applyFont="1" applyFill="1" applyBorder="1" applyAlignment="1" applyProtection="0">
      <alignment horizontal="center" vertical="top" wrapText="1"/>
    </xf>
    <xf numFmtId="4" fontId="3" borderId="11" applyNumberFormat="1" applyFont="1" applyFill="0" applyBorder="1" applyAlignment="1" applyProtection="0">
      <alignment horizontal="center" vertical="top" wrapText="1"/>
    </xf>
    <xf numFmtId="4" fontId="2" borderId="12" applyNumberFormat="1" applyFont="1" applyFill="0" applyBorder="1" applyAlignment="1" applyProtection="0">
      <alignment horizontal="center" vertical="top" wrapText="1"/>
    </xf>
    <xf numFmtId="0" fontId="2" fillId="3" borderId="10" applyNumberFormat="0" applyFont="1" applyFill="1" applyBorder="1" applyAlignment="1" applyProtection="0">
      <alignment vertical="top" wrapText="1"/>
    </xf>
    <xf numFmtId="0" fontId="3" borderId="5" applyNumberFormat="0" applyFont="1" applyFill="0" applyBorder="1" applyAlignment="1" applyProtection="0">
      <alignment horizontal="center" vertical="top" wrapText="1"/>
    </xf>
    <xf numFmtId="9" fontId="3" borderId="5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4" borderId="2" applyNumberFormat="1" applyFont="1" applyFill="1" applyBorder="1" applyAlignment="1" applyProtection="0">
      <alignment horizontal="center" vertical="center" wrapText="1"/>
    </xf>
    <xf numFmtId="59" fontId="3" fillId="4" borderId="3" applyNumberFormat="1" applyFont="1" applyFill="1" applyBorder="1" applyAlignment="1" applyProtection="0">
      <alignment horizontal="center" vertical="center" wrapText="1"/>
    </xf>
    <xf numFmtId="59" fontId="3" fillId="5" borderId="13" applyNumberFormat="1" applyFont="1" applyFill="1" applyBorder="1" applyAlignment="1" applyProtection="0">
      <alignment horizontal="center" vertical="center" wrapText="1"/>
    </xf>
    <xf numFmtId="0" fontId="3" borderId="13" applyNumberFormat="0" applyFont="1" applyFill="0" applyBorder="1" applyAlignment="1" applyProtection="0">
      <alignment horizontal="center" vertical="center" wrapText="1"/>
    </xf>
    <xf numFmtId="0" fontId="2" fillId="4" borderId="4" applyNumberFormat="0" applyFont="1" applyFill="1" applyBorder="1" applyAlignment="1" applyProtection="0">
      <alignment horizontal="center" vertical="center" wrapText="1"/>
    </xf>
    <xf numFmtId="60" fontId="2" borderId="5" applyNumberFormat="1" applyFont="1" applyFill="0" applyBorder="1" applyAlignment="1" applyProtection="0">
      <alignment horizontal="center" vertical="center" wrapText="1"/>
    </xf>
    <xf numFmtId="60" fontId="2" borderId="14" applyNumberFormat="1" applyFont="1" applyFill="0" applyBorder="1" applyAlignment="1" applyProtection="0">
      <alignment horizontal="center" vertical="center" wrapText="1"/>
    </xf>
    <xf numFmtId="0" fontId="3" borderId="14" applyNumberFormat="0" applyFont="1" applyFill="0" applyBorder="1" applyAlignment="1" applyProtection="0">
      <alignment horizontal="center" vertical="center" wrapText="1"/>
    </xf>
    <xf numFmtId="49" fontId="2" fillId="4" borderId="4" applyNumberFormat="1" applyFont="1" applyFill="1" applyBorder="1" applyAlignment="1" applyProtection="0">
      <alignment horizontal="center" vertical="center" wrapText="1"/>
    </xf>
    <xf numFmtId="61" fontId="2" borderId="5" applyNumberFormat="1" applyFont="1" applyFill="0" applyBorder="1" applyAlignment="1" applyProtection="0">
      <alignment horizontal="center" vertical="center" wrapText="1"/>
    </xf>
    <xf numFmtId="61" fontId="2" borderId="14" applyNumberFormat="1" applyFont="1" applyFill="0" applyBorder="1" applyAlignment="1" applyProtection="0">
      <alignment horizontal="center" vertical="center" wrapText="1"/>
    </xf>
    <xf numFmtId="3" fontId="3" fillId="4" borderId="5" applyNumberFormat="1" applyFont="1" applyFill="1" applyBorder="1" applyAlignment="1" applyProtection="0">
      <alignment horizontal="center" vertical="center" wrapText="1"/>
    </xf>
    <xf numFmtId="59" fontId="3" fillId="5" borderId="14" applyNumberFormat="1" applyFont="1" applyFill="1" applyBorder="1" applyAlignment="1" applyProtection="0">
      <alignment horizontal="center" vertical="center" wrapText="1"/>
    </xf>
    <xf numFmtId="0" fontId="0" borderId="14" applyNumberFormat="0" applyFont="1" applyFill="0" applyBorder="1" applyAlignment="1" applyProtection="0">
      <alignment vertical="top" wrapText="1"/>
    </xf>
    <xf numFmtId="62" fontId="3" fillId="4" borderId="5" applyNumberFormat="1" applyFont="1" applyFill="1" applyBorder="1" applyAlignment="1" applyProtection="0">
      <alignment horizontal="center" vertical="top" wrapText="1"/>
    </xf>
    <xf numFmtId="59" fontId="3" fillId="5" borderId="5" applyNumberFormat="1" applyFont="1" applyFill="1" applyBorder="1" applyAlignment="1" applyProtection="0">
      <alignment horizontal="center" vertical="center" wrapText="1"/>
    </xf>
    <xf numFmtId="59" fontId="3" borderId="5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59" fontId="3" fillId="4" borderId="5" applyNumberFormat="1" applyFont="1" applyFill="1" applyBorder="1" applyAlignment="1" applyProtection="0">
      <alignment horizontal="center" vertical="center" wrapText="1"/>
    </xf>
    <xf numFmtId="59" fontId="2" borderId="5" applyNumberFormat="1" applyFont="1" applyFill="0" applyBorder="1" applyAlignment="1" applyProtection="0">
      <alignment horizontal="center" vertical="center" wrapText="1"/>
    </xf>
    <xf numFmtId="59" fontId="2" borderId="14" applyNumberFormat="1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15" applyNumberFormat="0" applyFont="1" applyFill="1" applyBorder="1" applyAlignment="1" applyProtection="0">
      <alignment horizontal="center" vertical="center" wrapText="1"/>
    </xf>
    <xf numFmtId="49" fontId="2" fillId="4" borderId="16" applyNumberFormat="1" applyFont="1" applyFill="1" applyBorder="1" applyAlignment="1" applyProtection="0">
      <alignment horizontal="left" vertical="center" wrapText="1"/>
    </xf>
    <xf numFmtId="63" fontId="2" borderId="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49" fontId="3" fillId="3" borderId="2" applyNumberFormat="1" applyFont="1" applyFill="1" applyBorder="1" applyAlignment="1" applyProtection="0">
      <alignment horizontal="center" vertical="center" wrapText="1"/>
    </xf>
    <xf numFmtId="59" fontId="3" fillId="6" borderId="3" applyNumberFormat="1" applyFont="1" applyFill="1" applyBorder="1" applyAlignment="1" applyProtection="0">
      <alignment horizontal="center" vertical="center" wrapText="1"/>
    </xf>
    <xf numFmtId="59" fontId="3" fillId="6" borderId="13" applyNumberFormat="1" applyFont="1" applyFill="1" applyBorder="1" applyAlignment="1" applyProtection="0">
      <alignment horizontal="center" vertical="center" wrapText="1"/>
    </xf>
    <xf numFmtId="0" fontId="3" fillId="3" borderId="4" applyNumberFormat="0" applyFont="1" applyFill="1" applyBorder="1" applyAlignment="1" applyProtection="0">
      <alignment horizontal="center" vertical="center" wrapText="1"/>
    </xf>
    <xf numFmtId="60" fontId="3" borderId="5" applyNumberFormat="1" applyFont="1" applyFill="0" applyBorder="1" applyAlignment="1" applyProtection="0">
      <alignment horizontal="center" vertical="center" wrapText="1"/>
    </xf>
    <xf numFmtId="60" fontId="3" borderId="14" applyNumberFormat="1" applyFont="1" applyFill="0" applyBorder="1" applyAlignment="1" applyProtection="0">
      <alignment horizontal="center" vertical="center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3" fontId="3" fillId="6" borderId="5" applyNumberFormat="1" applyFont="1" applyFill="1" applyBorder="1" applyAlignment="1" applyProtection="0">
      <alignment horizontal="center" vertical="center" wrapText="1"/>
    </xf>
    <xf numFmtId="3" fontId="3" fillId="6" borderId="14" applyNumberFormat="1" applyFont="1" applyFill="1" applyBorder="1" applyAlignment="1" applyProtection="0">
      <alignment horizontal="center" vertical="center" wrapText="1"/>
    </xf>
    <xf numFmtId="3" fontId="3" borderId="5" applyNumberFormat="1" applyFont="1" applyFill="0" applyBorder="1" applyAlignment="1" applyProtection="0">
      <alignment horizontal="center" vertical="center" wrapText="1"/>
    </xf>
    <xf numFmtId="3" fontId="3" borderId="14" applyNumberFormat="1" applyFont="1" applyFill="0" applyBorder="1" applyAlignment="1" applyProtection="0">
      <alignment horizontal="center" vertical="center" wrapText="1"/>
    </xf>
    <xf numFmtId="59" fontId="3" fillId="6" borderId="5" applyNumberFormat="1" applyFont="1" applyFill="1" applyBorder="1" applyAlignment="1" applyProtection="0">
      <alignment horizontal="center" vertical="center" wrapText="1"/>
    </xf>
    <xf numFmtId="59" fontId="3" fillId="6" borderId="14" applyNumberFormat="1" applyFont="1" applyFill="1" applyBorder="1" applyAlignment="1" applyProtection="0">
      <alignment horizontal="center" vertical="center" wrapText="1"/>
    </xf>
    <xf numFmtId="63" fontId="3" borderId="14" applyNumberFormat="1" applyFont="1" applyFill="0" applyBorder="1" applyAlignment="1" applyProtection="0">
      <alignment horizontal="center" vertical="center" wrapText="1"/>
    </xf>
    <xf numFmtId="60" fontId="3" fillId="6" borderId="5" applyNumberFormat="1" applyFont="1" applyFill="1" applyBorder="1" applyAlignment="1" applyProtection="0">
      <alignment horizontal="center" vertical="center" wrapText="1"/>
    </xf>
    <xf numFmtId="60" fontId="3" fillId="6" borderId="14" applyNumberFormat="1" applyFont="1" applyFill="1" applyBorder="1" applyAlignment="1" applyProtection="0">
      <alignment horizontal="center" vertical="center" wrapText="1"/>
    </xf>
    <xf numFmtId="63" fontId="3" borderId="5" applyNumberFormat="1" applyFont="1" applyFill="0" applyBorder="1" applyAlignment="1" applyProtection="0">
      <alignment horizontal="center" vertical="center" wrapText="1"/>
    </xf>
    <xf numFmtId="64" fontId="2" borderId="5" applyNumberFormat="1" applyFont="1" applyFill="0" applyBorder="1" applyAlignment="1" applyProtection="0">
      <alignment horizontal="center" vertical="center" wrapText="1"/>
    </xf>
    <xf numFmtId="64" fontId="3" borderId="14" applyNumberFormat="1" applyFont="1" applyFill="0" applyBorder="1" applyAlignment="1" applyProtection="0">
      <alignment horizontal="center" vertical="center" wrapText="1"/>
    </xf>
    <xf numFmtId="0" fontId="3" borderId="5" applyNumberFormat="0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5" borderId="5" applyNumberFormat="1" applyFont="1" applyFill="0" applyBorder="1" applyAlignment="1" applyProtection="0">
      <alignment vertical="top" wrapText="1"/>
    </xf>
    <xf numFmtId="3" fontId="3" borderId="5" applyNumberFormat="1" applyFont="1" applyFill="0" applyBorder="1" applyAlignment="1" applyProtection="0">
      <alignment vertical="top" wrapText="1"/>
    </xf>
    <xf numFmtId="49" fontId="2" fillId="3" borderId="17" applyNumberFormat="1" applyFont="1" applyFill="1" applyBorder="1" applyAlignment="1" applyProtection="0">
      <alignment vertical="top" wrapText="1"/>
    </xf>
    <xf numFmtId="0" fontId="5" fillId="4" borderId="11" applyNumberFormat="1" applyFont="1" applyFill="1" applyBorder="1" applyAlignment="1" applyProtection="0">
      <alignment vertical="top" wrapText="1"/>
    </xf>
    <xf numFmtId="49" fontId="2" fillId="3" borderId="18" applyNumberFormat="1" applyFont="1" applyFill="1" applyBorder="1" applyAlignment="1" applyProtection="0">
      <alignment vertical="top" wrapText="1"/>
    </xf>
    <xf numFmtId="2" fontId="3" borderId="12" applyNumberFormat="1" applyFont="1" applyFill="0" applyBorder="1" applyAlignment="1" applyProtection="0">
      <alignment vertical="top" wrapText="1"/>
    </xf>
    <xf numFmtId="0" fontId="3" fillId="5" borderId="5" applyNumberFormat="1" applyFont="1" applyFill="1" applyBorder="1" applyAlignment="1" applyProtection="0">
      <alignment vertical="top" wrapText="1"/>
    </xf>
    <xf numFmtId="2" fontId="3" fillId="5" borderId="5" applyNumberFormat="1" applyFont="1" applyFill="1" applyBorder="1" applyAlignment="1" applyProtection="0">
      <alignment vertical="top" wrapText="1"/>
    </xf>
    <xf numFmtId="2" fontId="5" fillId="5" borderId="11" applyNumberFormat="1" applyFont="1" applyFill="1" applyBorder="1" applyAlignment="1" applyProtection="0">
      <alignment vertical="top" wrapText="1"/>
    </xf>
    <xf numFmtId="0" fontId="3" fillId="4" borderId="12" applyNumberFormat="1" applyFont="1" applyFill="1" applyBorder="1" applyAlignment="1" applyProtection="0">
      <alignment vertical="top" wrapText="1"/>
    </xf>
    <xf numFmtId="4" fontId="5" borderId="5" applyNumberFormat="1" applyFont="1" applyFill="0" applyBorder="1" applyAlignment="1" applyProtection="0">
      <alignment vertical="top" wrapText="1"/>
    </xf>
    <xf numFmtId="3" fontId="3" borderId="11" applyNumberFormat="1" applyFont="1" applyFill="0" applyBorder="1" applyAlignment="1" applyProtection="0">
      <alignment vertical="top" wrapText="1"/>
    </xf>
    <xf numFmtId="3" fontId="5" borderId="12" applyNumberFormat="1" applyFont="1" applyFill="0" applyBorder="1" applyAlignment="1" applyProtection="0">
      <alignment vertical="top" wrapText="1"/>
    </xf>
    <xf numFmtId="3" fontId="5" borderId="5" applyNumberFormat="1" applyFont="1" applyFill="0" applyBorder="1" applyAlignment="1" applyProtection="0">
      <alignment vertical="top" wrapText="1"/>
    </xf>
    <xf numFmtId="3" fontId="6" borderId="5" applyNumberFormat="1" applyFont="1" applyFill="0" applyBorder="1" applyAlignment="1" applyProtection="0">
      <alignment vertical="top" wrapText="1"/>
    </xf>
    <xf numFmtId="3" fontId="6" borderId="11" applyNumberFormat="1" applyFont="1" applyFill="0" applyBorder="1" applyAlignment="1" applyProtection="0">
      <alignment vertical="top" wrapText="1"/>
    </xf>
    <xf numFmtId="2" fontId="2" borderId="12" applyNumberFormat="1" applyFont="1" applyFill="0" applyBorder="1" applyAlignment="1" applyProtection="0">
      <alignment vertical="top" wrapText="1"/>
    </xf>
    <xf numFmtId="2" fontId="3" borderId="5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7" fillId="3" borderId="2" applyNumberFormat="1" applyFont="1" applyFill="1" applyBorder="1" applyAlignment="1" applyProtection="0">
      <alignment vertical="top" wrapText="1"/>
    </xf>
    <xf numFmtId="0" fontId="8" fillId="4" borderId="3" applyNumberFormat="1" applyFont="1" applyFill="1" applyBorder="1" applyAlignment="1" applyProtection="0">
      <alignment vertical="top" wrapText="1"/>
    </xf>
    <xf numFmtId="49" fontId="7" fillId="3" borderId="4" applyNumberFormat="1" applyFont="1" applyFill="1" applyBorder="1" applyAlignment="1" applyProtection="0">
      <alignment vertical="top" wrapText="1"/>
    </xf>
    <xf numFmtId="0" fontId="9" borderId="5" applyNumberFormat="1" applyFont="1" applyFill="0" applyBorder="1" applyAlignment="1" applyProtection="0">
      <alignment vertical="top" wrapText="1"/>
    </xf>
    <xf numFmtId="0" fontId="9" fillId="4" borderId="5" applyNumberFormat="1" applyFont="1" applyFill="1" applyBorder="1" applyAlignment="1" applyProtection="0">
      <alignment vertical="top" wrapText="1"/>
    </xf>
    <xf numFmtId="0" fontId="8" fillId="4" borderId="5" applyNumberFormat="1" applyFont="1" applyFill="1" applyBorder="1" applyAlignment="1" applyProtection="0">
      <alignment vertical="top" wrapText="1"/>
    </xf>
    <xf numFmtId="49" fontId="7" fillId="3" borderId="17" applyNumberFormat="1" applyFont="1" applyFill="1" applyBorder="1" applyAlignment="1" applyProtection="0">
      <alignment vertical="top" wrapText="1"/>
    </xf>
    <xf numFmtId="4" fontId="8" borderId="11" applyNumberFormat="1" applyFont="1" applyFill="0" applyBorder="1" applyAlignment="1" applyProtection="0">
      <alignment vertical="top" wrapText="1"/>
    </xf>
    <xf numFmtId="49" fontId="7" fillId="3" borderId="18" applyNumberFormat="1" applyFont="1" applyFill="1" applyBorder="1" applyAlignment="1" applyProtection="0">
      <alignment vertical="top" wrapText="1"/>
    </xf>
    <xf numFmtId="2" fontId="9" borderId="12" applyNumberFormat="1" applyFont="1" applyFill="0" applyBorder="1" applyAlignment="1" applyProtection="0">
      <alignment vertical="top" wrapText="1"/>
    </xf>
    <xf numFmtId="0" fontId="8" fillId="5" borderId="5" applyNumberFormat="1" applyFont="1" applyFill="1" applyBorder="1" applyAlignment="1" applyProtection="0">
      <alignment vertical="top" wrapText="1"/>
    </xf>
    <xf numFmtId="2" fontId="8" fillId="5" borderId="5" applyNumberFormat="1" applyFont="1" applyFill="1" applyBorder="1" applyAlignment="1" applyProtection="0">
      <alignment vertical="top" wrapText="1"/>
    </xf>
    <xf numFmtId="2" fontId="9" fillId="5" borderId="11" applyNumberFormat="1" applyFont="1" applyFill="1" applyBorder="1" applyAlignment="1" applyProtection="0">
      <alignment vertical="top" wrapText="1"/>
    </xf>
    <xf numFmtId="0" fontId="8" fillId="4" borderId="12" applyNumberFormat="1" applyFont="1" applyFill="1" applyBorder="1" applyAlignment="1" applyProtection="0">
      <alignment vertical="top" wrapText="1"/>
    </xf>
    <xf numFmtId="0" fontId="10" fillId="4" borderId="5" applyNumberFormat="0" applyFont="1" applyFill="1" applyBorder="1" applyAlignment="1" applyProtection="0">
      <alignment vertical="top" wrapText="1"/>
    </xf>
    <xf numFmtId="0" fontId="8" borderId="5" applyNumberFormat="1" applyFont="1" applyFill="0" applyBorder="1" applyAlignment="1" applyProtection="0">
      <alignment vertical="top" wrapText="1"/>
    </xf>
    <xf numFmtId="49" fontId="7" fillId="4" borderId="4" applyNumberFormat="1" applyFont="1" applyFill="1" applyBorder="1" applyAlignment="1" applyProtection="0">
      <alignment vertical="top" wrapText="1"/>
    </xf>
    <xf numFmtId="0" fontId="8" borderId="11" applyNumberFormat="1" applyFont="1" applyFill="0" applyBorder="1" applyAlignment="1" applyProtection="0">
      <alignment vertical="top" wrapText="1"/>
    </xf>
    <xf numFmtId="4" fontId="8" borderId="12" applyNumberFormat="1" applyFont="1" applyFill="0" applyBorder="1" applyAlignment="1" applyProtection="0">
      <alignment vertical="top" wrapText="1"/>
    </xf>
    <xf numFmtId="3" fontId="9" borderId="5" applyNumberFormat="1" applyFont="1" applyFill="0" applyBorder="1" applyAlignment="1" applyProtection="0">
      <alignment vertical="top" wrapText="1"/>
    </xf>
    <xf numFmtId="3" fontId="11" borderId="5" applyNumberFormat="1" applyFont="1" applyFill="0" applyBorder="1" applyAlignment="1" applyProtection="0">
      <alignment vertical="top" wrapText="1"/>
    </xf>
    <xf numFmtId="2" fontId="11" borderId="11" applyNumberFormat="1" applyFont="1" applyFill="0" applyBorder="1" applyAlignment="1" applyProtection="0">
      <alignment vertical="top" wrapText="1"/>
    </xf>
    <xf numFmtId="2" fontId="7" borderId="12" applyNumberFormat="1" applyFont="1" applyFill="0" applyBorder="1" applyAlignment="1" applyProtection="0">
      <alignment vertical="top" wrapText="1"/>
    </xf>
    <xf numFmtId="2" fontId="7" borderId="5" applyNumberFormat="1" applyFont="1" applyFill="0" applyBorder="1" applyAlignment="1" applyProtection="0">
      <alignment vertical="top" wrapText="1"/>
    </xf>
    <xf numFmtId="2" fontId="8" borderId="5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fffefefe"/>
      <rgbColor rgb="ffdddddd"/>
      <rgbColor rgb="ffed220b"/>
      <rgbColor rgb="ff00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2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2" width="16.3516" style="1" customWidth="1"/>
    <col min="3" max="16384" width="16.3516" style="1" customWidth="1"/>
  </cols>
  <sheetData>
    <row r="1" ht="18.5" customHeight="1">
      <c r="A1" s="2"/>
      <c r="B1" t="s" s="3">
        <v>0</v>
      </c>
    </row>
    <row r="2" ht="18.5" customHeight="1">
      <c r="A2" t="s" s="4">
        <v>1</v>
      </c>
      <c r="B2" s="5">
        <v>135000</v>
      </c>
    </row>
    <row r="3" ht="18.3" customHeight="1">
      <c r="A3" t="s" s="6">
        <v>2</v>
      </c>
      <c r="B3" s="7">
        <f>B2*0.25</f>
        <v>33750</v>
      </c>
    </row>
    <row r="4" ht="18.3" customHeight="1">
      <c r="A4" t="s" s="6">
        <v>3</v>
      </c>
      <c r="B4" s="8">
        <v>1166</v>
      </c>
    </row>
    <row r="5" ht="18.3" customHeight="1">
      <c r="A5" t="s" s="6">
        <v>4</v>
      </c>
      <c r="B5" s="7">
        <f>((B2-B3)*B16)/12</f>
        <v>253.125</v>
      </c>
    </row>
    <row r="6" ht="48.3" customHeight="1">
      <c r="A6" t="s" s="6">
        <v>5</v>
      </c>
      <c r="B6" s="7">
        <f>B4*0.2</f>
        <v>233.2</v>
      </c>
    </row>
    <row r="7" ht="18.3" customHeight="1">
      <c r="A7" t="s" s="6">
        <v>6</v>
      </c>
      <c r="B7" s="9"/>
    </row>
    <row r="8" ht="33.3" customHeight="1">
      <c r="A8" t="s" s="6">
        <v>7</v>
      </c>
      <c r="B8" s="7">
        <f>B5+B6</f>
        <v>486.325</v>
      </c>
    </row>
    <row r="9" ht="18.3" customHeight="1">
      <c r="A9" t="s" s="6">
        <v>8</v>
      </c>
      <c r="B9" s="7">
        <f>B4-B5-B6-B7</f>
        <v>679.675</v>
      </c>
    </row>
    <row r="10" ht="18.3" customHeight="1">
      <c r="A10" t="s" s="6">
        <v>9</v>
      </c>
      <c r="B10" s="7">
        <f>(B2*0.03)+1000+500</f>
        <v>5550</v>
      </c>
    </row>
    <row r="11" ht="18.3" customHeight="1">
      <c r="A11" t="s" s="6">
        <v>10</v>
      </c>
      <c r="B11" s="8">
        <v>0</v>
      </c>
    </row>
    <row r="12" ht="18.3" customHeight="1">
      <c r="A12" t="s" s="6">
        <v>11</v>
      </c>
      <c r="B12" s="10">
        <f>B9*12</f>
        <v>8156.1</v>
      </c>
    </row>
    <row r="13" ht="33.3" customHeight="1">
      <c r="A13" t="s" s="6">
        <v>12</v>
      </c>
      <c r="B13" s="7">
        <f>B3+B10+B11</f>
        <v>39300</v>
      </c>
    </row>
    <row r="14" ht="18.3" customHeight="1">
      <c r="A14" t="s" s="6">
        <v>13</v>
      </c>
      <c r="B14" s="11">
        <f>(B12/B13)*100</f>
        <v>20.7534351145038</v>
      </c>
    </row>
    <row r="15" ht="18.3" customHeight="1">
      <c r="A15" s="12"/>
      <c r="B15" s="9"/>
    </row>
    <row r="16" ht="18.3" customHeight="1">
      <c r="A16" t="s" s="6">
        <v>14</v>
      </c>
      <c r="B16" s="13">
        <v>0.03</v>
      </c>
    </row>
    <row r="17" ht="18.3" customHeight="1">
      <c r="A17" s="12"/>
      <c r="B17" s="9"/>
    </row>
    <row r="18" ht="18.3" customHeight="1">
      <c r="A18" s="12"/>
      <c r="B18" t="s" s="14">
        <v>15</v>
      </c>
    </row>
    <row r="19" ht="18.3" customHeight="1">
      <c r="A19" s="12"/>
      <c r="B19" t="s" s="14">
        <v>16</v>
      </c>
    </row>
    <row r="20" ht="18.3" customHeight="1">
      <c r="A20" s="12"/>
      <c r="B20" t="s" s="14">
        <v>17</v>
      </c>
    </row>
    <row r="21" ht="18.3" customHeight="1">
      <c r="A21" s="12"/>
      <c r="B21" t="s" s="14">
        <v>18</v>
      </c>
    </row>
    <row r="22" ht="20.05" customHeight="1">
      <c r="A22" s="12"/>
      <c r="B22" t="s" s="15">
        <v>19</v>
      </c>
    </row>
    <row r="23" ht="18.3" customHeight="1">
      <c r="A23" s="12"/>
      <c r="B23" s="9"/>
    </row>
    <row r="24" ht="18.3" customHeight="1">
      <c r="A24" s="12"/>
      <c r="B24" s="9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2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2" width="16.3516" style="16" customWidth="1"/>
    <col min="3" max="16384" width="16.3516" style="16" customWidth="1"/>
  </cols>
  <sheetData>
    <row r="1" ht="18.5" customHeight="1">
      <c r="A1" s="17"/>
      <c r="B1" t="s" s="18">
        <v>20</v>
      </c>
    </row>
    <row r="2" ht="18.5" customHeight="1">
      <c r="A2" t="s" s="19">
        <v>1</v>
      </c>
      <c r="B2" s="20">
        <v>75000</v>
      </c>
    </row>
    <row r="3" ht="18.3" customHeight="1">
      <c r="A3" t="s" s="19">
        <v>2</v>
      </c>
      <c r="B3" s="21">
        <f>B2*0.25</f>
        <v>18750</v>
      </c>
    </row>
    <row r="4" ht="33.3" customHeight="1">
      <c r="A4" t="s" s="19">
        <v>21</v>
      </c>
      <c r="B4" s="22">
        <v>5</v>
      </c>
    </row>
    <row r="5" ht="18.3" customHeight="1">
      <c r="A5" t="s" s="19">
        <v>22</v>
      </c>
      <c r="B5" s="22">
        <v>360</v>
      </c>
    </row>
    <row r="6" ht="33.3" customHeight="1">
      <c r="A6" t="s" s="19">
        <v>23</v>
      </c>
      <c r="B6" s="22"/>
    </row>
    <row r="7" ht="18.3" customHeight="1">
      <c r="A7" t="s" s="19">
        <v>3</v>
      </c>
      <c r="B7" s="23">
        <f>(B4*B5)+B6</f>
        <v>1800</v>
      </c>
    </row>
    <row r="8" ht="18.3" customHeight="1">
      <c r="A8" t="s" s="19">
        <v>6</v>
      </c>
      <c r="B8" s="22">
        <v>400</v>
      </c>
    </row>
    <row r="9" ht="63.3" customHeight="1">
      <c r="A9" t="s" s="19">
        <v>24</v>
      </c>
      <c r="B9" s="21">
        <f>0.22*B7</f>
        <v>396</v>
      </c>
    </row>
    <row r="10" ht="33.3" customHeight="1">
      <c r="A10" t="s" s="24">
        <v>25</v>
      </c>
      <c r="B10" s="25">
        <f>((B2-B3)*B21)/12</f>
        <v>140.625</v>
      </c>
    </row>
    <row r="11" ht="33.3" customHeight="1">
      <c r="A11" t="s" s="24">
        <v>7</v>
      </c>
      <c r="B11" s="26">
        <f>B8+B9+B10</f>
        <v>936.625</v>
      </c>
    </row>
    <row r="12" ht="33.3" customHeight="1">
      <c r="A12" t="s" s="24">
        <v>26</v>
      </c>
      <c r="B12" s="27">
        <f>B7-B11</f>
        <v>863.375</v>
      </c>
    </row>
    <row r="13" ht="18.3" customHeight="1">
      <c r="A13" t="s" s="24">
        <v>9</v>
      </c>
      <c r="B13" s="26">
        <f>(B2*0.03)+1750</f>
        <v>4000</v>
      </c>
    </row>
    <row r="14" ht="18.3" customHeight="1">
      <c r="A14" t="s" s="24">
        <v>10</v>
      </c>
      <c r="B14" s="28">
        <v>15500</v>
      </c>
    </row>
    <row r="15" ht="18.3" customHeight="1">
      <c r="A15" t="s" s="24">
        <v>27</v>
      </c>
      <c r="B15" s="28">
        <v>5500</v>
      </c>
    </row>
    <row r="16" ht="33.3" customHeight="1">
      <c r="A16" t="s" s="24">
        <v>12</v>
      </c>
      <c r="B16" s="27">
        <f>B3+B13+B14+B15</f>
        <v>43750</v>
      </c>
    </row>
    <row r="17" ht="18.65" customHeight="1">
      <c r="A17" t="s" s="24">
        <v>11</v>
      </c>
      <c r="B17" s="29">
        <f>B12*12</f>
        <v>10360.5</v>
      </c>
    </row>
    <row r="18" ht="18.65" customHeight="1">
      <c r="A18" t="s" s="24">
        <v>13</v>
      </c>
      <c r="B18" s="30">
        <f>B17/B16*100</f>
        <v>23.6811428571429</v>
      </c>
    </row>
    <row r="19" ht="18.3" customHeight="1">
      <c r="A19" s="31"/>
      <c r="B19" s="26"/>
    </row>
    <row r="20" ht="18.3" customHeight="1">
      <c r="A20" s="31"/>
      <c r="B20" s="32"/>
    </row>
    <row r="21" ht="18.3" customHeight="1">
      <c r="A21" t="s" s="24">
        <v>14</v>
      </c>
      <c r="B21" s="33">
        <v>0.03</v>
      </c>
    </row>
    <row r="22" ht="18.3" customHeight="1">
      <c r="A22" s="31"/>
      <c r="B22" s="32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21.4844" style="34" customWidth="1"/>
    <col min="2" max="9" width="16.3516" style="34" customWidth="1"/>
    <col min="10" max="16384" width="16.3516" style="34" customWidth="1"/>
  </cols>
  <sheetData>
    <row r="1" ht="18.5" customHeight="1">
      <c r="A1" s="35"/>
      <c r="B1" s="35"/>
      <c r="C1" s="35"/>
      <c r="D1" s="35"/>
      <c r="E1" s="35"/>
      <c r="F1" s="35"/>
      <c r="G1" s="35"/>
      <c r="H1" s="35"/>
      <c r="I1" s="35"/>
    </row>
    <row r="2" ht="18.5" customHeight="1">
      <c r="A2" t="s" s="36">
        <v>28</v>
      </c>
      <c r="B2" s="37">
        <v>1075</v>
      </c>
      <c r="C2" s="38"/>
      <c r="D2" s="39"/>
      <c r="E2" s="39"/>
      <c r="F2" s="39"/>
      <c r="G2" s="39"/>
      <c r="H2" s="39"/>
      <c r="I2" s="39"/>
    </row>
    <row r="3" ht="18.3" customHeight="1">
      <c r="A3" s="40"/>
      <c r="B3" s="41"/>
      <c r="C3" s="42"/>
      <c r="D3" s="43"/>
      <c r="E3" s="43"/>
      <c r="F3" s="43"/>
      <c r="G3" s="43"/>
      <c r="H3" s="43"/>
      <c r="I3" s="43"/>
    </row>
    <row r="4" ht="18.3" customHeight="1">
      <c r="A4" t="s" s="44">
        <v>29</v>
      </c>
      <c r="B4" s="45">
        <v>0.5</v>
      </c>
      <c r="C4" s="42">
        <v>0.55</v>
      </c>
      <c r="D4" s="46">
        <v>0.6</v>
      </c>
      <c r="E4" s="42">
        <v>0.65</v>
      </c>
      <c r="F4" s="46">
        <v>0.7</v>
      </c>
      <c r="G4" s="42">
        <v>0.75</v>
      </c>
      <c r="H4" s="46">
        <v>0.8</v>
      </c>
      <c r="I4" s="42">
        <v>0.85</v>
      </c>
    </row>
    <row r="5" ht="20.05" customHeight="1">
      <c r="A5" t="s" s="44">
        <v>30</v>
      </c>
      <c r="B5" s="47">
        <v>1</v>
      </c>
      <c r="C5" s="48"/>
      <c r="D5" s="49"/>
      <c r="E5" s="49"/>
      <c r="F5" s="49"/>
      <c r="G5" s="49"/>
      <c r="H5" s="49"/>
      <c r="I5" s="49"/>
    </row>
    <row r="6" ht="18.3" customHeight="1">
      <c r="A6" t="s" s="44">
        <v>31</v>
      </c>
      <c r="B6" s="50">
        <v>130</v>
      </c>
      <c r="C6" s="48">
        <f>$B7</f>
        <v>130</v>
      </c>
      <c r="D6" s="48">
        <f>$B7</f>
        <v>130</v>
      </c>
      <c r="E6" s="48">
        <f>$B7</f>
        <v>130</v>
      </c>
      <c r="F6" s="48">
        <f>$B7</f>
        <v>130</v>
      </c>
      <c r="G6" s="48">
        <f>$B7</f>
        <v>130</v>
      </c>
      <c r="H6" s="48">
        <f>$B7</f>
        <v>130</v>
      </c>
      <c r="I6" s="48">
        <f>$B7</f>
        <v>130</v>
      </c>
    </row>
    <row r="7" ht="20.05" customHeight="1">
      <c r="A7" t="s" s="44">
        <v>32</v>
      </c>
      <c r="B7" s="51">
        <f>B6*B5</f>
        <v>130</v>
      </c>
      <c r="C7" s="48"/>
      <c r="D7" s="49"/>
      <c r="E7" s="49"/>
      <c r="F7" s="49"/>
      <c r="G7" s="49"/>
      <c r="H7" s="49"/>
      <c r="I7" s="49"/>
    </row>
    <row r="8" ht="18.3" customHeight="1">
      <c r="A8" t="s" s="44">
        <v>33</v>
      </c>
      <c r="B8" s="52">
        <f>B7*30*B4</f>
        <v>1950</v>
      </c>
      <c r="C8" s="53">
        <f>C6*30*C4</f>
        <v>2145</v>
      </c>
      <c r="D8" s="53">
        <f>D6*30*D4</f>
        <v>2340</v>
      </c>
      <c r="E8" s="53">
        <f>E6*30*E4</f>
        <v>2535</v>
      </c>
      <c r="F8" s="53">
        <f>F6*30*F4</f>
        <v>2730</v>
      </c>
      <c r="G8" s="53">
        <f>G6*30*G4</f>
        <v>2925</v>
      </c>
      <c r="H8" s="53">
        <f>H6*30*H4</f>
        <v>3120</v>
      </c>
      <c r="I8" s="53">
        <f>I6*30*I4</f>
        <v>3315</v>
      </c>
    </row>
    <row r="9" ht="18.3" customHeight="1">
      <c r="A9" t="s" s="44">
        <v>34</v>
      </c>
      <c r="B9" s="54">
        <v>300</v>
      </c>
      <c r="C9" s="48">
        <f>B9*1.1</f>
        <v>330</v>
      </c>
      <c r="D9" s="53">
        <f>B9*1.2</f>
        <v>360</v>
      </c>
      <c r="E9" s="53">
        <f>B9*1.3</f>
        <v>390</v>
      </c>
      <c r="F9" s="53">
        <f>B9*1.4</f>
        <v>420</v>
      </c>
      <c r="G9" s="53">
        <f>B9*1.5</f>
        <v>450</v>
      </c>
      <c r="H9" s="53">
        <f>B9*1.55</f>
        <v>465</v>
      </c>
      <c r="I9" s="53">
        <f>B9*1.6</f>
        <v>480</v>
      </c>
    </row>
    <row r="10" ht="18.3" customHeight="1">
      <c r="A10" t="s" s="44">
        <v>35</v>
      </c>
      <c r="B10" s="52">
        <f>B8*10%</f>
        <v>195</v>
      </c>
      <c r="C10" s="53">
        <f>C8*10%</f>
        <v>214.5</v>
      </c>
      <c r="D10" s="53">
        <f>D8*10%</f>
        <v>234</v>
      </c>
      <c r="E10" s="53">
        <f>E8*10%</f>
        <v>253.5</v>
      </c>
      <c r="F10" s="53">
        <f>F8*10%</f>
        <v>273</v>
      </c>
      <c r="G10" s="53">
        <f>G8*10%</f>
        <v>292.5</v>
      </c>
      <c r="H10" s="53">
        <f>H8*10%</f>
        <v>312</v>
      </c>
      <c r="I10" s="53">
        <f>I8*10%</f>
        <v>331.5</v>
      </c>
    </row>
    <row r="11" ht="33.3" customHeight="1">
      <c r="A11" t="s" s="44">
        <v>36</v>
      </c>
      <c r="B11" s="52">
        <f>B8*0.18</f>
        <v>351</v>
      </c>
      <c r="C11" s="53">
        <f>C8*0.18</f>
        <v>386.1</v>
      </c>
      <c r="D11" s="53">
        <f>D8*0.18</f>
        <v>421.2</v>
      </c>
      <c r="E11" s="53">
        <f>E8*0.18</f>
        <v>456.3</v>
      </c>
      <c r="F11" s="53">
        <f>F8*0.18</f>
        <v>491.4</v>
      </c>
      <c r="G11" s="53">
        <f>G8*0.18</f>
        <v>526.5</v>
      </c>
      <c r="H11" s="53">
        <f>H8*0.18</f>
        <v>561.6</v>
      </c>
      <c r="I11" s="53">
        <f>I8*0.18</f>
        <v>596.7</v>
      </c>
    </row>
    <row r="12" ht="18.3" customHeight="1">
      <c r="A12" t="s" s="44">
        <v>37</v>
      </c>
      <c r="B12" s="52">
        <f>B11+B10+B9+$B$2</f>
        <v>1921</v>
      </c>
      <c r="C12" s="53">
        <f>C11+C10+C9+$B$2</f>
        <v>2005.6</v>
      </c>
      <c r="D12" s="53">
        <f>D11+D10+D9+$B$2</f>
        <v>2090.2</v>
      </c>
      <c r="E12" s="53">
        <f>E11+E10+E9+$B$2</f>
        <v>2174.8</v>
      </c>
      <c r="F12" s="53">
        <f>F11+F10+F9+$B$2</f>
        <v>2259.4</v>
      </c>
      <c r="G12" s="53">
        <f>G11+G10+G9+$B$2</f>
        <v>2344</v>
      </c>
      <c r="H12" s="53">
        <f>H11+H10+H9+$B$2</f>
        <v>2413.6</v>
      </c>
      <c r="I12" s="53">
        <f>I11+I10+I9+$B$2</f>
        <v>2483.2</v>
      </c>
    </row>
    <row r="13" ht="18.3" customHeight="1">
      <c r="A13" t="s" s="44">
        <v>38</v>
      </c>
      <c r="B13" s="55">
        <f>B8-B12</f>
        <v>29</v>
      </c>
      <c r="C13" s="56">
        <f>C8-C12</f>
        <v>139.4</v>
      </c>
      <c r="D13" s="56">
        <f>D8-D12</f>
        <v>249.8</v>
      </c>
      <c r="E13" s="56">
        <f>E8-E12</f>
        <v>360.2</v>
      </c>
      <c r="F13" s="56">
        <f>F8-F12</f>
        <v>470.6</v>
      </c>
      <c r="G13" s="56">
        <f>G8-G12</f>
        <v>581</v>
      </c>
      <c r="H13" s="56">
        <f>H8-H12</f>
        <v>706.4</v>
      </c>
      <c r="I13" s="56">
        <f>I8-I12</f>
        <v>831.8</v>
      </c>
    </row>
    <row r="14" ht="20.05" customHeight="1">
      <c r="A14" s="40"/>
      <c r="B14" s="55"/>
      <c r="C14" s="56"/>
      <c r="D14" s="43"/>
      <c r="E14" s="43"/>
      <c r="F14" s="49"/>
      <c r="G14" s="49"/>
      <c r="H14" s="49"/>
      <c r="I14" s="49"/>
    </row>
    <row r="15" ht="18.3" customHeight="1">
      <c r="A15" t="s" s="44">
        <v>28</v>
      </c>
      <c r="B15" s="54">
        <v>1450</v>
      </c>
      <c r="C15" s="48"/>
      <c r="D15" s="43"/>
      <c r="E15" s="43"/>
      <c r="F15" s="43"/>
      <c r="G15" s="43"/>
      <c r="H15" s="43"/>
      <c r="I15" s="43"/>
    </row>
    <row r="16" ht="18.3" customHeight="1">
      <c r="A16" s="40"/>
      <c r="B16" s="41"/>
      <c r="C16" s="42"/>
      <c r="D16" s="43"/>
      <c r="E16" s="43"/>
      <c r="F16" s="43"/>
      <c r="G16" s="43"/>
      <c r="H16" s="43"/>
      <c r="I16" s="43"/>
    </row>
    <row r="17" ht="18.3" customHeight="1">
      <c r="A17" t="s" s="44">
        <v>29</v>
      </c>
      <c r="B17" s="45">
        <v>0.5</v>
      </c>
      <c r="C17" s="42">
        <v>0.55</v>
      </c>
      <c r="D17" s="46">
        <v>0.6</v>
      </c>
      <c r="E17" s="42">
        <v>0.65</v>
      </c>
      <c r="F17" s="46">
        <v>0.7</v>
      </c>
      <c r="G17" s="42">
        <v>0.75</v>
      </c>
      <c r="H17" s="46">
        <v>0.8</v>
      </c>
      <c r="I17" s="42">
        <v>0.85</v>
      </c>
    </row>
    <row r="18" ht="20.05" customHeight="1">
      <c r="A18" t="s" s="44">
        <v>30</v>
      </c>
      <c r="B18" s="47">
        <v>1</v>
      </c>
      <c r="C18" s="48"/>
      <c r="D18" s="49"/>
      <c r="E18" s="49"/>
      <c r="F18" s="49"/>
      <c r="G18" s="49"/>
      <c r="H18" s="49"/>
      <c r="I18" s="49"/>
    </row>
    <row r="19" ht="18.3" customHeight="1">
      <c r="A19" t="s" s="44">
        <v>31</v>
      </c>
      <c r="B19" s="50">
        <v>140</v>
      </c>
      <c r="C19" s="48">
        <f>$B20</f>
        <v>140</v>
      </c>
      <c r="D19" s="48">
        <f>$B20</f>
        <v>140</v>
      </c>
      <c r="E19" s="48">
        <f>$B20</f>
        <v>140</v>
      </c>
      <c r="F19" s="48">
        <f>$B20</f>
        <v>140</v>
      </c>
      <c r="G19" s="48">
        <f>$B20</f>
        <v>140</v>
      </c>
      <c r="H19" s="48">
        <f>$B20</f>
        <v>140</v>
      </c>
      <c r="I19" s="48">
        <f>$B20</f>
        <v>140</v>
      </c>
    </row>
    <row r="20" ht="20.05" customHeight="1">
      <c r="A20" t="s" s="44">
        <v>32</v>
      </c>
      <c r="B20" s="51">
        <f>B19*B18</f>
        <v>140</v>
      </c>
      <c r="C20" s="48"/>
      <c r="D20" s="49"/>
      <c r="E20" s="49"/>
      <c r="F20" s="49"/>
      <c r="G20" s="49"/>
      <c r="H20" s="49"/>
      <c r="I20" s="49"/>
    </row>
    <row r="21" ht="18.3" customHeight="1">
      <c r="A21" t="s" s="44">
        <v>33</v>
      </c>
      <c r="B21" s="52">
        <f>B20*30*B17</f>
        <v>2100</v>
      </c>
      <c r="C21" s="53">
        <f>C19*30*C17</f>
        <v>2310</v>
      </c>
      <c r="D21" s="53">
        <f>D19*30*D17</f>
        <v>2520</v>
      </c>
      <c r="E21" s="53">
        <f>E19*30*E17</f>
        <v>2730</v>
      </c>
      <c r="F21" s="53">
        <f>F19*30*F17</f>
        <v>2940</v>
      </c>
      <c r="G21" s="53">
        <f>G19*30*G17</f>
        <v>3150</v>
      </c>
      <c r="H21" s="53">
        <f>H19*30*H17</f>
        <v>3360</v>
      </c>
      <c r="I21" s="53">
        <f>I19*30*I17</f>
        <v>3570</v>
      </c>
    </row>
    <row r="22" ht="18.3" customHeight="1">
      <c r="A22" t="s" s="44">
        <v>34</v>
      </c>
      <c r="B22" s="54">
        <v>0</v>
      </c>
      <c r="C22" s="48">
        <f>B22*1.1</f>
        <v>0</v>
      </c>
      <c r="D22" s="53">
        <f>B22*1.2</f>
        <v>0</v>
      </c>
      <c r="E22" s="53">
        <f>B22*1.3</f>
        <v>0</v>
      </c>
      <c r="F22" s="53">
        <f>B22*1.4</f>
        <v>0</v>
      </c>
      <c r="G22" s="53">
        <f>B22*1.5</f>
        <v>0</v>
      </c>
      <c r="H22" s="53">
        <f>B22*1.55</f>
        <v>0</v>
      </c>
      <c r="I22" s="53">
        <f>B22*1.6</f>
        <v>0</v>
      </c>
    </row>
    <row r="23" ht="18.3" customHeight="1">
      <c r="A23" t="s" s="44">
        <v>35</v>
      </c>
      <c r="B23" s="52">
        <f>B21*10%</f>
        <v>210</v>
      </c>
      <c r="C23" s="53">
        <f>C21*10%</f>
        <v>231</v>
      </c>
      <c r="D23" s="53">
        <f>D21*10%</f>
        <v>252</v>
      </c>
      <c r="E23" s="53">
        <f>E21*10%</f>
        <v>273</v>
      </c>
      <c r="F23" s="53">
        <f>F21*10%</f>
        <v>294</v>
      </c>
      <c r="G23" s="53">
        <f>G21*10%</f>
        <v>315</v>
      </c>
      <c r="H23" s="53">
        <f>H21*10%</f>
        <v>336</v>
      </c>
      <c r="I23" s="53">
        <f>I21*10%</f>
        <v>357</v>
      </c>
    </row>
    <row r="24" ht="33.3" customHeight="1">
      <c r="A24" t="s" s="44">
        <v>39</v>
      </c>
      <c r="B24" s="52">
        <f>B21*0.12</f>
        <v>252</v>
      </c>
      <c r="C24" s="53">
        <f>C21*0.12</f>
        <v>277.2</v>
      </c>
      <c r="D24" s="53">
        <f>D21*0.12</f>
        <v>302.4</v>
      </c>
      <c r="E24" s="53">
        <f>E21*0.12</f>
        <v>327.6</v>
      </c>
      <c r="F24" s="53">
        <f>F21*0.12</f>
        <v>352.8</v>
      </c>
      <c r="G24" s="53">
        <f>G21*0.12</f>
        <v>378</v>
      </c>
      <c r="H24" s="53">
        <f>H21*0.12</f>
        <v>403.2</v>
      </c>
      <c r="I24" s="53">
        <f>I21*0.12</f>
        <v>428.4</v>
      </c>
    </row>
    <row r="25" ht="18.3" customHeight="1">
      <c r="A25" t="s" s="44">
        <v>37</v>
      </c>
      <c r="B25" s="52">
        <f>B24+B23+B22+$B$15</f>
        <v>1912</v>
      </c>
      <c r="C25" s="53">
        <f>C24+C23+C22+$B$15</f>
        <v>1958.2</v>
      </c>
      <c r="D25" s="53">
        <f>D24+D23+D22+$B$15</f>
        <v>2004.4</v>
      </c>
      <c r="E25" s="53">
        <f>E24+E23+E22+$B$15</f>
        <v>2050.6</v>
      </c>
      <c r="F25" s="53">
        <f>F24+F23+F22+$B$15</f>
        <v>2096.8</v>
      </c>
      <c r="G25" s="53">
        <f>G24+G23+G22+$B$15</f>
        <v>2143</v>
      </c>
      <c r="H25" s="53">
        <f>H24+H23+H22+$B$15</f>
        <v>2189.2</v>
      </c>
      <c r="I25" s="53">
        <f>I24+I23+I22+$B$15</f>
        <v>2235.4</v>
      </c>
    </row>
    <row r="26" ht="18.3" customHeight="1">
      <c r="A26" t="s" s="44">
        <v>38</v>
      </c>
      <c r="B26" s="55">
        <f>B21-B25</f>
        <v>188</v>
      </c>
      <c r="C26" s="56">
        <f>C21-C25</f>
        <v>351.8</v>
      </c>
      <c r="D26" s="56">
        <f>D21-D25</f>
        <v>515.6</v>
      </c>
      <c r="E26" s="56">
        <f>E21-E25</f>
        <v>679.4</v>
      </c>
      <c r="F26" s="56">
        <f>F21-F25</f>
        <v>843.2</v>
      </c>
      <c r="G26" s="56">
        <f>G21-G25</f>
        <v>1007</v>
      </c>
      <c r="H26" s="56">
        <f>H21-H25</f>
        <v>1170.8</v>
      </c>
      <c r="I26" s="56">
        <f>I21-I25</f>
        <v>1334.6</v>
      </c>
    </row>
    <row r="27" ht="20.05" customHeight="1">
      <c r="A27" s="40"/>
      <c r="B27" s="57"/>
      <c r="C27" s="49"/>
      <c r="D27" s="43"/>
      <c r="E27" s="43"/>
      <c r="F27" s="49"/>
      <c r="G27" s="49"/>
      <c r="H27" s="49"/>
      <c r="I27" s="49"/>
    </row>
    <row r="28" ht="20.05" customHeight="1">
      <c r="A28" s="40"/>
      <c r="B28" s="57"/>
      <c r="C28" s="49"/>
      <c r="D28" s="43"/>
      <c r="E28" s="43"/>
      <c r="F28" s="49"/>
      <c r="G28" s="49"/>
      <c r="H28" s="49"/>
      <c r="I28" s="49"/>
    </row>
    <row r="29" ht="20.05" customHeight="1">
      <c r="A29" s="40"/>
      <c r="B29" s="57"/>
      <c r="C29" s="49"/>
      <c r="D29" s="43"/>
      <c r="E29" s="43"/>
      <c r="F29" s="49"/>
      <c r="G29" s="49"/>
      <c r="H29" s="49"/>
      <c r="I29" s="49"/>
    </row>
    <row r="30" ht="20.05" customHeight="1">
      <c r="A30" s="40"/>
      <c r="B30" s="57"/>
      <c r="C30" s="49"/>
      <c r="D30" s="43"/>
      <c r="E30" s="43"/>
      <c r="F30" s="49"/>
      <c r="G30" s="49"/>
      <c r="H30" s="49"/>
      <c r="I30" s="49"/>
    </row>
    <row r="31" ht="20.05" customHeight="1">
      <c r="A31" s="40"/>
      <c r="B31" s="57"/>
      <c r="C31" s="49"/>
      <c r="D31" s="43"/>
      <c r="E31" s="43"/>
      <c r="F31" s="49"/>
      <c r="G31" s="49"/>
      <c r="H31" s="49"/>
      <c r="I31" s="49"/>
    </row>
    <row r="32" ht="20.05" customHeight="1">
      <c r="A32" s="40"/>
      <c r="B32" s="57"/>
      <c r="C32" s="49"/>
      <c r="D32" s="43"/>
      <c r="E32" s="43"/>
      <c r="F32" s="49"/>
      <c r="G32" s="49"/>
      <c r="H32" s="49"/>
      <c r="I32" s="4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3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21.4844" style="58" customWidth="1"/>
    <col min="2" max="2" width="16.3516" style="58" customWidth="1"/>
    <col min="3" max="16384" width="16.3516" style="58" customWidth="1"/>
  </cols>
  <sheetData>
    <row r="1" ht="18.5" customHeight="1">
      <c r="A1" s="35"/>
      <c r="B1" s="35"/>
    </row>
    <row r="2" ht="18.5" customHeight="1">
      <c r="A2" t="s" s="36">
        <v>40</v>
      </c>
      <c r="B2" s="37">
        <v>489</v>
      </c>
    </row>
    <row r="3" ht="18.3" customHeight="1">
      <c r="A3" s="59"/>
      <c r="B3" s="41"/>
    </row>
    <row r="4" ht="18.3" customHeight="1">
      <c r="A4" t="s" s="19">
        <v>21</v>
      </c>
      <c r="B4" s="22">
        <v>1</v>
      </c>
    </row>
    <row r="5" ht="18.3" customHeight="1">
      <c r="A5" t="s" s="19">
        <v>22</v>
      </c>
      <c r="B5" s="22">
        <v>625</v>
      </c>
    </row>
    <row r="6" ht="33.3" customHeight="1">
      <c r="A6" t="s" s="19">
        <v>41</v>
      </c>
      <c r="B6" s="22"/>
    </row>
    <row r="7" ht="18.3" customHeight="1">
      <c r="A7" t="s" s="19">
        <v>3</v>
      </c>
      <c r="B7" s="23">
        <f>B4*B5+B6</f>
        <v>625</v>
      </c>
    </row>
    <row r="8" ht="18.3" customHeight="1">
      <c r="A8" t="s" s="19">
        <v>6</v>
      </c>
      <c r="B8" s="22">
        <v>0</v>
      </c>
    </row>
    <row r="9" ht="33.3" customHeight="1">
      <c r="A9" t="s" s="19">
        <v>24</v>
      </c>
      <c r="B9" s="21">
        <f>0.1*B7</f>
        <v>62.5</v>
      </c>
    </row>
    <row r="10" ht="18.3" customHeight="1">
      <c r="A10" t="s" s="60">
        <v>42</v>
      </c>
      <c r="B10" s="52">
        <f>B8+B9+B2</f>
        <v>551.5</v>
      </c>
    </row>
    <row r="11" ht="18.3" customHeight="1">
      <c r="A11" s="40"/>
      <c r="B11" s="55"/>
    </row>
    <row r="12" ht="18.3" customHeight="1">
      <c r="A12" t="s" s="44">
        <v>43</v>
      </c>
      <c r="B12" s="54"/>
    </row>
    <row r="13" ht="18.3" customHeight="1">
      <c r="A13" t="s" s="44">
        <v>2</v>
      </c>
      <c r="B13" s="54"/>
    </row>
    <row r="14" ht="18.3" customHeight="1">
      <c r="A14" t="s" s="44">
        <v>10</v>
      </c>
      <c r="B14" s="54"/>
    </row>
    <row r="15" ht="18.3" customHeight="1">
      <c r="A15" t="s" s="44">
        <v>44</v>
      </c>
      <c r="B15" s="52">
        <f>B12+B14+B2+B13</f>
        <v>489</v>
      </c>
    </row>
    <row r="16" ht="18.3" customHeight="1">
      <c r="A16" s="40"/>
      <c r="B16" s="52"/>
    </row>
    <row r="17" ht="18.3" customHeight="1">
      <c r="A17" t="s" s="44">
        <v>38</v>
      </c>
      <c r="B17" s="55">
        <f>B7-B10</f>
        <v>73.5</v>
      </c>
    </row>
    <row r="18" ht="18.3" customHeight="1">
      <c r="A18" t="s" s="44">
        <v>11</v>
      </c>
      <c r="B18" s="52">
        <f>B17*12</f>
        <v>882</v>
      </c>
    </row>
    <row r="19" ht="18.3" customHeight="1">
      <c r="A19" t="s" s="44">
        <v>13</v>
      </c>
      <c r="B19" s="61">
        <f>(B18/B15)</f>
        <v>1.80368098159509</v>
      </c>
    </row>
    <row r="20" ht="18.3" customHeight="1">
      <c r="A20" s="40"/>
      <c r="B20" s="52"/>
    </row>
    <row r="21" ht="18.3" customHeight="1">
      <c r="A21" s="40"/>
      <c r="B21" s="52"/>
    </row>
    <row r="22" ht="18.3" customHeight="1">
      <c r="A22" s="40"/>
      <c r="B22" s="55"/>
    </row>
    <row r="23" ht="18" customHeight="1">
      <c r="A23" s="40"/>
      <c r="B23" s="55"/>
    </row>
    <row r="24" ht="18" customHeight="1">
      <c r="A24" s="40"/>
      <c r="B24" s="41"/>
    </row>
    <row r="25" ht="18" customHeight="1">
      <c r="A25" s="40"/>
      <c r="B25" s="51"/>
    </row>
    <row r="26" ht="18" customHeight="1">
      <c r="A26" s="40"/>
      <c r="B26" s="52"/>
    </row>
    <row r="27" ht="18" customHeight="1">
      <c r="A27" s="40"/>
      <c r="B27" s="52"/>
    </row>
    <row r="28" ht="18" customHeight="1">
      <c r="A28" s="40"/>
      <c r="B28" s="52"/>
    </row>
    <row r="29" ht="18" customHeight="1">
      <c r="A29" s="40"/>
      <c r="B29" s="52"/>
    </row>
    <row r="30" ht="18.3" customHeight="1">
      <c r="A30" s="40"/>
      <c r="B30" s="52"/>
    </row>
    <row r="31" ht="18" customHeight="1">
      <c r="A31" s="40"/>
      <c r="B31" s="52"/>
    </row>
    <row r="32" ht="18" customHeight="1">
      <c r="A32" s="40"/>
      <c r="B32" s="55"/>
    </row>
    <row r="33" ht="18" customHeight="1">
      <c r="A33" s="40"/>
      <c r="B33" s="55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4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3.9" customHeight="1" outlineLevelRow="0" outlineLevelCol="0"/>
  <cols>
    <col min="1" max="1" width="35.2891" style="62" customWidth="1"/>
    <col min="2" max="3" width="16.3516" style="62" customWidth="1"/>
    <col min="4" max="16384" width="16.3516" style="62" customWidth="1"/>
  </cols>
  <sheetData>
    <row r="1" ht="15" customHeight="1">
      <c r="A1" s="63"/>
      <c r="B1" t="s" s="3">
        <v>45</v>
      </c>
      <c r="C1" s="3"/>
    </row>
    <row r="2" ht="15" customHeight="1">
      <c r="A2" t="s" s="64">
        <v>46</v>
      </c>
      <c r="B2" s="65">
        <v>400</v>
      </c>
      <c r="C2" s="66"/>
    </row>
    <row r="3" ht="15" customHeight="1">
      <c r="A3" s="67"/>
      <c r="B3" s="68"/>
      <c r="C3" s="69"/>
    </row>
    <row r="4" ht="15" customHeight="1">
      <c r="A4" t="s" s="70">
        <v>21</v>
      </c>
      <c r="B4" s="71">
        <v>1</v>
      </c>
      <c r="C4" s="72"/>
    </row>
    <row r="5" ht="15" customHeight="1">
      <c r="A5" t="s" s="70">
        <v>22</v>
      </c>
      <c r="B5" s="71">
        <v>825</v>
      </c>
      <c r="C5" s="72"/>
    </row>
    <row r="6" ht="15" customHeight="1">
      <c r="A6" t="s" s="70">
        <v>41</v>
      </c>
      <c r="B6" s="71"/>
      <c r="C6" s="72"/>
    </row>
    <row r="7" ht="15" customHeight="1">
      <c r="A7" t="s" s="70">
        <v>3</v>
      </c>
      <c r="B7" s="73">
        <f>B4*B5+B6</f>
        <v>825</v>
      </c>
      <c r="C7" s="74"/>
    </row>
    <row r="8" ht="15" customHeight="1">
      <c r="A8" t="s" s="70">
        <v>6</v>
      </c>
      <c r="B8" s="71">
        <v>0</v>
      </c>
      <c r="C8" s="72"/>
    </row>
    <row r="9" ht="15" customHeight="1">
      <c r="A9" t="s" s="70">
        <v>47</v>
      </c>
      <c r="B9" s="73">
        <f>0.22*B7</f>
        <v>181.5</v>
      </c>
      <c r="C9" s="74"/>
    </row>
    <row r="10" ht="15" customHeight="1">
      <c r="A10" t="s" s="70">
        <v>42</v>
      </c>
      <c r="B10" s="52">
        <f>B8+B9+B2</f>
        <v>581.5</v>
      </c>
      <c r="C10" s="53"/>
    </row>
    <row r="11" ht="15" customHeight="1">
      <c r="A11" s="67"/>
      <c r="B11" s="52"/>
      <c r="C11" s="53"/>
    </row>
    <row r="12" ht="15" customHeight="1">
      <c r="A12" t="s" s="70">
        <v>43</v>
      </c>
      <c r="B12" s="75">
        <v>0</v>
      </c>
      <c r="C12" s="76"/>
    </row>
    <row r="13" ht="15" customHeight="1">
      <c r="A13" t="s" s="70">
        <v>2</v>
      </c>
      <c r="B13" s="75">
        <v>2500</v>
      </c>
      <c r="C13" s="76"/>
    </row>
    <row r="14" ht="15" customHeight="1">
      <c r="A14" t="s" s="70">
        <v>10</v>
      </c>
      <c r="B14" s="75">
        <v>0</v>
      </c>
      <c r="C14" s="76"/>
    </row>
    <row r="15" ht="15" customHeight="1">
      <c r="A15" t="s" s="70">
        <v>44</v>
      </c>
      <c r="B15" s="52">
        <f>B12+B14+B2+B13</f>
        <v>2900</v>
      </c>
      <c r="C15" s="53"/>
    </row>
    <row r="16" ht="15" customHeight="1">
      <c r="A16" s="67"/>
      <c r="B16" s="52"/>
      <c r="C16" s="53"/>
    </row>
    <row r="17" ht="15" customHeight="1">
      <c r="A17" t="s" s="70">
        <v>11</v>
      </c>
      <c r="B17" s="52">
        <f>B25*12</f>
        <v>2922</v>
      </c>
      <c r="C17" s="53"/>
    </row>
    <row r="18" ht="15" customHeight="1">
      <c r="A18" t="s" s="70">
        <v>13</v>
      </c>
      <c r="B18" s="61">
        <f>(B17/B15)</f>
        <v>1.00758620689655</v>
      </c>
      <c r="C18" s="77"/>
    </row>
    <row r="19" ht="15" customHeight="1">
      <c r="A19" s="67"/>
      <c r="B19" s="52"/>
      <c r="C19" s="53"/>
    </row>
    <row r="20" ht="15" customHeight="1">
      <c r="A20" t="s" s="70">
        <v>48</v>
      </c>
      <c r="B20" s="78">
        <v>0.03</v>
      </c>
      <c r="C20" s="79"/>
    </row>
    <row r="21" ht="15" customHeight="1">
      <c r="A21" t="s" s="70">
        <v>49</v>
      </c>
      <c r="B21" s="71">
        <v>10</v>
      </c>
      <c r="C21" s="72"/>
    </row>
    <row r="22" ht="15" customHeight="1">
      <c r="A22" t="s" s="70">
        <v>50</v>
      </c>
      <c r="B22" s="52">
        <v>250000</v>
      </c>
      <c r="C22" s="53"/>
    </row>
    <row r="23" ht="15" customHeight="1">
      <c r="A23" t="s" s="70">
        <v>51</v>
      </c>
      <c r="B23" s="52">
        <f>B22/0.75</f>
        <v>333333.333333333</v>
      </c>
      <c r="C23" s="43"/>
    </row>
    <row r="24" ht="15" customHeight="1">
      <c r="A24" s="70"/>
      <c r="B24" s="80"/>
      <c r="C24" s="77"/>
    </row>
    <row r="25" ht="15" customHeight="1">
      <c r="A25" t="s" s="70">
        <v>52</v>
      </c>
      <c r="B25" s="55">
        <f>B7-B10</f>
        <v>243.5</v>
      </c>
      <c r="C25" s="53"/>
    </row>
    <row r="26" ht="15" customHeight="1">
      <c r="A26" t="s" s="70">
        <v>53</v>
      </c>
      <c r="B26" s="55">
        <f>(B22*((1+B20)^B21))-B22</f>
        <v>85979.094836030607</v>
      </c>
      <c r="C26" s="53"/>
    </row>
    <row r="27" ht="15" customHeight="1">
      <c r="A27" t="s" s="70">
        <v>54</v>
      </c>
      <c r="B27" s="81">
        <f>LOG((B23/B22),(1+B20))</f>
        <v>9.73253483348007</v>
      </c>
      <c r="C27" s="82"/>
    </row>
    <row r="28" ht="15" customHeight="1">
      <c r="A28" t="s" s="70">
        <v>55</v>
      </c>
      <c r="B28" s="61">
        <f>(((B17*B21)+B26)/B15)/B21</f>
        <v>3.97238258055278</v>
      </c>
      <c r="C28" s="77"/>
    </row>
    <row r="29" ht="15" customHeight="1">
      <c r="A29" s="67"/>
      <c r="B29" s="52"/>
      <c r="C29" s="53"/>
    </row>
    <row r="30" ht="15" customHeight="1">
      <c r="A30" s="67"/>
      <c r="B30" s="52"/>
      <c r="C30" s="53"/>
    </row>
    <row r="31" ht="15" customHeight="1">
      <c r="A31" s="67"/>
      <c r="B31" s="83"/>
      <c r="C31" s="43"/>
    </row>
    <row r="32" ht="15" customHeight="1">
      <c r="A32" s="67"/>
      <c r="B32" s="52"/>
      <c r="C32" s="53"/>
    </row>
    <row r="33" ht="15" customHeight="1">
      <c r="A33" s="67"/>
      <c r="B33" s="52"/>
      <c r="C33" s="53"/>
    </row>
    <row r="34" ht="15" customHeight="1">
      <c r="A34" s="67"/>
      <c r="B34" s="52"/>
      <c r="C34" s="53"/>
    </row>
    <row r="35" ht="15" customHeight="1">
      <c r="A35" s="67"/>
      <c r="B35" s="52"/>
      <c r="C35" s="53"/>
    </row>
    <row r="36" ht="15" customHeight="1">
      <c r="A36" s="67"/>
      <c r="B36" s="83"/>
      <c r="C36" s="43"/>
    </row>
    <row r="37" ht="15" customHeight="1">
      <c r="A37" s="67"/>
      <c r="B37" s="83"/>
      <c r="C37" s="43"/>
    </row>
    <row r="38" ht="15" customHeight="1">
      <c r="A38" s="67"/>
      <c r="B38" s="83"/>
      <c r="C38" s="43"/>
    </row>
    <row r="39" ht="15" customHeight="1">
      <c r="A39" s="67"/>
      <c r="B39" s="83"/>
      <c r="C39" s="43"/>
    </row>
    <row r="40" ht="15" customHeight="1">
      <c r="A40" s="67"/>
      <c r="B40" s="83"/>
      <c r="C40" s="43"/>
    </row>
    <row r="41" ht="15" customHeight="1">
      <c r="A41" s="67"/>
      <c r="B41" s="83"/>
      <c r="C41" s="43"/>
    </row>
    <row r="42" ht="15" customHeight="1">
      <c r="A42" s="67"/>
      <c r="B42" s="83"/>
      <c r="C42" s="43"/>
    </row>
    <row r="43" ht="15" customHeight="1">
      <c r="A43" s="67"/>
      <c r="B43" s="83"/>
      <c r="C43" s="4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6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27.625" style="84" customWidth="1"/>
    <col min="2" max="2" width="16.3516" style="84" customWidth="1"/>
    <col min="3" max="16384" width="16.3516" style="84" customWidth="1"/>
  </cols>
  <sheetData>
    <row r="1" ht="18.5" customHeight="1">
      <c r="A1" s="2"/>
      <c r="B1" t="s" s="85">
        <v>56</v>
      </c>
    </row>
    <row r="2" ht="18.5" customHeight="1">
      <c r="A2" t="s" s="4">
        <v>1</v>
      </c>
      <c r="B2" s="5">
        <v>86750</v>
      </c>
    </row>
    <row r="3" ht="18.3" customHeight="1">
      <c r="A3" t="s" s="6">
        <v>9</v>
      </c>
      <c r="B3" s="86">
        <f>(B2*0.03)+1750</f>
        <v>4352.5</v>
      </c>
    </row>
    <row r="4" ht="18.3" customHeight="1">
      <c r="A4" t="s" s="6">
        <v>57</v>
      </c>
      <c r="B4" s="8">
        <v>140000</v>
      </c>
    </row>
    <row r="5" ht="18.3" customHeight="1">
      <c r="A5" t="s" s="6">
        <v>58</v>
      </c>
      <c r="B5" s="87">
        <f>0.75*B4</f>
        <v>105000</v>
      </c>
    </row>
    <row r="6" ht="18.65" customHeight="1">
      <c r="A6" t="s" s="88">
        <v>10</v>
      </c>
      <c r="B6" s="89">
        <v>17000</v>
      </c>
    </row>
    <row r="7" ht="18.65" customHeight="1">
      <c r="A7" t="s" s="90">
        <v>59</v>
      </c>
      <c r="B7" s="91">
        <f>B2-B9</f>
        <v>38435.125</v>
      </c>
    </row>
    <row r="8" ht="18.3" customHeight="1">
      <c r="A8" t="s" s="6">
        <v>60</v>
      </c>
      <c r="B8" s="92">
        <f>B2*0.65+B6</f>
        <v>73387.5</v>
      </c>
    </row>
    <row r="9" ht="18.3" customHeight="1">
      <c r="A9" t="s" s="6">
        <v>61</v>
      </c>
      <c r="B9" s="93">
        <f>B8-B11-B6</f>
        <v>48314.875</v>
      </c>
    </row>
    <row r="10" ht="18.3" customHeight="1">
      <c r="A10" t="s" s="6">
        <v>62</v>
      </c>
      <c r="B10" s="8">
        <v>6</v>
      </c>
    </row>
    <row r="11" ht="18.65" customHeight="1">
      <c r="A11" t="s" s="88">
        <v>63</v>
      </c>
      <c r="B11" s="94">
        <f>(B8*0.01*B10)+(B8*0.05)</f>
        <v>8072.625</v>
      </c>
    </row>
    <row r="12" ht="18.65" customHeight="1">
      <c r="A12" t="s" s="90">
        <v>3</v>
      </c>
      <c r="B12" s="95">
        <v>575</v>
      </c>
    </row>
    <row r="13" ht="18.3" customHeight="1">
      <c r="A13" t="s" s="6">
        <v>4</v>
      </c>
      <c r="B13" s="96">
        <f>((B5)*0.03)/12</f>
        <v>262.5</v>
      </c>
    </row>
    <row r="14" ht="18.3" customHeight="1">
      <c r="A14" t="s" s="6">
        <v>64</v>
      </c>
      <c r="B14" s="86">
        <f>B12*0.2</f>
        <v>115</v>
      </c>
    </row>
    <row r="15" ht="18.3" customHeight="1">
      <c r="A15" t="s" s="6">
        <v>65</v>
      </c>
      <c r="B15" s="87">
        <f>B12-B13-B14</f>
        <v>197.5</v>
      </c>
    </row>
    <row r="16" ht="18.65" customHeight="1">
      <c r="A16" t="s" s="88">
        <v>11</v>
      </c>
      <c r="B16" s="97">
        <f>12*B15</f>
        <v>2370</v>
      </c>
    </row>
    <row r="17" ht="18.65" customHeight="1">
      <c r="A17" t="s" s="90">
        <v>66</v>
      </c>
      <c r="B17" s="98">
        <f>B2+B3+B6</f>
        <v>108102.5</v>
      </c>
    </row>
    <row r="18" ht="33.3" customHeight="1">
      <c r="A18" t="s" s="6">
        <v>67</v>
      </c>
      <c r="B18" s="99">
        <f>B7+B3</f>
        <v>42787.625</v>
      </c>
    </row>
    <row r="19" ht="18.3" customHeight="1">
      <c r="A19" t="s" s="6">
        <v>68</v>
      </c>
      <c r="B19" s="100">
        <f>(B2+B3+B6)-B5</f>
        <v>3102.5</v>
      </c>
    </row>
    <row r="20" ht="18.65" customHeight="1">
      <c r="A20" t="s" s="88">
        <v>69</v>
      </c>
      <c r="B20" s="101">
        <f>B19+B11</f>
        <v>11175.125</v>
      </c>
    </row>
    <row r="21" ht="18.65" customHeight="1">
      <c r="A21" t="s" s="90">
        <v>13</v>
      </c>
      <c r="B21" s="102">
        <f>(B16/B19)*100</f>
        <v>76.3900080580177</v>
      </c>
    </row>
    <row r="22" ht="18.3" customHeight="1">
      <c r="A22" t="s" s="6">
        <v>70</v>
      </c>
      <c r="B22" s="11">
        <f>(B16/B20)*100</f>
        <v>21.2078164673773</v>
      </c>
    </row>
    <row r="23" ht="18.3" customHeight="1">
      <c r="A23" s="12"/>
      <c r="B23" s="9"/>
    </row>
    <row r="24" ht="18.3" customHeight="1">
      <c r="A24" s="12"/>
      <c r="B24" s="32"/>
    </row>
    <row r="25" ht="18.3" customHeight="1">
      <c r="A25" t="s" s="6">
        <v>71</v>
      </c>
      <c r="B25" s="7">
        <f>B4-(B2+B3+B6)</f>
        <v>31897.5</v>
      </c>
    </row>
    <row r="26" ht="18.3" customHeight="1">
      <c r="A26" t="s" s="6">
        <v>72</v>
      </c>
      <c r="B26" s="103">
        <f>B25-B11</f>
        <v>23824.875</v>
      </c>
    </row>
    <row r="27" ht="18.3" customHeight="1">
      <c r="A27" s="12"/>
      <c r="B27" s="9"/>
    </row>
    <row r="28" ht="18.3" customHeight="1">
      <c r="A28" t="s" s="6">
        <v>73</v>
      </c>
      <c r="B28" s="7">
        <f>(B4*0.95)-(B2+B3+B6)</f>
        <v>24897.5</v>
      </c>
    </row>
    <row r="29" ht="18.3" customHeight="1">
      <c r="A29" t="s" s="6">
        <v>74</v>
      </c>
      <c r="B29" s="103">
        <f>B28-B11</f>
        <v>16824.875</v>
      </c>
    </row>
    <row r="30" ht="18.3" customHeight="1">
      <c r="A30" s="12"/>
      <c r="B30" s="9"/>
    </row>
    <row r="31" ht="18.3" customHeight="1">
      <c r="A31" t="s" s="6">
        <v>75</v>
      </c>
      <c r="B31" s="7">
        <f>(B4*0.9)-(B2+B3+B6)</f>
        <v>17897.5</v>
      </c>
    </row>
    <row r="32" ht="18.3" customHeight="1">
      <c r="A32" t="s" s="6">
        <v>76</v>
      </c>
      <c r="B32" s="103">
        <f>B31-B11</f>
        <v>9824.875</v>
      </c>
    </row>
    <row r="33" ht="18.3" customHeight="1">
      <c r="A33" s="12"/>
      <c r="B33" s="9"/>
    </row>
    <row r="34" ht="18.3" customHeight="1">
      <c r="A34" s="12"/>
      <c r="B34" s="32"/>
    </row>
    <row r="35" ht="18.3" customHeight="1">
      <c r="A35" s="12"/>
      <c r="B35" s="9"/>
    </row>
    <row r="36" ht="18.3" customHeight="1">
      <c r="A36" s="12"/>
      <c r="B36" s="9"/>
    </row>
    <row r="37" ht="18.3" customHeight="1">
      <c r="A37" s="12"/>
      <c r="B37" s="9"/>
    </row>
    <row r="38" ht="18.3" customHeight="1">
      <c r="A38" s="12"/>
      <c r="B38" s="9"/>
    </row>
    <row r="39" ht="18.3" customHeight="1">
      <c r="A39" s="12"/>
      <c r="B39" s="9"/>
    </row>
    <row r="40" ht="18.3" customHeight="1">
      <c r="A40" s="12"/>
      <c r="B40" s="9"/>
    </row>
    <row r="41" ht="18.3" customHeight="1">
      <c r="A41" s="12"/>
      <c r="B41" s="9"/>
    </row>
    <row r="42" ht="18.3" customHeight="1">
      <c r="A42" s="12"/>
      <c r="B42" s="9"/>
    </row>
    <row r="43" ht="18.3" customHeight="1">
      <c r="A43" s="12"/>
      <c r="B43" s="9"/>
    </row>
    <row r="44" ht="18.3" customHeight="1">
      <c r="A44" s="12"/>
      <c r="B44" s="9"/>
    </row>
    <row r="45" ht="18.3" customHeight="1">
      <c r="A45" s="12"/>
      <c r="B45" s="9"/>
    </row>
    <row r="46" ht="18.3" customHeight="1">
      <c r="A46" s="12"/>
      <c r="B46" s="9"/>
    </row>
    <row r="47" ht="18.3" customHeight="1">
      <c r="A47" s="12"/>
      <c r="B47" s="9"/>
    </row>
    <row r="48" ht="18.3" customHeight="1">
      <c r="A48" s="12"/>
      <c r="B48" s="9"/>
    </row>
    <row r="49" ht="18.3" customHeight="1">
      <c r="A49" s="12"/>
      <c r="B49" s="9"/>
    </row>
    <row r="50" ht="18.3" customHeight="1">
      <c r="A50" s="12"/>
      <c r="B50" s="9"/>
    </row>
    <row r="51" ht="18.3" customHeight="1">
      <c r="A51" s="12"/>
      <c r="B51" s="9"/>
    </row>
    <row r="52" ht="18.3" customHeight="1">
      <c r="A52" s="12"/>
      <c r="B52" s="9"/>
    </row>
    <row r="53" ht="18.3" customHeight="1">
      <c r="A53" s="12"/>
      <c r="B53" s="9"/>
    </row>
    <row r="54" ht="18.3" customHeight="1">
      <c r="A54" s="12"/>
      <c r="B54" s="9"/>
    </row>
    <row r="55" ht="18.3" customHeight="1">
      <c r="A55" s="12"/>
      <c r="B55" s="9"/>
    </row>
    <row r="56" ht="18.3" customHeight="1">
      <c r="A56" s="12"/>
      <c r="B56" s="9"/>
    </row>
    <row r="57" ht="18.3" customHeight="1">
      <c r="A57" s="12"/>
      <c r="B57" s="9"/>
    </row>
    <row r="58" ht="18.3" customHeight="1">
      <c r="A58" s="12"/>
      <c r="B58" s="9"/>
    </row>
    <row r="59" ht="18.3" customHeight="1">
      <c r="A59" s="12"/>
      <c r="B59" s="9"/>
    </row>
    <row r="60" ht="18.3" customHeight="1">
      <c r="A60" s="12"/>
      <c r="B60" s="9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5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28.7734" style="104" customWidth="1"/>
    <col min="2" max="2" width="17.6719" style="104" customWidth="1"/>
    <col min="3" max="16384" width="16.3516" style="104" customWidth="1"/>
  </cols>
  <sheetData>
    <row r="1" ht="18" customHeight="1">
      <c r="A1" s="2"/>
      <c r="B1" t="s" s="3">
        <v>77</v>
      </c>
    </row>
    <row r="2" ht="18" customHeight="1">
      <c r="A2" t="s" s="105">
        <v>1</v>
      </c>
      <c r="B2" s="106">
        <v>50000</v>
      </c>
    </row>
    <row r="3" ht="20.3" customHeight="1">
      <c r="A3" t="s" s="107">
        <v>78</v>
      </c>
      <c r="B3" s="108">
        <f>(B2*0.03)+1750</f>
        <v>3250</v>
      </c>
    </row>
    <row r="4" ht="20.3" customHeight="1">
      <c r="A4" t="s" s="107">
        <v>79</v>
      </c>
      <c r="B4" s="108">
        <v>0</v>
      </c>
    </row>
    <row r="5" ht="18" customHeight="1">
      <c r="A5" t="s" s="107">
        <v>10</v>
      </c>
      <c r="B5" s="109">
        <v>25000</v>
      </c>
    </row>
    <row r="6" ht="18" customHeight="1">
      <c r="A6" t="s" s="107">
        <v>57</v>
      </c>
      <c r="B6" s="110">
        <v>85000</v>
      </c>
    </row>
    <row r="7" ht="18" customHeight="1">
      <c r="A7" t="s" s="111">
        <v>58</v>
      </c>
      <c r="B7" s="112">
        <f>0.75*B6</f>
        <v>63750</v>
      </c>
    </row>
    <row r="8" ht="18" customHeight="1">
      <c r="A8" t="s" s="113">
        <v>59</v>
      </c>
      <c r="B8" s="114">
        <f>B2-B10</f>
        <v>22675</v>
      </c>
    </row>
    <row r="9" ht="18" customHeight="1">
      <c r="A9" t="s" s="107">
        <v>60</v>
      </c>
      <c r="B9" s="115">
        <f>(B2*0.65)+B5</f>
        <v>57500</v>
      </c>
    </row>
    <row r="10" ht="18" customHeight="1">
      <c r="A10" t="s" s="107">
        <v>61</v>
      </c>
      <c r="B10" s="116">
        <f>B9-B12-B5</f>
        <v>27325</v>
      </c>
    </row>
    <row r="11" ht="18" customHeight="1">
      <c r="A11" t="s" s="107">
        <v>62</v>
      </c>
      <c r="B11" s="110">
        <v>4</v>
      </c>
    </row>
    <row r="12" ht="18" customHeight="1">
      <c r="A12" t="s" s="111">
        <v>63</v>
      </c>
      <c r="B12" s="117">
        <f>(B9*0.01*B11)+(0.05*B9)</f>
        <v>5175</v>
      </c>
    </row>
    <row r="13" ht="20.65" customHeight="1">
      <c r="A13" t="s" s="113">
        <v>80</v>
      </c>
      <c r="B13" s="118">
        <v>5</v>
      </c>
    </row>
    <row r="14" ht="18" customHeight="1">
      <c r="A14" t="s" s="107">
        <v>22</v>
      </c>
      <c r="B14" s="110">
        <v>360</v>
      </c>
    </row>
    <row r="15" ht="18" customHeight="1">
      <c r="A15" t="s" s="107">
        <v>81</v>
      </c>
      <c r="B15" s="119"/>
    </row>
    <row r="16" ht="18" customHeight="1">
      <c r="A16" t="s" s="107">
        <v>82</v>
      </c>
      <c r="B16" s="120">
        <f>B13*B14+B15</f>
        <v>1800</v>
      </c>
    </row>
    <row r="17" ht="18" customHeight="1">
      <c r="A17" t="s" s="107">
        <v>4</v>
      </c>
      <c r="B17" s="108">
        <f>((B7)*0.035)/12</f>
        <v>185.9375</v>
      </c>
    </row>
    <row r="18" ht="38.3" customHeight="1">
      <c r="A18" t="s" s="107">
        <v>5</v>
      </c>
      <c r="B18" s="108">
        <f>B16*0.22</f>
        <v>396</v>
      </c>
    </row>
    <row r="19" ht="18" customHeight="1">
      <c r="A19" t="s" s="107">
        <v>6</v>
      </c>
      <c r="B19" s="109">
        <v>400</v>
      </c>
    </row>
    <row r="20" ht="18.3" customHeight="1">
      <c r="A20" t="s" s="121">
        <v>27</v>
      </c>
      <c r="B20" s="109">
        <v>5500</v>
      </c>
    </row>
    <row r="21" ht="18" customHeight="1">
      <c r="A21" t="s" s="111">
        <v>8</v>
      </c>
      <c r="B21" s="122">
        <f>B16-B17-B18-B19</f>
        <v>818.0625</v>
      </c>
    </row>
    <row r="22" ht="18" customHeight="1">
      <c r="A22" t="s" s="113">
        <v>11</v>
      </c>
      <c r="B22" s="123">
        <f>B21*12</f>
        <v>9816.75</v>
      </c>
    </row>
    <row r="23" ht="20.3" customHeight="1">
      <c r="A23" t="s" s="107">
        <v>66</v>
      </c>
      <c r="B23" s="124">
        <f>B2+B3+B5+B20+B4</f>
        <v>83750</v>
      </c>
    </row>
    <row r="24" ht="38.3" customHeight="1">
      <c r="A24" t="s" s="107">
        <v>67</v>
      </c>
      <c r="B24" s="124">
        <f>B10+B3+B20+B4</f>
        <v>36075</v>
      </c>
    </row>
    <row r="25" ht="18" customHeight="1">
      <c r="A25" t="s" s="107">
        <v>68</v>
      </c>
      <c r="B25" s="125">
        <f>(B2+B4+B3+B5+B20)-B7</f>
        <v>20000</v>
      </c>
    </row>
    <row r="26" ht="20.65" customHeight="1">
      <c r="A26" t="s" s="111">
        <v>69</v>
      </c>
      <c r="B26" s="126">
        <f>B25+B12</f>
        <v>25175</v>
      </c>
    </row>
    <row r="27" ht="18" customHeight="1">
      <c r="A27" t="s" s="113">
        <v>13</v>
      </c>
      <c r="B27" s="127">
        <f>(B22/B25)*100</f>
        <v>49.08375</v>
      </c>
    </row>
    <row r="28" ht="18" customHeight="1">
      <c r="A28" t="s" s="107">
        <v>70</v>
      </c>
      <c r="B28" s="128">
        <f>B22/B26*100</f>
        <v>38.9940417080437</v>
      </c>
    </row>
    <row r="29" ht="20.3" customHeight="1">
      <c r="A29" t="s" s="107">
        <v>83</v>
      </c>
      <c r="B29" s="120">
        <f>B6-(B2+B3+B5)</f>
        <v>6750</v>
      </c>
    </row>
    <row r="30" ht="20.3" customHeight="1">
      <c r="A30" t="s" s="107">
        <v>84</v>
      </c>
      <c r="B30" s="129">
        <f>B29-B12</f>
        <v>1575</v>
      </c>
    </row>
    <row r="31" ht="18.3" customHeight="1">
      <c r="A31" s="12"/>
      <c r="B31" s="9"/>
    </row>
    <row r="32" ht="18.3" customHeight="1">
      <c r="A32" s="12"/>
      <c r="B32" s="9"/>
    </row>
    <row r="33" ht="18.3" customHeight="1">
      <c r="A33" s="12"/>
      <c r="B33" s="9"/>
    </row>
    <row r="34" ht="18.3" customHeight="1">
      <c r="A34" s="12"/>
      <c r="B34" s="9"/>
    </row>
    <row r="35" ht="18.3" customHeight="1">
      <c r="A35" s="12"/>
      <c r="B35" s="9"/>
    </row>
    <row r="36" ht="18.3" customHeight="1">
      <c r="A36" s="12"/>
      <c r="B36" s="9"/>
    </row>
    <row r="37" ht="18.3" customHeight="1">
      <c r="A37" s="12"/>
      <c r="B37" s="9"/>
    </row>
    <row r="38" ht="18.3" customHeight="1">
      <c r="A38" s="12"/>
      <c r="B38" s="9"/>
    </row>
    <row r="39" ht="18.3" customHeight="1">
      <c r="A39" s="12"/>
      <c r="B39" s="9"/>
    </row>
    <row r="40" ht="18.3" customHeight="1">
      <c r="A40" s="12"/>
      <c r="B40" s="9"/>
    </row>
    <row r="41" ht="18.3" customHeight="1">
      <c r="A41" s="12"/>
      <c r="B41" s="9"/>
    </row>
    <row r="42" ht="18.3" customHeight="1">
      <c r="A42" s="12"/>
      <c r="B42" s="9"/>
    </row>
    <row r="43" ht="18.3" customHeight="1">
      <c r="A43" s="12"/>
      <c r="B43" s="9"/>
    </row>
    <row r="44" ht="18.3" customHeight="1">
      <c r="A44" s="12"/>
      <c r="B44" s="9"/>
    </row>
    <row r="45" ht="18.3" customHeight="1">
      <c r="A45" s="12"/>
      <c r="B45" s="9"/>
    </row>
    <row r="46" ht="18.3" customHeight="1">
      <c r="A46" s="12"/>
      <c r="B46" s="9"/>
    </row>
    <row r="47" ht="18.3" customHeight="1">
      <c r="A47" s="12"/>
      <c r="B47" s="9"/>
    </row>
    <row r="48" ht="18.3" customHeight="1">
      <c r="A48" s="12"/>
      <c r="B48" s="9"/>
    </row>
    <row r="49" ht="18.3" customHeight="1">
      <c r="A49" s="12"/>
      <c r="B49" s="9"/>
    </row>
    <row r="50" ht="18.3" customHeight="1">
      <c r="A50" s="12"/>
      <c r="B50" s="9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