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05" windowWidth="4920" windowHeight="4905" tabRatio="757" activeTab="5"/>
  </bookViews>
  <sheets>
    <sheet name="ใบปะหน้า" sheetId="1" r:id="rId1"/>
    <sheet name="CERTIFICATE" sheetId="2" r:id="rId2"/>
    <sheet name="Prestress I.40(1232)" sheetId="3" r:id="rId3"/>
    <sheet name="Prestress S.35(1225)" sheetId="4" r:id="rId4"/>
    <sheet name="dwg.-I40" sheetId="5" r:id="rId5"/>
    <sheet name="dwg.-S.35" sheetId="6" r:id="rId6"/>
  </sheets>
  <definedNames>
    <definedName name="_xlnm.Print_Area" localSheetId="2">'Prestress I.40(1232)'!$A$1:$Y$269</definedName>
    <definedName name="_xlnm.Print_Area" localSheetId="3">'Prestress S.35(1225)'!$A$1:$Y$269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<sst xmlns="http://schemas.openxmlformats.org/spreadsheetml/2006/main" count="1520" uniqueCount="496">
  <si>
    <t xml:space="preserve">          FORE DAM</t>
  </si>
  <si>
    <r>
      <t xml:space="preserve">8 </t>
    </r>
    <r>
      <rPr>
        <b/>
        <sz val="10"/>
        <rFont val="Symbol"/>
        <family val="1"/>
      </rPr>
      <t>Æ</t>
    </r>
    <r>
      <rPr>
        <b/>
        <sz val="16"/>
        <rFont val="AngsanaUPC"/>
        <family val="1"/>
      </rPr>
      <t xml:space="preserve"> 3/8" (270K) </t>
    </r>
  </si>
  <si>
    <t xml:space="preserve">    Working moment</t>
  </si>
  <si>
    <t xml:space="preserve">    Working shear</t>
  </si>
  <si>
    <r>
      <t xml:space="preserve">6 </t>
    </r>
    <r>
      <rPr>
        <b/>
        <sz val="10"/>
        <rFont val="Symbol"/>
        <family val="1"/>
      </rPr>
      <t>Æ</t>
    </r>
    <r>
      <rPr>
        <b/>
        <sz val="16"/>
        <rFont val="AngsanaUPC"/>
        <family val="1"/>
      </rPr>
      <t xml:space="preserve"> 3/8" (270K) </t>
    </r>
  </si>
  <si>
    <t>Æ</t>
  </si>
  <si>
    <t>GRADE</t>
  </si>
  <si>
    <t xml:space="preserve"> PC strand </t>
  </si>
  <si>
    <t>9.3 mm. (3/8")</t>
  </si>
  <si>
    <t>9.5 mm. (3/8")</t>
  </si>
  <si>
    <t>12.4 mm. (1/2")</t>
  </si>
  <si>
    <t>12.7 mm. (1/2")</t>
  </si>
  <si>
    <t>PROJECT</t>
  </si>
  <si>
    <t xml:space="preserve"> SCALE</t>
  </si>
  <si>
    <t>cm</t>
  </si>
  <si>
    <t>DWG. No.</t>
  </si>
  <si>
    <t xml:space="preserve">Project </t>
  </si>
  <si>
    <t>RB.3 mm.</t>
  </si>
  <si>
    <t>RB.4 mm.</t>
  </si>
  <si>
    <t>RB.6 mm.</t>
  </si>
  <si>
    <t>RB.9 mm.</t>
  </si>
  <si>
    <t>DB.10 mm.</t>
  </si>
  <si>
    <t>DB.12 mm.</t>
  </si>
  <si>
    <t>DB.16 mm.</t>
  </si>
  <si>
    <t>DB.20 mm.</t>
  </si>
  <si>
    <t>DB.25 mm.</t>
  </si>
  <si>
    <t>DB.28 mm.</t>
  </si>
  <si>
    <t>ksc.***</t>
  </si>
  <si>
    <t>mm. (cold drawn steel) Double Stirrup</t>
  </si>
  <si>
    <r>
      <t>Æ</t>
    </r>
    <r>
      <rPr>
        <sz val="18"/>
        <rFont val="AngsanaUPC"/>
        <family val="1"/>
      </rPr>
      <t>4.5 mm.@10   SPIRAL STIRRUP</t>
    </r>
  </si>
  <si>
    <r>
      <t xml:space="preserve">PC.STRAND   16 </t>
    </r>
    <r>
      <rPr>
        <b/>
        <sz val="10"/>
        <rFont val="Symbol"/>
        <family val="1"/>
      </rPr>
      <t>Æ</t>
    </r>
    <r>
      <rPr>
        <b/>
        <sz val="16"/>
        <rFont val="AngsanaUPC"/>
        <family val="1"/>
      </rPr>
      <t xml:space="preserve"> 3/8" (270K) </t>
    </r>
  </si>
  <si>
    <t>4 DB.20 mm.x10.00m.+ 2 DB.20mm.x 18.00 m.</t>
  </si>
  <si>
    <t>CALCULATION  PRESTRESSED CONCRETE PILE</t>
  </si>
  <si>
    <t>(KING PILE)</t>
  </si>
  <si>
    <t>(BATTER PILE)</t>
  </si>
  <si>
    <r>
      <t xml:space="preserve">20-2 </t>
    </r>
    <r>
      <rPr>
        <sz val="10"/>
        <rFont val="Symbol"/>
        <family val="1"/>
      </rPr>
      <t xml:space="preserve">Æ </t>
    </r>
    <r>
      <rPr>
        <sz val="18"/>
        <rFont val="AngsanaUPC"/>
        <family val="1"/>
      </rPr>
      <t>4.5mm.@ 5</t>
    </r>
  </si>
  <si>
    <r>
      <t xml:space="preserve"> 10-2 </t>
    </r>
    <r>
      <rPr>
        <sz val="10"/>
        <rFont val="Symbol"/>
        <family val="1"/>
      </rPr>
      <t xml:space="preserve">Æ </t>
    </r>
    <r>
      <rPr>
        <sz val="18"/>
        <rFont val="AngsanaUPC"/>
        <family val="1"/>
      </rPr>
      <t>4.5mm.@ 10</t>
    </r>
  </si>
  <si>
    <r>
      <t xml:space="preserve"> 29-2 </t>
    </r>
    <r>
      <rPr>
        <sz val="10"/>
        <rFont val="Symbol"/>
        <family val="1"/>
      </rPr>
      <t xml:space="preserve">Æ </t>
    </r>
    <r>
      <rPr>
        <sz val="18"/>
        <rFont val="AngsanaUPC"/>
        <family val="1"/>
      </rPr>
      <t>4.5mm.@ 16</t>
    </r>
  </si>
  <si>
    <r>
      <t xml:space="preserve"> -2  </t>
    </r>
    <r>
      <rPr>
        <sz val="10"/>
        <rFont val="Symbol"/>
        <family val="1"/>
      </rPr>
      <t xml:space="preserve">Æ  </t>
    </r>
    <r>
      <rPr>
        <sz val="18"/>
        <rFont val="AngsanaUPC"/>
        <family val="1"/>
      </rPr>
      <t>4.5mm.@16    STIRRUP</t>
    </r>
  </si>
  <si>
    <t>UPPER</t>
  </si>
  <si>
    <t>LOWER</t>
  </si>
  <si>
    <t>&gt;</t>
  </si>
  <si>
    <t>kg</t>
  </si>
  <si>
    <t>I. 0.40x0.40 (1232) x 18.00 m.</t>
  </si>
  <si>
    <t>S. 0.35x0.35 (1225) x 18.00 m.</t>
  </si>
  <si>
    <t>I. 0.40x0.40 (1232) x 18.00m.</t>
  </si>
  <si>
    <t>S. 0.35x0.35 (1225) x 18.00m.</t>
  </si>
  <si>
    <t>LENGTH = L ( M )</t>
  </si>
  <si>
    <t>0.207 L - LIFTING  PT.</t>
  </si>
  <si>
    <t xml:space="preserve">0.207 L - LIFTING  PT. </t>
  </si>
  <si>
    <t xml:space="preserve"> PROJECT.</t>
  </si>
  <si>
    <t>LENGTH  L  ( M )</t>
  </si>
  <si>
    <t>NO.  AND  TYPE OF REINFORCEMENT</t>
  </si>
  <si>
    <t>S. PHICHIT</t>
  </si>
  <si>
    <t xml:space="preserve"> DATE</t>
  </si>
  <si>
    <r>
      <t xml:space="preserve">  4-2 </t>
    </r>
    <r>
      <rPr>
        <sz val="10"/>
        <rFont val="Symbol"/>
        <family val="1"/>
      </rPr>
      <t xml:space="preserve">Æ </t>
    </r>
    <r>
      <rPr>
        <sz val="18"/>
        <rFont val="AngsanaUPC"/>
        <family val="1"/>
      </rPr>
      <t>9mm.@ 10</t>
    </r>
  </si>
  <si>
    <r>
      <t xml:space="preserve">20 </t>
    </r>
    <r>
      <rPr>
        <sz val="10"/>
        <rFont val="Symbol"/>
        <family val="1"/>
      </rPr>
      <t xml:space="preserve">Æ </t>
    </r>
    <r>
      <rPr>
        <sz val="18"/>
        <rFont val="AngsanaUPC"/>
        <family val="1"/>
      </rPr>
      <t>4.5mm.@ 5</t>
    </r>
  </si>
  <si>
    <t>2 RB.9 mm.</t>
  </si>
  <si>
    <r>
      <t>20</t>
    </r>
    <r>
      <rPr>
        <sz val="10"/>
        <rFont val="Symbol"/>
        <family val="1"/>
      </rPr>
      <t>Æ</t>
    </r>
    <r>
      <rPr>
        <sz val="18"/>
        <rFont val="AngsanaUPC"/>
        <family val="1"/>
      </rPr>
      <t>4.5 mm.@5</t>
    </r>
  </si>
  <si>
    <t>4 DB.20 mm.</t>
  </si>
  <si>
    <t>C</t>
  </si>
  <si>
    <t xml:space="preserve">     ultimate force</t>
  </si>
  <si>
    <t xml:space="preserve">     ultimate tensile strength of pc.steel</t>
  </si>
  <si>
    <t>ALLOWABLE STRESSES IN PC. STEEL</t>
  </si>
  <si>
    <t>w</t>
  </si>
  <si>
    <t>d</t>
  </si>
  <si>
    <t>a</t>
  </si>
  <si>
    <t>c</t>
  </si>
  <si>
    <t>DIMENSION (cm)</t>
  </si>
  <si>
    <t>A1</t>
  </si>
  <si>
    <t>A2</t>
  </si>
  <si>
    <t>A3</t>
  </si>
  <si>
    <t>B1</t>
  </si>
  <si>
    <t>B2</t>
  </si>
  <si>
    <t>B3</t>
  </si>
  <si>
    <t>B4</t>
  </si>
  <si>
    <t>kg-m</t>
  </si>
  <si>
    <t>2. DESIGN CRITERIA</t>
  </si>
  <si>
    <t>Allowable Stress at Transfer</t>
  </si>
  <si>
    <t>:Compressive Stress</t>
  </si>
  <si>
    <t>:Tensile Stress</t>
  </si>
  <si>
    <t xml:space="preserve">Allowable Stress at Service Load after all loss </t>
  </si>
  <si>
    <t>Allowable axial Compressive Stress at Design Load</t>
  </si>
  <si>
    <t>Modulus of Elasticity of Prestressed Steel</t>
  </si>
  <si>
    <t>Type of Strand</t>
  </si>
  <si>
    <t>Cross Section</t>
  </si>
  <si>
    <t>Tensile Strength</t>
  </si>
  <si>
    <t>: Eccentric of Strand or wire</t>
  </si>
  <si>
    <t>Qty. Tendon</t>
  </si>
  <si>
    <t>Initial Force</t>
  </si>
  <si>
    <t>Initial</t>
  </si>
  <si>
    <t>Steel Area</t>
  </si>
  <si>
    <t>Distance (cm)</t>
  </si>
  <si>
    <t>Top</t>
  </si>
  <si>
    <t>Bottom</t>
  </si>
  <si>
    <t>/Tendon</t>
  </si>
  <si>
    <t>Force</t>
  </si>
  <si>
    <t>(ksc)</t>
  </si>
  <si>
    <t>(cm)</t>
  </si>
  <si>
    <t>ksc</t>
  </si>
  <si>
    <t>3. DESIGN FOR BENDING MOMENT</t>
  </si>
  <si>
    <t>PRESTRESS LOSE</t>
  </si>
  <si>
    <t>T.L.   =  Total Loss</t>
  </si>
  <si>
    <t>ES + CR + SH + RE</t>
  </si>
  <si>
    <t>for pretensioned member</t>
  </si>
  <si>
    <t xml:space="preserve">ES   =   Elastic Shorttening loss  </t>
  </si>
  <si>
    <t xml:space="preserve">CR   =   Creep Loss      </t>
  </si>
  <si>
    <t xml:space="preserve">SH   =   Shrinkage Loss  </t>
  </si>
  <si>
    <t>1200 - 11RH</t>
  </si>
  <si>
    <t>RE   =   Steel Relexation Loss</t>
  </si>
  <si>
    <t>1410 - 0.4ES - 0.2(SH + CR)</t>
  </si>
  <si>
    <t>Discripstion</t>
  </si>
  <si>
    <t>ES</t>
  </si>
  <si>
    <t>CR</t>
  </si>
  <si>
    <t>SH</t>
  </si>
  <si>
    <t>RE</t>
  </si>
  <si>
    <t>Total Loss ; T.L.</t>
  </si>
  <si>
    <t>DETERMINE MOMENT</t>
  </si>
  <si>
    <t xml:space="preserve">Initial Prestress Force ; </t>
  </si>
  <si>
    <t>P - ES</t>
  </si>
  <si>
    <t>Force at Prestress after Total Loss ;</t>
  </si>
  <si>
    <t>P - Total Loss</t>
  </si>
  <si>
    <t>Moment Due to Dead Load (at 0.207L) ;</t>
  </si>
  <si>
    <t>Moment Due to 50% Impact Load ;</t>
  </si>
  <si>
    <t>1.5M</t>
  </si>
  <si>
    <t>Working Moment ; (Service Moment)</t>
  </si>
  <si>
    <t>Appiled Factored Moment at Section ;</t>
  </si>
  <si>
    <t>DETERMINE FIBER STRESS</t>
  </si>
  <si>
    <t>STRESSES</t>
  </si>
  <si>
    <t>Handing at Transfer</t>
  </si>
  <si>
    <t>Handing at Design Load</t>
  </si>
  <si>
    <t>For Design Load</t>
  </si>
  <si>
    <t>M / S</t>
  </si>
  <si>
    <t>FAIL</t>
  </si>
  <si>
    <t>signconvention ; (-) Tension , (+) Compression</t>
  </si>
  <si>
    <t>4. DESIGN FOR SHEAR</t>
  </si>
  <si>
    <t>: Area of Shear Reinforcement</t>
  </si>
  <si>
    <t>: Web Width</t>
  </si>
  <si>
    <t>: Distance from Extreme Compression Fiber to Centriod Prestressed Reinforcement in Tension zone</t>
  </si>
  <si>
    <t>s</t>
  </si>
  <si>
    <t>: Stirrup Spacing</t>
  </si>
  <si>
    <t>: Compressive Stress in Concrete due to Effective Prestress Force Only (After Allowance for All Prestress Losses)</t>
  </si>
  <si>
    <t>: ksc</t>
  </si>
  <si>
    <t>: Ultimate Strength of Prestressing Steel</t>
  </si>
  <si>
    <t>: Non-Prastressed Reinforcement</t>
  </si>
  <si>
    <t>: Norminal Shear Strength of Concrete</t>
  </si>
  <si>
    <t>: kg</t>
  </si>
  <si>
    <t>: Norminal Shear Strength</t>
  </si>
  <si>
    <t>: Norminal Shear Strength of Reinforcement</t>
  </si>
  <si>
    <t>: Working Shear</t>
  </si>
  <si>
    <t>: Factored Shear Force</t>
  </si>
  <si>
    <t>mm. (cold drawn steel)</t>
  </si>
  <si>
    <t xml:space="preserve">ksc  (not over </t>
  </si>
  <si>
    <t>used   :</t>
  </si>
  <si>
    <t>Maximum Values Stirrup Spacing</t>
  </si>
  <si>
    <t>1)   s</t>
  </si>
  <si>
    <t>4)      0.75h</t>
  </si>
  <si>
    <t>used  Stirrup @</t>
  </si>
  <si>
    <t>5. FLEXURE  STRENGTH</t>
  </si>
  <si>
    <t>: Area of Prestressed Reinforcement in Tension zone</t>
  </si>
  <si>
    <t>: Non Prestressed inTension zone</t>
  </si>
  <si>
    <t>: Non Prestressed in Compression zone</t>
  </si>
  <si>
    <t>: Depth of Equivalent Rectangular Stress Block</t>
  </si>
  <si>
    <t>: Distance from Extreme Compression Fiber to Neutral Axis</t>
  </si>
  <si>
    <t>: Modulus of Elasticity of Prestressing Steel</t>
  </si>
  <si>
    <t>: Specific Yeild Strength of Prestressing Steel</t>
  </si>
  <si>
    <t>: Effective Prestressing Steel After Losses</t>
  </si>
  <si>
    <t>: Stress in Prestressed Reinforcement at Nominal Strength in Tension zone</t>
  </si>
  <si>
    <t>: Factored for Depth of Stress Block</t>
  </si>
  <si>
    <t>&gt;=</t>
  </si>
  <si>
    <t>p'</t>
  </si>
  <si>
    <t>w'</t>
  </si>
  <si>
    <t>Overall Thickness of Frange :</t>
  </si>
  <si>
    <t>6. CHECK CRACKING MOMENT</t>
  </si>
  <si>
    <t>: Eccentric of Strand os wire</t>
  </si>
  <si>
    <t>: Distance from Bottom Fiber to C.G. of Section</t>
  </si>
  <si>
    <t>r</t>
  </si>
  <si>
    <t>: Radius of Gyration</t>
  </si>
  <si>
    <t>sqrt ( l / A )</t>
  </si>
  <si>
    <t>Modulus of Rupture of Concrete ;</t>
  </si>
  <si>
    <t>Cracking Moment ;</t>
  </si>
  <si>
    <t>7. CHECK CAMBER ; DEFLECTION</t>
  </si>
  <si>
    <t>Allowable Deflection</t>
  </si>
  <si>
    <t>L / 360</t>
  </si>
  <si>
    <t>Initial Prestress Force</t>
  </si>
  <si>
    <t>Short Team Camber due to Initial Prestress Force</t>
  </si>
  <si>
    <t>Long Team Camber</t>
  </si>
  <si>
    <t>CASE : two Lifting Point</t>
  </si>
  <si>
    <t>Short Team Deflection at L/2   =</t>
  </si>
  <si>
    <t>Long Team Deflection at L/2   =</t>
  </si>
  <si>
    <t>1.85 x Short Team Deflection</t>
  </si>
  <si>
    <t>Net. Deflection at L/2                 =     Long Team Deflection - Long Team Camber</t>
  </si>
  <si>
    <t>Net. Deflection at L/2</t>
  </si>
  <si>
    <r>
      <t>cm</t>
    </r>
    <r>
      <rPr>
        <vertAlign val="superscript"/>
        <sz val="14"/>
        <rFont val="Cordia New"/>
        <family val="2"/>
      </rPr>
      <t>2</t>
    </r>
  </si>
  <si>
    <r>
      <t>E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= 15200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</t>
    </r>
  </si>
  <si>
    <r>
      <t>E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>= 15200 sqrt(f'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>)</t>
    </r>
  </si>
  <si>
    <r>
      <t>=      f</t>
    </r>
    <r>
      <rPr>
        <vertAlign val="subscript"/>
        <sz val="14"/>
        <rFont val="Cordia New"/>
        <family val="2"/>
      </rPr>
      <t>ci</t>
    </r>
  </si>
  <si>
    <r>
      <t>=   0.6f'</t>
    </r>
    <r>
      <rPr>
        <vertAlign val="subscript"/>
        <sz val="14"/>
        <rFont val="Cordia New"/>
        <family val="2"/>
      </rPr>
      <t>ci</t>
    </r>
  </si>
  <si>
    <r>
      <t>=      f</t>
    </r>
    <r>
      <rPr>
        <vertAlign val="subscript"/>
        <sz val="14"/>
        <rFont val="Cordia New"/>
        <family val="2"/>
      </rPr>
      <t>ti</t>
    </r>
  </si>
  <si>
    <r>
      <t>=      f</t>
    </r>
    <r>
      <rPr>
        <vertAlign val="subscript"/>
        <sz val="14"/>
        <rFont val="Cordia New"/>
        <family val="2"/>
      </rPr>
      <t>ca1</t>
    </r>
  </si>
  <si>
    <r>
      <t>=   0.45f'</t>
    </r>
    <r>
      <rPr>
        <vertAlign val="subscript"/>
        <sz val="14"/>
        <rFont val="Cordia New"/>
        <family val="2"/>
      </rPr>
      <t>c</t>
    </r>
  </si>
  <si>
    <r>
      <t>=      f</t>
    </r>
    <r>
      <rPr>
        <vertAlign val="subscript"/>
        <sz val="14"/>
        <rFont val="Cordia New"/>
        <family val="2"/>
      </rPr>
      <t>ta</t>
    </r>
  </si>
  <si>
    <r>
      <t>=      f</t>
    </r>
    <r>
      <rPr>
        <vertAlign val="subscript"/>
        <sz val="14"/>
        <rFont val="Cordia New"/>
        <family val="2"/>
      </rPr>
      <t>ca2</t>
    </r>
  </si>
  <si>
    <r>
      <t>=   0.33f'</t>
    </r>
    <r>
      <rPr>
        <vertAlign val="subscript"/>
        <sz val="14"/>
        <rFont val="Cordia New"/>
        <family val="2"/>
      </rPr>
      <t>c</t>
    </r>
  </si>
  <si>
    <r>
      <t>E</t>
    </r>
    <r>
      <rPr>
        <vertAlign val="subscript"/>
        <sz val="14"/>
        <rFont val="Cordia New"/>
        <family val="2"/>
      </rPr>
      <t>ps</t>
    </r>
  </si>
  <si>
    <r>
      <t>A'</t>
    </r>
    <r>
      <rPr>
        <vertAlign val="subscript"/>
        <sz val="14"/>
        <rFont val="Cordia New"/>
        <family val="2"/>
      </rPr>
      <t>ps</t>
    </r>
  </si>
  <si>
    <r>
      <t>cm</t>
    </r>
    <r>
      <rPr>
        <vertAlign val="superscript"/>
        <sz val="12"/>
        <rFont val="Cordia New"/>
        <family val="2"/>
      </rPr>
      <t>2</t>
    </r>
  </si>
  <si>
    <r>
      <t>A</t>
    </r>
    <r>
      <rPr>
        <vertAlign val="subscript"/>
        <sz val="14"/>
        <rFont val="Cordia New"/>
        <family val="2"/>
      </rPr>
      <t>ps</t>
    </r>
  </si>
  <si>
    <t xml:space="preserve">Pile Length </t>
  </si>
  <si>
    <t xml:space="preserve">Cross Section Area </t>
  </si>
  <si>
    <t xml:space="preserve">Unit Weight </t>
  </si>
  <si>
    <t xml:space="preserve">Moment of Inertia </t>
  </si>
  <si>
    <t xml:space="preserve">Working shear </t>
  </si>
  <si>
    <r>
      <t>f'</t>
    </r>
    <r>
      <rPr>
        <vertAlign val="subscript"/>
        <sz val="14"/>
        <rFont val="Cordia New"/>
        <family val="2"/>
      </rPr>
      <t>c</t>
    </r>
  </si>
  <si>
    <r>
      <t>f'</t>
    </r>
    <r>
      <rPr>
        <vertAlign val="subscript"/>
        <sz val="14"/>
        <rFont val="Cordia New"/>
        <family val="2"/>
      </rPr>
      <t>ci</t>
    </r>
  </si>
  <si>
    <t>Specified Compressive Strength of Prestressed Concrete (at 28 days)</t>
  </si>
  <si>
    <t>Modulus of Elasticity of Concrete</t>
  </si>
  <si>
    <t>1. PROPERTY OF SECTION</t>
  </si>
  <si>
    <t>Compressive Strength of concrete at Time of Initial prestress</t>
  </si>
  <si>
    <t>Modulus</t>
  </si>
  <si>
    <t>of elasticity</t>
  </si>
  <si>
    <t>3/8" 250K</t>
  </si>
  <si>
    <t>3/8" 270K</t>
  </si>
  <si>
    <t>Select Tensile Strength</t>
  </si>
  <si>
    <t>1/2" 250K</t>
  </si>
  <si>
    <t>Select Distance of Tendon</t>
  </si>
  <si>
    <t>1/2" 270K</t>
  </si>
  <si>
    <t>Area of Prestressed Reinforcement in Compression Zone</t>
  </si>
  <si>
    <t>Area of Prestressed Reinforcement in Tension Zone</t>
  </si>
  <si>
    <t>Total Prestressed Steel Area</t>
  </si>
  <si>
    <t>Total initial Force</t>
  </si>
  <si>
    <t>P =</t>
  </si>
  <si>
    <t>Distance of Prestress Force from Top Fiber</t>
  </si>
  <si>
    <t>e =</t>
  </si>
  <si>
    <t>RH        =</t>
  </si>
  <si>
    <t xml:space="preserve">       Loss Stress ; ksc</t>
  </si>
  <si>
    <t xml:space="preserve">       Force ;     kg</t>
  </si>
  <si>
    <t xml:space="preserve">       Percent %</t>
  </si>
  <si>
    <t xml:space="preserve">       Total Stress</t>
  </si>
  <si>
    <t xml:space="preserve">       Allowable Stress</t>
  </si>
  <si>
    <t xml:space="preserve">       Total Stress &lt; Allow. Stress</t>
  </si>
  <si>
    <t>ขนาดลวด</t>
  </si>
  <si>
    <t>STIRRUP</t>
  </si>
  <si>
    <t>used Stirrup dia.      =</t>
  </si>
  <si>
    <t>: Ratio of Non Prestresed Reinforcement in Tension Zone</t>
  </si>
  <si>
    <t>: Ratio of Non Prestresed Reinforcement in Compression Zone</t>
  </si>
  <si>
    <t>: Distance from Extreme Compression Fiber to Centroid Non-prestressed</t>
  </si>
  <si>
    <t xml:space="preserve">  Reinforcement in Tension zone</t>
  </si>
  <si>
    <t>d'</t>
  </si>
  <si>
    <t xml:space="preserve">  Reinforcement in Compression zone</t>
  </si>
  <si>
    <t>0.1%Proof</t>
  </si>
  <si>
    <t>Forch</t>
  </si>
  <si>
    <t>REFERENCES</t>
  </si>
  <si>
    <r>
      <t>f</t>
    </r>
    <r>
      <rPr>
        <b/>
        <vertAlign val="subscript"/>
        <sz val="12"/>
        <rFont val="Cordia New"/>
        <family val="2"/>
      </rPr>
      <t>pu</t>
    </r>
  </si>
  <si>
    <r>
      <t>A</t>
    </r>
    <r>
      <rPr>
        <b/>
        <vertAlign val="subscript"/>
        <sz val="12"/>
        <rFont val="Cordia New"/>
        <family val="2"/>
      </rPr>
      <t>t</t>
    </r>
  </si>
  <si>
    <r>
      <t>d'</t>
    </r>
    <r>
      <rPr>
        <b/>
        <vertAlign val="subscript"/>
        <sz val="12"/>
        <rFont val="Cordia New"/>
        <family val="2"/>
      </rPr>
      <t>p</t>
    </r>
  </si>
  <si>
    <r>
      <t>d</t>
    </r>
    <r>
      <rPr>
        <b/>
        <vertAlign val="subscript"/>
        <sz val="12"/>
        <rFont val="Cordia New"/>
        <family val="2"/>
      </rPr>
      <t>p</t>
    </r>
  </si>
  <si>
    <r>
      <t>(cm</t>
    </r>
    <r>
      <rPr>
        <b/>
        <vertAlign val="superscript"/>
        <sz val="12"/>
        <rFont val="Cordia New"/>
        <family val="2"/>
      </rPr>
      <t>2</t>
    </r>
    <r>
      <rPr>
        <b/>
        <sz val="12"/>
        <rFont val="Cordia New"/>
        <family val="2"/>
      </rPr>
      <t>)</t>
    </r>
  </si>
  <si>
    <r>
      <t>kN/mm.</t>
    </r>
    <r>
      <rPr>
        <vertAlign val="superscript"/>
        <sz val="14"/>
        <rFont val="Cordia New"/>
        <family val="2"/>
      </rPr>
      <t>2</t>
    </r>
  </si>
  <si>
    <r>
      <t>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  =</t>
    </r>
  </si>
  <si>
    <r>
      <t>d'</t>
    </r>
    <r>
      <rPr>
        <vertAlign val="subscript"/>
        <sz val="14"/>
        <rFont val="Cordia New"/>
        <family val="2"/>
      </rPr>
      <t xml:space="preserve">p  </t>
    </r>
    <r>
      <rPr>
        <sz val="14"/>
        <rFont val="Cordia New"/>
        <family val="2"/>
      </rPr>
      <t xml:space="preserve"> =</t>
    </r>
  </si>
  <si>
    <r>
      <t>d</t>
    </r>
    <r>
      <rPr>
        <vertAlign val="subscript"/>
        <sz val="14"/>
        <rFont val="Cordia New"/>
        <family val="2"/>
      </rPr>
      <t xml:space="preserve">p   </t>
    </r>
    <r>
      <rPr>
        <sz val="14"/>
        <rFont val="Cordia New"/>
        <family val="2"/>
      </rPr>
      <t xml:space="preserve"> =</t>
    </r>
  </si>
  <si>
    <r>
      <t>A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  = </t>
    </r>
  </si>
  <si>
    <r>
      <t xml:space="preserve">              A'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  +   A</t>
    </r>
    <r>
      <rPr>
        <vertAlign val="subscript"/>
        <sz val="14"/>
        <rFont val="Cordia New"/>
        <family val="2"/>
      </rPr>
      <t>ps</t>
    </r>
  </si>
  <si>
    <r>
      <t>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>A</t>
    </r>
    <r>
      <rPr>
        <vertAlign val="subscript"/>
        <sz val="14"/>
        <rFont val="Cordia New"/>
        <family val="2"/>
      </rPr>
      <t>t</t>
    </r>
  </si>
  <si>
    <r>
      <t xml:space="preserve"> K</t>
    </r>
    <r>
      <rPr>
        <vertAlign val="subscript"/>
        <sz val="14"/>
        <rFont val="Cordia New"/>
        <family val="2"/>
      </rPr>
      <t xml:space="preserve">cir </t>
    </r>
    <r>
      <rPr>
        <sz val="14"/>
        <rFont val="Cordia New"/>
        <family val="2"/>
      </rPr>
      <t xml:space="preserve">    =</t>
    </r>
  </si>
  <si>
    <r>
      <t>f</t>
    </r>
    <r>
      <rPr>
        <vertAlign val="subscript"/>
        <sz val="14"/>
        <rFont val="Cordia New"/>
        <family val="2"/>
      </rPr>
      <t>cds</t>
    </r>
    <r>
      <rPr>
        <sz val="14"/>
        <rFont val="Cordia New"/>
        <family val="2"/>
      </rPr>
      <t xml:space="preserve">        =</t>
    </r>
  </si>
  <si>
    <r>
      <t>F</t>
    </r>
    <r>
      <rPr>
        <b/>
        <vertAlign val="subscript"/>
        <sz val="14"/>
        <rFont val="Cordia New"/>
        <family val="2"/>
      </rPr>
      <t>t</t>
    </r>
  </si>
  <si>
    <r>
      <t>F</t>
    </r>
    <r>
      <rPr>
        <b/>
        <vertAlign val="subscript"/>
        <sz val="14"/>
        <rFont val="Cordia New"/>
        <family val="2"/>
      </rPr>
      <t>b</t>
    </r>
  </si>
  <si>
    <r>
      <t>cm.</t>
    </r>
    <r>
      <rPr>
        <vertAlign val="superscript"/>
        <sz val="14"/>
        <rFont val="Cordia New"/>
        <family val="2"/>
      </rPr>
      <t>2</t>
    </r>
  </si>
  <si>
    <r>
      <t>V</t>
    </r>
    <r>
      <rPr>
        <vertAlign val="subscript"/>
        <sz val="14"/>
        <rFont val="Cordia New"/>
        <family val="2"/>
      </rPr>
      <t>s</t>
    </r>
    <r>
      <rPr>
        <sz val="14"/>
        <rFont val="Cordia New"/>
        <family val="2"/>
      </rPr>
      <t xml:space="preserve">       =     A</t>
    </r>
    <r>
      <rPr>
        <vertAlign val="subscript"/>
        <sz val="14"/>
        <rFont val="Cordia New"/>
        <family val="2"/>
      </rPr>
      <t>v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s    =</t>
    </r>
  </si>
  <si>
    <t>Section Modulus</t>
  </si>
  <si>
    <t>Modulus of Elasticity of Concrete at Time of Initial Prestress</t>
  </si>
  <si>
    <t>PILE :</t>
  </si>
  <si>
    <t xml:space="preserve">  m</t>
  </si>
  <si>
    <r>
      <t xml:space="preserve">  cm</t>
    </r>
    <r>
      <rPr>
        <vertAlign val="superscript"/>
        <sz val="14"/>
        <rFont val="Cordia New"/>
        <family val="2"/>
      </rPr>
      <t>2</t>
    </r>
  </si>
  <si>
    <t xml:space="preserve">  kg/m</t>
  </si>
  <si>
    <r>
      <t xml:space="preserve">  cm</t>
    </r>
    <r>
      <rPr>
        <vertAlign val="superscript"/>
        <sz val="14"/>
        <rFont val="Cordia New"/>
        <family val="2"/>
      </rPr>
      <t>4</t>
    </r>
  </si>
  <si>
    <r>
      <t xml:space="preserve">  cm</t>
    </r>
    <r>
      <rPr>
        <vertAlign val="superscript"/>
        <sz val="14"/>
        <rFont val="Cordia New"/>
        <family val="2"/>
      </rPr>
      <t>3</t>
    </r>
  </si>
  <si>
    <t xml:space="preserve">  kg-m</t>
  </si>
  <si>
    <t xml:space="preserve">  kg.</t>
  </si>
  <si>
    <r>
      <t>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+ A'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d'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>) / 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+ A'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)</t>
    </r>
  </si>
  <si>
    <r>
      <t>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+ A'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d'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>) / 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+ A'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) - B</t>
    </r>
    <r>
      <rPr>
        <vertAlign val="subscript"/>
        <sz val="14"/>
        <rFont val="Cordia New"/>
        <family val="2"/>
      </rPr>
      <t>1</t>
    </r>
    <r>
      <rPr>
        <sz val="14"/>
        <rFont val="Cordia New"/>
        <family val="2"/>
      </rPr>
      <t>/2</t>
    </r>
  </si>
  <si>
    <r>
      <t>f</t>
    </r>
    <r>
      <rPr>
        <vertAlign val="subscript"/>
        <sz val="14"/>
        <rFont val="Cordia New"/>
        <family val="2"/>
      </rPr>
      <t>cir</t>
    </r>
    <r>
      <rPr>
        <sz val="14"/>
        <rFont val="Cordia New"/>
        <family val="2"/>
      </rPr>
      <t xml:space="preserve">    =  K</t>
    </r>
    <r>
      <rPr>
        <vertAlign val="subscript"/>
        <sz val="14"/>
        <rFont val="Cordia New"/>
        <family val="2"/>
      </rPr>
      <t>cir</t>
    </r>
    <r>
      <rPr>
        <sz val="14"/>
        <rFont val="Cordia New"/>
        <family val="2"/>
      </rPr>
      <t>(P/A + P.e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/l) - M.e/l            =</t>
    </r>
  </si>
  <si>
    <r>
      <t>(E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/E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>)f</t>
    </r>
    <r>
      <rPr>
        <vertAlign val="subscript"/>
        <sz val="14"/>
        <rFont val="Cordia New"/>
        <family val="2"/>
      </rPr>
      <t>cir</t>
    </r>
  </si>
  <si>
    <r>
      <t>12f</t>
    </r>
    <r>
      <rPr>
        <vertAlign val="subscript"/>
        <sz val="14"/>
        <rFont val="Cordia New"/>
        <family val="2"/>
      </rPr>
      <t>cir</t>
    </r>
    <r>
      <rPr>
        <sz val="14"/>
        <rFont val="Cordia New"/>
        <family val="2"/>
      </rPr>
      <t xml:space="preserve"> - 7f</t>
    </r>
    <r>
      <rPr>
        <vertAlign val="subscript"/>
        <sz val="14"/>
        <rFont val="Cordia New"/>
        <family val="2"/>
      </rPr>
      <t>cds</t>
    </r>
  </si>
  <si>
    <r>
      <t>P</t>
    </r>
    <r>
      <rPr>
        <vertAlign val="subscript"/>
        <sz val="14"/>
        <rFont val="Cordia New"/>
        <family val="2"/>
      </rPr>
      <t>i</t>
    </r>
  </si>
  <si>
    <r>
      <t>P</t>
    </r>
    <r>
      <rPr>
        <vertAlign val="subscript"/>
        <sz val="14"/>
        <rFont val="Cordia New"/>
        <family val="2"/>
      </rPr>
      <t>e</t>
    </r>
  </si>
  <si>
    <r>
      <t>W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(0.207L)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/2</t>
    </r>
  </si>
  <si>
    <r>
      <t>M</t>
    </r>
    <r>
      <rPr>
        <vertAlign val="subscript"/>
        <sz val="14"/>
        <rFont val="Cordia New"/>
        <family val="2"/>
      </rPr>
      <t>d</t>
    </r>
  </si>
  <si>
    <r>
      <t>M</t>
    </r>
    <r>
      <rPr>
        <vertAlign val="subscript"/>
        <sz val="14"/>
        <rFont val="Cordia New"/>
        <family val="2"/>
      </rPr>
      <t>w</t>
    </r>
  </si>
  <si>
    <r>
      <t>M</t>
    </r>
    <r>
      <rPr>
        <vertAlign val="subscript"/>
        <sz val="14"/>
        <rFont val="Cordia New"/>
        <family val="2"/>
      </rPr>
      <t>u</t>
    </r>
  </si>
  <si>
    <r>
      <t>1.7M</t>
    </r>
    <r>
      <rPr>
        <vertAlign val="subscript"/>
        <sz val="14"/>
        <rFont val="Cordia New"/>
        <family val="2"/>
      </rPr>
      <t>w</t>
    </r>
  </si>
  <si>
    <r>
      <t>P</t>
    </r>
    <r>
      <rPr>
        <vertAlign val="subscript"/>
        <sz val="14"/>
        <rFont val="Cordia New"/>
        <family val="2"/>
      </rPr>
      <t xml:space="preserve">i </t>
    </r>
    <r>
      <rPr>
        <sz val="14"/>
        <rFont val="Cordia New"/>
        <family val="2"/>
      </rPr>
      <t>/ A</t>
    </r>
  </si>
  <si>
    <r>
      <t>P</t>
    </r>
    <r>
      <rPr>
        <vertAlign val="subscript"/>
        <sz val="14"/>
        <rFont val="Cordia New"/>
        <family val="2"/>
      </rPr>
      <t>i</t>
    </r>
    <r>
      <rPr>
        <sz val="14"/>
        <rFont val="Cordia New"/>
        <family val="2"/>
      </rPr>
      <t>.e / S</t>
    </r>
  </si>
  <si>
    <r>
      <t>P</t>
    </r>
    <r>
      <rPr>
        <vertAlign val="subscript"/>
        <sz val="14"/>
        <rFont val="Cordia New"/>
        <family val="2"/>
      </rPr>
      <t xml:space="preserve">e </t>
    </r>
    <r>
      <rPr>
        <sz val="14"/>
        <rFont val="Cordia New"/>
        <family val="2"/>
      </rPr>
      <t>/ A</t>
    </r>
  </si>
  <si>
    <r>
      <t>P</t>
    </r>
    <r>
      <rPr>
        <vertAlign val="subscript"/>
        <sz val="14"/>
        <rFont val="Cordia New"/>
        <family val="2"/>
      </rPr>
      <t>e</t>
    </r>
    <r>
      <rPr>
        <sz val="14"/>
        <rFont val="Cordia New"/>
        <family val="2"/>
      </rPr>
      <t>.e / S</t>
    </r>
  </si>
  <si>
    <r>
      <t>M</t>
    </r>
    <r>
      <rPr>
        <vertAlign val="subscript"/>
        <sz val="14"/>
        <rFont val="Cordia New"/>
        <family val="2"/>
      </rPr>
      <t xml:space="preserve">d </t>
    </r>
    <r>
      <rPr>
        <sz val="14"/>
        <rFont val="Cordia New"/>
        <family val="2"/>
      </rPr>
      <t>/ S</t>
    </r>
  </si>
  <si>
    <r>
      <t>M</t>
    </r>
    <r>
      <rPr>
        <vertAlign val="subscript"/>
        <sz val="14"/>
        <rFont val="Cordia New"/>
        <family val="2"/>
      </rPr>
      <t xml:space="preserve">w </t>
    </r>
    <r>
      <rPr>
        <sz val="14"/>
        <rFont val="Cordia New"/>
        <family val="2"/>
      </rPr>
      <t>/ S</t>
    </r>
  </si>
  <si>
    <r>
      <t>0.6f'</t>
    </r>
    <r>
      <rPr>
        <vertAlign val="subscript"/>
        <sz val="14"/>
        <rFont val="Cordia New"/>
        <family val="2"/>
      </rPr>
      <t>ci</t>
    </r>
  </si>
  <si>
    <r>
      <t>0.45f'</t>
    </r>
    <r>
      <rPr>
        <vertAlign val="subscript"/>
        <sz val="14"/>
        <rFont val="Cordia New"/>
        <family val="2"/>
      </rPr>
      <t>c</t>
    </r>
  </si>
  <si>
    <r>
      <t>-1.59sqrt(f'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</t>
    </r>
  </si>
  <si>
    <r>
      <t>A</t>
    </r>
    <r>
      <rPr>
        <vertAlign val="subscript"/>
        <sz val="14"/>
        <rFont val="Cordia New"/>
        <family val="2"/>
      </rPr>
      <t>v</t>
    </r>
  </si>
  <si>
    <r>
      <t>: cm</t>
    </r>
    <r>
      <rPr>
        <vertAlign val="superscript"/>
        <sz val="14"/>
        <rFont val="Cordia New"/>
        <family val="2"/>
      </rPr>
      <t>2</t>
    </r>
  </si>
  <si>
    <r>
      <t>b</t>
    </r>
    <r>
      <rPr>
        <vertAlign val="subscript"/>
        <sz val="14"/>
        <rFont val="Cordia New"/>
        <family val="2"/>
      </rPr>
      <t>w</t>
    </r>
  </si>
  <si>
    <r>
      <t>: cm</t>
    </r>
  </si>
  <si>
    <r>
      <t>d</t>
    </r>
    <r>
      <rPr>
        <vertAlign val="subscript"/>
        <sz val="14"/>
        <rFont val="Cordia New"/>
        <family val="2"/>
      </rPr>
      <t>p</t>
    </r>
  </si>
  <si>
    <r>
      <t>f</t>
    </r>
    <r>
      <rPr>
        <vertAlign val="subscript"/>
        <sz val="14"/>
        <rFont val="Cordia New"/>
        <family val="2"/>
      </rPr>
      <t>pe</t>
    </r>
  </si>
  <si>
    <r>
      <t>f</t>
    </r>
    <r>
      <rPr>
        <vertAlign val="subscript"/>
        <sz val="14"/>
        <rFont val="Cordia New"/>
        <family val="2"/>
      </rPr>
      <t>pu</t>
    </r>
  </si>
  <si>
    <r>
      <t>f</t>
    </r>
    <r>
      <rPr>
        <vertAlign val="subscript"/>
        <sz val="14"/>
        <rFont val="Cordia New"/>
        <family val="2"/>
      </rPr>
      <t>y</t>
    </r>
  </si>
  <si>
    <r>
      <t>V</t>
    </r>
    <r>
      <rPr>
        <vertAlign val="subscript"/>
        <sz val="14"/>
        <rFont val="Cordia New"/>
        <family val="2"/>
      </rPr>
      <t>c</t>
    </r>
  </si>
  <si>
    <r>
      <t>V</t>
    </r>
    <r>
      <rPr>
        <vertAlign val="subscript"/>
        <sz val="14"/>
        <rFont val="Cordia New"/>
        <family val="2"/>
      </rPr>
      <t>n</t>
    </r>
  </si>
  <si>
    <r>
      <t>V</t>
    </r>
    <r>
      <rPr>
        <vertAlign val="subscript"/>
        <sz val="14"/>
        <rFont val="Cordia New"/>
        <family val="2"/>
      </rPr>
      <t>s</t>
    </r>
  </si>
  <si>
    <r>
      <t>V</t>
    </r>
    <r>
      <rPr>
        <vertAlign val="subscript"/>
        <sz val="14"/>
        <rFont val="Cordia New"/>
        <family val="2"/>
      </rPr>
      <t>w</t>
    </r>
  </si>
  <si>
    <r>
      <t>V</t>
    </r>
    <r>
      <rPr>
        <vertAlign val="subscript"/>
        <sz val="14"/>
        <rFont val="Cordia New"/>
        <family val="2"/>
      </rPr>
      <t>u</t>
    </r>
  </si>
  <si>
    <r>
      <t>1.7V</t>
    </r>
    <r>
      <rPr>
        <vertAlign val="subscript"/>
        <sz val="14"/>
        <rFont val="Cordia New"/>
        <family val="2"/>
      </rPr>
      <t>w</t>
    </r>
  </si>
  <si>
    <r>
      <t>; (d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not over 0.8h)</t>
    </r>
  </si>
  <si>
    <r>
      <t>ksc)  used f</t>
    </r>
    <r>
      <rPr>
        <vertAlign val="subscript"/>
        <sz val="12"/>
        <rFont val="Cordia New"/>
        <family val="2"/>
      </rPr>
      <t>y</t>
    </r>
  </si>
  <si>
    <r>
      <t>(0.16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+ 49(V</t>
    </r>
    <r>
      <rPr>
        <vertAlign val="subscript"/>
        <sz val="14"/>
        <rFont val="Cordia New"/>
        <family val="2"/>
      </rPr>
      <t>u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M</t>
    </r>
    <r>
      <rPr>
        <vertAlign val="subscript"/>
        <sz val="14"/>
        <rFont val="Cordia New"/>
        <family val="2"/>
      </rPr>
      <t>u</t>
    </r>
    <r>
      <rPr>
        <sz val="14"/>
        <rFont val="Cordia New"/>
        <family val="2"/>
      </rPr>
      <t>)) 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</si>
  <si>
    <r>
      <t>V</t>
    </r>
    <r>
      <rPr>
        <vertAlign val="subscript"/>
        <sz val="14"/>
        <rFont val="Cordia New"/>
        <family val="2"/>
      </rPr>
      <t>c min</t>
    </r>
  </si>
  <si>
    <r>
      <t>0.53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) </t>
    </r>
    <r>
      <rPr>
        <sz val="14"/>
        <rFont val="Cordia New"/>
        <family val="2"/>
      </rPr>
      <t>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</si>
  <si>
    <r>
      <t>V</t>
    </r>
    <r>
      <rPr>
        <vertAlign val="subscript"/>
        <sz val="14"/>
        <rFont val="Cordia New"/>
        <family val="2"/>
      </rPr>
      <t>c max</t>
    </r>
  </si>
  <si>
    <r>
      <t>1.33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</si>
  <si>
    <r>
      <t>V</t>
    </r>
    <r>
      <rPr>
        <b/>
        <vertAlign val="subscript"/>
        <sz val="14"/>
        <rFont val="Cordia New"/>
        <family val="2"/>
      </rPr>
      <t>c</t>
    </r>
  </si>
  <si>
    <r>
      <t>0.85V</t>
    </r>
    <r>
      <rPr>
        <vertAlign val="subscript"/>
        <sz val="14"/>
        <rFont val="Cordia New"/>
        <family val="2"/>
      </rPr>
      <t>c</t>
    </r>
  </si>
  <si>
    <r>
      <t>Try for V</t>
    </r>
    <r>
      <rPr>
        <vertAlign val="subscript"/>
        <sz val="14"/>
        <color indexed="9"/>
        <rFont val="Cordia New"/>
        <family val="2"/>
      </rPr>
      <t>s</t>
    </r>
  </si>
  <si>
    <r>
      <t>A</t>
    </r>
    <r>
      <rPr>
        <vertAlign val="subscript"/>
        <sz val="14"/>
        <rFont val="Cordia New"/>
        <family val="2"/>
      </rPr>
      <t>v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(V</t>
    </r>
    <r>
      <rPr>
        <vertAlign val="subscript"/>
        <sz val="14"/>
        <rFont val="Cordia New"/>
        <family val="2"/>
      </rPr>
      <t>u</t>
    </r>
    <r>
      <rPr>
        <sz val="14"/>
        <rFont val="Cordia New"/>
        <family val="2"/>
      </rPr>
      <t xml:space="preserve"> / 0.85 - V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</t>
    </r>
  </si>
  <si>
    <r>
      <t xml:space="preserve">    ; (V</t>
    </r>
    <r>
      <rPr>
        <vertAlign val="subscript"/>
        <sz val="14"/>
        <rFont val="Cordia New"/>
        <family val="2"/>
      </rPr>
      <t>u</t>
    </r>
    <r>
      <rPr>
        <sz val="14"/>
        <rFont val="Cordia New"/>
        <family val="2"/>
      </rPr>
      <t xml:space="preserve"> / 0.85 - V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less than '0'   =</t>
    </r>
  </si>
  <si>
    <r>
      <t>2) If f</t>
    </r>
    <r>
      <rPr>
        <vertAlign val="subscript"/>
        <sz val="14"/>
        <rFont val="Cordia New"/>
        <family val="2"/>
      </rPr>
      <t>pe</t>
    </r>
    <r>
      <rPr>
        <sz val="14"/>
        <rFont val="Cordia New"/>
        <family val="2"/>
      </rPr>
      <t>&gt;=0.40f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 ; s    =</t>
    </r>
  </si>
  <si>
    <r>
      <t>80A</t>
    </r>
    <r>
      <rPr>
        <vertAlign val="subscript"/>
        <sz val="14"/>
        <rFont val="Cordia New"/>
        <family val="2"/>
      </rPr>
      <t>v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>sqrt(d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 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>)</t>
    </r>
  </si>
  <si>
    <r>
      <t>3) If f</t>
    </r>
    <r>
      <rPr>
        <vertAlign val="subscript"/>
        <sz val="14"/>
        <rFont val="Cordia New"/>
        <family val="2"/>
      </rPr>
      <t>pe</t>
    </r>
    <r>
      <rPr>
        <sz val="14"/>
        <rFont val="Cordia New"/>
        <family val="2"/>
      </rPr>
      <t>&gt;=0.40f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 ; s    =</t>
    </r>
  </si>
  <si>
    <r>
      <t>A</t>
    </r>
    <r>
      <rPr>
        <vertAlign val="subscript"/>
        <sz val="14"/>
        <rFont val="Cordia New"/>
        <family val="2"/>
      </rPr>
      <t>v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(3.52b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>)</t>
    </r>
  </si>
  <si>
    <r>
      <t>kg  &lt;  1.06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 xml:space="preserve">p  </t>
    </r>
    <r>
      <rPr>
        <sz val="14"/>
        <rFont val="Cordia New"/>
        <family val="2"/>
      </rPr>
      <t xml:space="preserve">       =</t>
    </r>
  </si>
  <si>
    <r>
      <t xml:space="preserve">      &lt;  2.12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b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 xml:space="preserve"> d</t>
    </r>
    <r>
      <rPr>
        <vertAlign val="subscript"/>
        <sz val="14"/>
        <rFont val="Cordia New"/>
        <family val="2"/>
      </rPr>
      <t xml:space="preserve">p  </t>
    </r>
    <r>
      <rPr>
        <sz val="14"/>
        <rFont val="Cordia New"/>
        <family val="2"/>
      </rPr>
      <t xml:space="preserve">       =</t>
    </r>
  </si>
  <si>
    <r>
      <t>V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 + V</t>
    </r>
    <r>
      <rPr>
        <vertAlign val="subscript"/>
        <sz val="14"/>
        <rFont val="Cordia New"/>
        <family val="2"/>
      </rPr>
      <t>s</t>
    </r>
  </si>
  <si>
    <r>
      <t>0.85V</t>
    </r>
    <r>
      <rPr>
        <vertAlign val="subscript"/>
        <sz val="14"/>
        <rFont val="Cordia New"/>
        <family val="2"/>
      </rPr>
      <t>n</t>
    </r>
  </si>
  <si>
    <r>
      <t>A</t>
    </r>
    <r>
      <rPr>
        <vertAlign val="subscript"/>
        <sz val="14"/>
        <rFont val="Cordia New"/>
        <family val="2"/>
      </rPr>
      <t>s</t>
    </r>
  </si>
  <si>
    <r>
      <t>f</t>
    </r>
    <r>
      <rPr>
        <vertAlign val="subscript"/>
        <sz val="14"/>
        <rFont val="Cordia New"/>
        <family val="2"/>
      </rPr>
      <t>py</t>
    </r>
  </si>
  <si>
    <r>
      <t>f</t>
    </r>
    <r>
      <rPr>
        <vertAlign val="subscript"/>
        <sz val="14"/>
        <rFont val="Cordia New"/>
        <family val="2"/>
      </rPr>
      <t>se</t>
    </r>
  </si>
  <si>
    <r>
      <t>f</t>
    </r>
    <r>
      <rPr>
        <vertAlign val="subscript"/>
        <sz val="14"/>
        <rFont val="Cordia New"/>
        <family val="2"/>
      </rPr>
      <t>ps</t>
    </r>
  </si>
  <si>
    <r>
      <t>: Strain in Prestressing Steel Corresponding to f</t>
    </r>
    <r>
      <rPr>
        <vertAlign val="subscript"/>
        <sz val="14"/>
        <rFont val="Cordia New"/>
        <family val="2"/>
      </rPr>
      <t>ps</t>
    </r>
  </si>
  <si>
    <r>
      <t>b</t>
    </r>
    <r>
      <rPr>
        <vertAlign val="subscript"/>
        <sz val="10"/>
        <rFont val="Symbol"/>
        <family val="1"/>
      </rPr>
      <t>1</t>
    </r>
  </si>
  <si>
    <r>
      <t>0.75f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- Total Loss</t>
    </r>
  </si>
  <si>
    <r>
      <t>0.85 - 0.0008 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 - 300)</t>
    </r>
  </si>
  <si>
    <r>
      <t>(</t>
    </r>
    <r>
      <rPr>
        <sz val="9"/>
        <rFont val="Symath"/>
        <family val="0"/>
      </rPr>
      <t>P</t>
    </r>
    <r>
      <rPr>
        <sz val="14"/>
        <rFont val="Cordia New"/>
        <family val="2"/>
      </rPr>
      <t xml:space="preserve">  0.65)</t>
    </r>
  </si>
  <si>
    <r>
      <t>c.</t>
    </r>
    <r>
      <rPr>
        <sz val="10"/>
        <rFont val="Symbol"/>
        <family val="1"/>
      </rPr>
      <t>b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</si>
  <si>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4"/>
        <rFont val="Cordia New"/>
        <family val="2"/>
      </rPr>
      <t>p</t>
    </r>
  </si>
  <si>
    <r>
      <t>; f</t>
    </r>
    <r>
      <rPr>
        <vertAlign val="subscript"/>
        <sz val="14"/>
        <rFont val="Cordia New"/>
        <family val="2"/>
      </rPr>
      <t>py</t>
    </r>
    <r>
      <rPr>
        <sz val="14"/>
        <rFont val="Cordia New"/>
        <family val="2"/>
      </rPr>
      <t xml:space="preserve"> / f</t>
    </r>
    <r>
      <rPr>
        <vertAlign val="subscript"/>
        <sz val="14"/>
        <rFont val="Cordia New"/>
        <family val="2"/>
      </rPr>
      <t xml:space="preserve">pu </t>
    </r>
    <r>
      <rPr>
        <sz val="14"/>
        <rFont val="Cordia New"/>
        <family val="2"/>
      </rPr>
      <t xml:space="preserve">    =</t>
    </r>
  </si>
  <si>
    <r>
      <t>p</t>
    </r>
    <r>
      <rPr>
        <vertAlign val="subscript"/>
        <sz val="14"/>
        <rFont val="Cordia New"/>
        <family val="2"/>
      </rPr>
      <t>p</t>
    </r>
  </si>
  <si>
    <r>
      <t>p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f'</t>
    </r>
    <r>
      <rPr>
        <vertAlign val="subscript"/>
        <sz val="14"/>
        <rFont val="Cordia New"/>
        <family val="2"/>
      </rPr>
      <t>c</t>
    </r>
  </si>
  <si>
    <r>
      <t>p' 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 xml:space="preserve"> / f'</t>
    </r>
    <r>
      <rPr>
        <vertAlign val="subscript"/>
        <sz val="14"/>
        <rFont val="Cordia New"/>
        <family val="2"/>
      </rPr>
      <t>c</t>
    </r>
  </si>
  <si>
    <r>
      <t>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(1 - (r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/ </t>
    </r>
    <r>
      <rPr>
        <sz val="10"/>
        <rFont val="Symbol"/>
        <family val="1"/>
      </rPr>
      <t>b</t>
    </r>
    <r>
      <rPr>
        <vertAlign val="subscript"/>
        <sz val="14"/>
        <rFont val="Cordia New"/>
        <family val="2"/>
      </rPr>
      <t>1</t>
    </r>
    <r>
      <rPr>
        <sz val="14"/>
        <rFont val="Cordia New"/>
        <family val="2"/>
      </rPr>
      <t>) [p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(f</t>
    </r>
    <r>
      <rPr>
        <vertAlign val="subscript"/>
        <sz val="14"/>
        <rFont val="Cordia New"/>
        <family val="2"/>
      </rPr>
      <t>pu</t>
    </r>
    <r>
      <rPr>
        <sz val="14"/>
        <rFont val="Cordia New"/>
        <family val="2"/>
      </rPr>
      <t xml:space="preserve"> / 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 + (d /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) (w - w')])     </t>
    </r>
  </si>
  <si>
    <r>
      <t>0.85 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 b a</t>
    </r>
  </si>
  <si>
    <r>
      <t>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ps</t>
    </r>
  </si>
  <si>
    <r>
      <t>(A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) / (0.85 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 b)</t>
    </r>
  </si>
  <si>
    <r>
      <t xml:space="preserve">t </t>
    </r>
    <r>
      <rPr>
        <vertAlign val="subscript"/>
        <sz val="16"/>
        <rFont val="Cordia New"/>
        <family val="2"/>
      </rPr>
      <t>f</t>
    </r>
  </si>
  <si>
    <r>
      <t>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>(d</t>
    </r>
    <r>
      <rPr>
        <vertAlign val="subscript"/>
        <sz val="14"/>
        <rFont val="Cordia New"/>
        <family val="2"/>
      </rPr>
      <t xml:space="preserve">p </t>
    </r>
    <r>
      <rPr>
        <sz val="14"/>
        <rFont val="Cordia New"/>
        <family val="2"/>
      </rPr>
      <t>- a/2)</t>
    </r>
  </si>
  <si>
    <r>
      <t>0.90M</t>
    </r>
    <r>
      <rPr>
        <vertAlign val="subscript"/>
        <sz val="14"/>
        <rFont val="Cordia New"/>
        <family val="2"/>
      </rPr>
      <t>n</t>
    </r>
  </si>
  <si>
    <r>
      <t>C</t>
    </r>
    <r>
      <rPr>
        <vertAlign val="subscript"/>
        <sz val="14"/>
        <rFont val="Cordia New"/>
        <family val="2"/>
      </rPr>
      <t>b</t>
    </r>
  </si>
  <si>
    <r>
      <t>= B</t>
    </r>
    <r>
      <rPr>
        <vertAlign val="subscript"/>
        <sz val="14"/>
        <rFont val="Cordia New"/>
        <family val="2"/>
      </rPr>
      <t>1</t>
    </r>
    <r>
      <rPr>
        <sz val="14"/>
        <rFont val="Cordia New"/>
        <family val="2"/>
      </rPr>
      <t>/2 - e</t>
    </r>
  </si>
  <si>
    <r>
      <t>f</t>
    </r>
    <r>
      <rPr>
        <vertAlign val="subscript"/>
        <sz val="14"/>
        <rFont val="Cordia New"/>
        <family val="2"/>
      </rPr>
      <t>r</t>
    </r>
  </si>
  <si>
    <r>
      <t>2 sqrt(f'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>)</t>
    </r>
  </si>
  <si>
    <r>
      <t>M</t>
    </r>
    <r>
      <rPr>
        <vertAlign val="subscript"/>
        <sz val="14"/>
        <rFont val="Cordia New"/>
        <family val="2"/>
      </rPr>
      <t>cr</t>
    </r>
  </si>
  <si>
    <r>
      <t>P</t>
    </r>
    <r>
      <rPr>
        <vertAlign val="subscript"/>
        <sz val="14"/>
        <rFont val="Cordia New"/>
        <family val="2"/>
      </rPr>
      <t>e</t>
    </r>
    <r>
      <rPr>
        <sz val="14"/>
        <rFont val="Cordia New"/>
        <family val="2"/>
      </rPr>
      <t xml:space="preserve"> (e + r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 xml:space="preserve"> / C</t>
    </r>
    <r>
      <rPr>
        <vertAlign val="subscript"/>
        <sz val="14"/>
        <rFont val="Cordia New"/>
        <family val="2"/>
      </rPr>
      <t>b</t>
    </r>
    <r>
      <rPr>
        <sz val="14"/>
        <rFont val="Cordia New"/>
        <family val="2"/>
      </rPr>
      <t>) + f</t>
    </r>
    <r>
      <rPr>
        <vertAlign val="subscript"/>
        <sz val="14"/>
        <rFont val="Cordia New"/>
        <family val="2"/>
      </rPr>
      <t>r</t>
    </r>
    <r>
      <rPr>
        <sz val="14"/>
        <rFont val="Cordia New"/>
        <family val="2"/>
      </rPr>
      <t xml:space="preserve"> l / C</t>
    </r>
    <r>
      <rPr>
        <vertAlign val="subscript"/>
        <sz val="14"/>
        <rFont val="Cordia New"/>
        <family val="2"/>
      </rPr>
      <t>b</t>
    </r>
  </si>
  <si>
    <r>
      <t>1.2M</t>
    </r>
    <r>
      <rPr>
        <vertAlign val="subscript"/>
        <sz val="14"/>
        <rFont val="Cordia New"/>
        <family val="2"/>
      </rPr>
      <t>cr</t>
    </r>
  </si>
  <si>
    <r>
      <t>= (P</t>
    </r>
    <r>
      <rPr>
        <vertAlign val="subscript"/>
        <sz val="14"/>
        <rFont val="Cordia New"/>
        <family val="2"/>
      </rPr>
      <t>i</t>
    </r>
    <r>
      <rPr>
        <sz val="14"/>
        <rFont val="Cordia New"/>
        <family val="2"/>
      </rPr>
      <t xml:space="preserve"> e L</t>
    </r>
    <r>
      <rPr>
        <vertAlign val="superscript"/>
        <sz val="14"/>
        <rFont val="Cordia New"/>
        <family val="2"/>
      </rPr>
      <t>2</t>
    </r>
    <r>
      <rPr>
        <sz val="14"/>
        <rFont val="Cordia New"/>
        <family val="2"/>
      </rPr>
      <t>) / (8E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 xml:space="preserve"> l)</t>
    </r>
  </si>
  <si>
    <r>
      <t>= 1.8 x</t>
    </r>
    <r>
      <rPr>
        <sz val="12"/>
        <rFont val="Cordia New"/>
        <family val="2"/>
      </rPr>
      <t xml:space="preserve"> Short Team Camber</t>
    </r>
  </si>
  <si>
    <r>
      <t>5% of ( 5 w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L</t>
    </r>
    <r>
      <rPr>
        <vertAlign val="superscript"/>
        <sz val="14"/>
        <rFont val="Cordia New"/>
        <family val="2"/>
      </rPr>
      <t>4</t>
    </r>
    <r>
      <rPr>
        <sz val="14"/>
        <rFont val="Cordia New"/>
        <family val="2"/>
      </rPr>
      <t xml:space="preserve"> / (384 E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 xml:space="preserve"> l ))</t>
    </r>
  </si>
  <si>
    <t>ksc.</t>
  </si>
  <si>
    <t>M</t>
  </si>
  <si>
    <t>PC.</t>
  </si>
  <si>
    <t>4 mm.</t>
  </si>
  <si>
    <t>5 mm.</t>
  </si>
  <si>
    <t>7 mm.</t>
  </si>
  <si>
    <t xml:space="preserve"> DES.</t>
  </si>
  <si>
    <t xml:space="preserve"> APP.</t>
  </si>
  <si>
    <t xml:space="preserve"> CHK.</t>
  </si>
  <si>
    <t xml:space="preserve"> DATE.</t>
  </si>
  <si>
    <t xml:space="preserve"> DWN.</t>
  </si>
  <si>
    <t>AREA</t>
  </si>
  <si>
    <t>T</t>
  </si>
  <si>
    <t>DES.</t>
  </si>
  <si>
    <t>APP.</t>
  </si>
  <si>
    <t>DWN.</t>
  </si>
  <si>
    <t>PROJECT :</t>
  </si>
  <si>
    <t>=</t>
  </si>
  <si>
    <t>OK</t>
  </si>
  <si>
    <t>cm.</t>
  </si>
  <si>
    <t>e</t>
  </si>
  <si>
    <t>Prestressed Concrete Pile</t>
  </si>
  <si>
    <t xml:space="preserve">Pile Calculation </t>
  </si>
  <si>
    <t>DWG.NO.</t>
  </si>
  <si>
    <t>ALLOWABLE STRESSES IN CONCRETE</t>
  </si>
  <si>
    <t>fc'    =</t>
  </si>
  <si>
    <t>cylindrical concrete strength at working</t>
  </si>
  <si>
    <t xml:space="preserve">fci'   =   </t>
  </si>
  <si>
    <t>cylindrical concrete strength at release</t>
  </si>
  <si>
    <t>TEMPORARY CONDITIONS</t>
  </si>
  <si>
    <t>concrete compression</t>
  </si>
  <si>
    <t xml:space="preserve"> =</t>
  </si>
  <si>
    <t>0.60 fci'</t>
  </si>
  <si>
    <t>concrete tension</t>
  </si>
  <si>
    <t xml:space="preserve"> = 0.795 xSQRT(fci')</t>
  </si>
  <si>
    <t>PERMANENT CONDITIONS</t>
  </si>
  <si>
    <t>concrete compression  0.45 fc'</t>
  </si>
  <si>
    <t>concrete tension          1.59 x SQRT(fc')</t>
  </si>
  <si>
    <t>fpu</t>
  </si>
  <si>
    <t xml:space="preserve">     diameter of steel</t>
  </si>
  <si>
    <t>pu</t>
  </si>
  <si>
    <t>prestressing force applied</t>
  </si>
  <si>
    <t>effective prestressing after lossess</t>
  </si>
  <si>
    <t>p</t>
  </si>
  <si>
    <t>TYPE OF STEEL</t>
  </si>
  <si>
    <t>Area</t>
  </si>
  <si>
    <t>unit wt.</t>
  </si>
  <si>
    <r>
      <t>Cm</t>
    </r>
    <r>
      <rPr>
        <vertAlign val="superscript"/>
        <sz val="14"/>
        <rFont val="AngsanaUPC"/>
        <family val="1"/>
      </rPr>
      <t>2</t>
    </r>
  </si>
  <si>
    <t>kg.</t>
  </si>
  <si>
    <t>kg./ m.</t>
  </si>
  <si>
    <t xml:space="preserve"> PC wire</t>
  </si>
  <si>
    <t>L        =</t>
  </si>
  <si>
    <t>A        =</t>
  </si>
  <si>
    <t>I         =</t>
  </si>
  <si>
    <t>S        =</t>
  </si>
  <si>
    <t>Working moment (Prestressed)</t>
  </si>
  <si>
    <t>Working moment (Nonprestressed)</t>
  </si>
  <si>
    <t xml:space="preserve">ksc. </t>
  </si>
  <si>
    <t>Page. 1 / 6</t>
  </si>
  <si>
    <t>Eccentric of strand or wire</t>
  </si>
  <si>
    <t>Page. 2 / 6</t>
  </si>
  <si>
    <t>; Effective Prestress Force in Prestressed Rienforcement (After Allowance for All Prestress Losses)</t>
  </si>
  <si>
    <t>Page. 3 / 6</t>
  </si>
  <si>
    <t>: Modulus of Elasticity of Nonrestressing Steel</t>
  </si>
  <si>
    <t>: Specific Yeild Strength of Nonprestressing Steel</t>
  </si>
  <si>
    <t>: Strain in Nonprestressing Steel in Compression Zone</t>
  </si>
  <si>
    <t>: Strain in Nonprestressing Steel in Tension Zone</t>
  </si>
  <si>
    <t>: Strain in Nonprestressing Steel at Yield Piont</t>
  </si>
  <si>
    <t>: Compression Stress in Nonprestressing Steel</t>
  </si>
  <si>
    <t>: Tension Stress in Nonprestressing Steel</t>
  </si>
  <si>
    <t>Page. 4 / 6</t>
  </si>
  <si>
    <t>Try for Nonprestressing Steel</t>
  </si>
  <si>
    <t>0.9 (d-a)</t>
  </si>
  <si>
    <t>Check</t>
  </si>
  <si>
    <t>Page. 5 / 6</t>
  </si>
  <si>
    <t>Page. 6 / 6</t>
  </si>
  <si>
    <r>
      <t>W</t>
    </r>
    <r>
      <rPr>
        <vertAlign val="subscript"/>
        <sz val="14"/>
        <rFont val="Cordia New"/>
        <family val="2"/>
      </rPr>
      <t>t</t>
    </r>
    <r>
      <rPr>
        <sz val="14"/>
        <rFont val="Cordia New"/>
        <family val="2"/>
      </rPr>
      <t xml:space="preserve">      =</t>
    </r>
  </si>
  <si>
    <r>
      <t>M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>1   =</t>
    </r>
  </si>
  <si>
    <t>2 DB.12 mm.x 18.00 m.</t>
  </si>
  <si>
    <t>4 DB.25mm.x 5.00 m.+2 DB.12 mm.x 18.00 m.</t>
  </si>
  <si>
    <r>
      <t>M</t>
    </r>
    <r>
      <rPr>
        <vertAlign val="subscript"/>
        <sz val="14"/>
        <rFont val="Cordia New"/>
        <family val="2"/>
      </rPr>
      <t>w</t>
    </r>
    <r>
      <rPr>
        <sz val="14"/>
        <rFont val="Cordia New"/>
        <family val="2"/>
      </rPr>
      <t>2   =</t>
    </r>
  </si>
  <si>
    <r>
      <t>M</t>
    </r>
    <r>
      <rPr>
        <vertAlign val="subscript"/>
        <sz val="14"/>
        <rFont val="Cordia New"/>
        <family val="2"/>
      </rPr>
      <t>wT</t>
    </r>
    <r>
      <rPr>
        <sz val="14"/>
        <rFont val="Cordia New"/>
        <family val="2"/>
      </rPr>
      <t xml:space="preserve">   =</t>
    </r>
  </si>
  <si>
    <r>
      <t>V</t>
    </r>
    <r>
      <rPr>
        <vertAlign val="subscript"/>
        <sz val="14"/>
        <rFont val="Cordia New"/>
        <family val="2"/>
      </rPr>
      <t>w         =</t>
    </r>
  </si>
  <si>
    <r>
      <t>=   0.795sqrt f'</t>
    </r>
    <r>
      <rPr>
        <vertAlign val="subscript"/>
        <sz val="14"/>
        <rFont val="Cordia New"/>
        <family val="2"/>
      </rPr>
      <t>ci</t>
    </r>
    <r>
      <rPr>
        <sz val="14"/>
        <rFont val="Cordia New"/>
        <family val="2"/>
      </rPr>
      <t xml:space="preserve">      =</t>
    </r>
  </si>
  <si>
    <r>
      <t>=   1.59sqrt f'</t>
    </r>
    <r>
      <rPr>
        <vertAlign val="subscript"/>
        <sz val="14"/>
        <rFont val="Cordia New"/>
        <family val="2"/>
      </rPr>
      <t>c</t>
    </r>
    <r>
      <rPr>
        <sz val="14"/>
        <rFont val="Cordia New"/>
        <family val="2"/>
      </rPr>
      <t xml:space="preserve">        =</t>
    </r>
  </si>
  <si>
    <r>
      <t>f</t>
    </r>
    <r>
      <rPr>
        <vertAlign val="subscript"/>
        <sz val="14"/>
        <rFont val="Cordia New"/>
        <family val="2"/>
      </rPr>
      <t>PC</t>
    </r>
  </si>
  <si>
    <r>
      <t xml:space="preserve">   A</t>
    </r>
    <r>
      <rPr>
        <vertAlign val="subscript"/>
        <sz val="14"/>
        <rFont val="Cordia New"/>
        <family val="2"/>
      </rPr>
      <t>v     =</t>
    </r>
  </si>
  <si>
    <r>
      <t>A</t>
    </r>
    <r>
      <rPr>
        <vertAlign val="subscript"/>
        <sz val="14"/>
        <rFont val="Cordia New"/>
        <family val="2"/>
      </rPr>
      <t>s'</t>
    </r>
  </si>
  <si>
    <r>
      <t>E</t>
    </r>
    <r>
      <rPr>
        <vertAlign val="subscript"/>
        <sz val="14"/>
        <rFont val="Cordia New"/>
        <family val="2"/>
      </rPr>
      <t>s</t>
    </r>
  </si>
  <si>
    <r>
      <t>e</t>
    </r>
    <r>
      <rPr>
        <vertAlign val="subscript"/>
        <sz val="14"/>
        <rFont val="AngsanaUPC"/>
        <family val="1"/>
      </rPr>
      <t>s'</t>
    </r>
  </si>
  <si>
    <r>
      <t>e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</si>
  <si>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y</t>
    </r>
  </si>
  <si>
    <r>
      <t>b</t>
    </r>
    <r>
      <rPr>
        <sz val="14"/>
        <rFont val="AngsanaUPC"/>
        <family val="1"/>
      </rPr>
      <t>s'</t>
    </r>
  </si>
  <si>
    <r>
      <t>b</t>
    </r>
    <r>
      <rPr>
        <sz val="14"/>
        <rFont val="AngsanaUPC"/>
        <family val="1"/>
      </rPr>
      <t>s</t>
    </r>
  </si>
  <si>
    <r>
      <t>1.7M</t>
    </r>
    <r>
      <rPr>
        <vertAlign val="subscript"/>
        <sz val="14"/>
        <rFont val="Cordia New"/>
        <family val="2"/>
      </rPr>
      <t>wT</t>
    </r>
  </si>
  <si>
    <r>
      <t>A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/( b d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>)</t>
    </r>
  </si>
  <si>
    <r>
      <t>A</t>
    </r>
    <r>
      <rPr>
        <vertAlign val="subscript"/>
        <sz val="14"/>
        <rFont val="Cordia New"/>
        <family val="2"/>
      </rPr>
      <t>s</t>
    </r>
    <r>
      <rPr>
        <sz val="14"/>
        <rFont val="Cordia New"/>
        <family val="2"/>
      </rPr>
      <t xml:space="preserve"> /( b d)</t>
    </r>
  </si>
  <si>
    <r>
      <t>A'</t>
    </r>
    <r>
      <rPr>
        <vertAlign val="subscript"/>
        <sz val="14"/>
        <rFont val="Cordia New"/>
        <family val="2"/>
      </rPr>
      <t>s</t>
    </r>
    <r>
      <rPr>
        <sz val="14"/>
        <rFont val="Cordia New"/>
        <family val="2"/>
      </rPr>
      <t xml:space="preserve"> /( b d)</t>
    </r>
  </si>
  <si>
    <r>
      <t>w</t>
    </r>
    <r>
      <rPr>
        <i/>
        <vertAlign val="subscript"/>
        <sz val="14"/>
        <rFont val="Cordia New"/>
        <family val="2"/>
      </rPr>
      <t>P</t>
    </r>
  </si>
  <si>
    <r>
      <t>p</t>
    </r>
    <r>
      <rPr>
        <vertAlign val="subscript"/>
        <sz val="14"/>
        <rFont val="Cordia New"/>
        <family val="2"/>
      </rPr>
      <t>p</t>
    </r>
    <r>
      <rPr>
        <sz val="14"/>
        <rFont val="Cordia New"/>
        <family val="2"/>
      </rPr>
      <t xml:space="preserve"> f</t>
    </r>
    <r>
      <rPr>
        <vertAlign val="subscript"/>
        <sz val="14"/>
        <rFont val="Cordia New"/>
        <family val="2"/>
      </rPr>
      <t>PS</t>
    </r>
    <r>
      <rPr>
        <sz val="14"/>
        <rFont val="Cordia New"/>
        <family val="2"/>
      </rPr>
      <t xml:space="preserve"> / f'</t>
    </r>
    <r>
      <rPr>
        <vertAlign val="subscript"/>
        <sz val="14"/>
        <rFont val="Cordia New"/>
        <family val="2"/>
      </rPr>
      <t>c</t>
    </r>
  </si>
  <si>
    <r>
      <t>M</t>
    </r>
    <r>
      <rPr>
        <vertAlign val="subscript"/>
        <sz val="14"/>
        <rFont val="Cordia New"/>
        <family val="2"/>
      </rPr>
      <t>n</t>
    </r>
    <r>
      <rPr>
        <sz val="14"/>
        <rFont val="Cordia New"/>
        <family val="2"/>
      </rPr>
      <t>1</t>
    </r>
  </si>
  <si>
    <r>
      <t>0.90M</t>
    </r>
    <r>
      <rPr>
        <vertAlign val="subscript"/>
        <sz val="14"/>
        <rFont val="Cordia New"/>
        <family val="2"/>
      </rPr>
      <t>n</t>
    </r>
    <r>
      <rPr>
        <sz val="14"/>
        <rFont val="Cordia New"/>
        <family val="2"/>
      </rPr>
      <t>1</t>
    </r>
  </si>
  <si>
    <r>
      <t>M</t>
    </r>
    <r>
      <rPr>
        <vertAlign val="subscript"/>
        <sz val="14"/>
        <rFont val="Cordia New"/>
        <family val="2"/>
      </rPr>
      <t>n</t>
    </r>
    <r>
      <rPr>
        <sz val="14"/>
        <rFont val="Cordia New"/>
        <family val="2"/>
      </rPr>
      <t>2</t>
    </r>
  </si>
  <si>
    <r>
      <t>M</t>
    </r>
    <r>
      <rPr>
        <vertAlign val="subscript"/>
        <sz val="14"/>
        <rFont val="Cordia New"/>
        <family val="2"/>
      </rPr>
      <t xml:space="preserve">u </t>
    </r>
    <r>
      <rPr>
        <sz val="14"/>
        <rFont val="Cordia New"/>
        <family val="2"/>
      </rPr>
      <t xml:space="preserve">/ </t>
    </r>
    <r>
      <rPr>
        <sz val="10"/>
        <rFont val="SymbolPS"/>
        <family val="1"/>
      </rPr>
      <t xml:space="preserve">Æ </t>
    </r>
    <r>
      <rPr>
        <sz val="14"/>
        <rFont val="Cordia New"/>
        <family val="2"/>
      </rPr>
      <t>- M</t>
    </r>
    <r>
      <rPr>
        <vertAlign val="subscript"/>
        <sz val="14"/>
        <rFont val="Cordia New"/>
        <family val="2"/>
      </rPr>
      <t>n</t>
    </r>
    <r>
      <rPr>
        <sz val="14"/>
        <rFont val="Cordia New"/>
        <family val="2"/>
      </rPr>
      <t>1</t>
    </r>
  </si>
  <si>
    <r>
      <t>z</t>
    </r>
    <r>
      <rPr>
        <vertAlign val="subscript"/>
        <sz val="16"/>
        <rFont val="AngsanaUPC"/>
        <family val="1"/>
      </rPr>
      <t>2</t>
    </r>
  </si>
  <si>
    <r>
      <t>A</t>
    </r>
    <r>
      <rPr>
        <vertAlign val="subscript"/>
        <sz val="14"/>
        <rFont val="AngsanaUPC"/>
        <family val="1"/>
      </rPr>
      <t>s re</t>
    </r>
  </si>
  <si>
    <r>
      <t>(M</t>
    </r>
    <r>
      <rPr>
        <vertAlign val="subscript"/>
        <sz val="14"/>
        <rFont val="Cordia New"/>
        <family val="2"/>
      </rPr>
      <t xml:space="preserve">u </t>
    </r>
    <r>
      <rPr>
        <sz val="14"/>
        <rFont val="Cordia New"/>
        <family val="2"/>
      </rPr>
      <t xml:space="preserve">/ </t>
    </r>
    <r>
      <rPr>
        <sz val="10"/>
        <rFont val="SymbolPS"/>
        <family val="1"/>
      </rPr>
      <t xml:space="preserve">Æ </t>
    </r>
    <r>
      <rPr>
        <sz val="14"/>
        <rFont val="Cordia New"/>
        <family val="2"/>
      </rPr>
      <t>- M</t>
    </r>
    <r>
      <rPr>
        <vertAlign val="subscript"/>
        <sz val="14"/>
        <rFont val="Cordia New"/>
        <family val="2"/>
      </rPr>
      <t>n</t>
    </r>
    <r>
      <rPr>
        <sz val="14"/>
        <rFont val="Cordia New"/>
        <family val="2"/>
      </rPr>
      <t>1) / (f</t>
    </r>
    <r>
      <rPr>
        <vertAlign val="subscript"/>
        <sz val="14"/>
        <rFont val="Cordia New"/>
        <family val="2"/>
      </rPr>
      <t>y</t>
    </r>
    <r>
      <rPr>
        <sz val="14"/>
        <rFont val="Cordia New"/>
        <family val="2"/>
      </rPr>
      <t>z</t>
    </r>
    <r>
      <rPr>
        <vertAlign val="subscript"/>
        <sz val="14"/>
        <rFont val="Cordia New"/>
        <family val="2"/>
      </rPr>
      <t>2</t>
    </r>
    <r>
      <rPr>
        <sz val="14"/>
        <rFont val="Cordia New"/>
        <family val="2"/>
      </rPr>
      <t>)</t>
    </r>
  </si>
  <si>
    <r>
      <t>w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+(w-w')(d/d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 xml:space="preserve">)  </t>
    </r>
    <r>
      <rPr>
        <u val="single"/>
        <sz val="14"/>
        <rFont val="AngsanaUPC"/>
        <family val="1"/>
      </rPr>
      <t>&lt;</t>
    </r>
    <r>
      <rPr>
        <sz val="14"/>
        <rFont val="AngsanaUPC"/>
        <family val="1"/>
      </rPr>
      <t xml:space="preserve">  0.36 </t>
    </r>
    <r>
      <rPr>
        <sz val="10"/>
        <rFont val="Symbol"/>
        <family val="1"/>
      </rPr>
      <t>b</t>
    </r>
    <r>
      <rPr>
        <vertAlign val="subscript"/>
        <sz val="14"/>
        <rFont val="AngsanaUPC"/>
        <family val="1"/>
      </rPr>
      <t>1</t>
    </r>
  </si>
  <si>
    <r>
      <t>w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+(w-w')(d/d</t>
    </r>
    <r>
      <rPr>
        <vertAlign val="subscript"/>
        <sz val="14"/>
        <rFont val="AngsanaUPC"/>
        <family val="1"/>
      </rPr>
      <t>p</t>
    </r>
    <r>
      <rPr>
        <sz val="14"/>
        <rFont val="AngsanaUPC"/>
        <family val="1"/>
      </rPr>
      <t>)</t>
    </r>
  </si>
  <si>
    <r>
      <t xml:space="preserve"> 0.36 </t>
    </r>
    <r>
      <rPr>
        <sz val="10"/>
        <rFont val="Symbol"/>
        <family val="1"/>
      </rPr>
      <t>b</t>
    </r>
    <r>
      <rPr>
        <vertAlign val="subscript"/>
        <sz val="14"/>
        <rFont val="AngsanaUPC"/>
        <family val="1"/>
      </rPr>
      <t>1</t>
    </r>
  </si>
  <si>
    <t>PC.WIRE  4 mm.</t>
  </si>
  <si>
    <t>PC.WIRE  5 mm.</t>
  </si>
  <si>
    <t>PC.WIRE  7 mm.</t>
  </si>
  <si>
    <t>PC.S 3/8"  250K</t>
  </si>
  <si>
    <t>PC.S 3/8"  270K</t>
  </si>
  <si>
    <t xml:space="preserve">PC.S 1/2"  250K </t>
  </si>
  <si>
    <t>PC.S 1/2"  270K</t>
  </si>
  <si>
    <r>
      <t>A</t>
    </r>
    <r>
      <rPr>
        <b/>
        <vertAlign val="subscript"/>
        <sz val="14"/>
        <color indexed="12"/>
        <rFont val="AngsanaUPC"/>
        <family val="1"/>
      </rPr>
      <t>s</t>
    </r>
  </si>
  <si>
    <r>
      <t>cm.</t>
    </r>
    <r>
      <rPr>
        <b/>
        <vertAlign val="superscript"/>
        <sz val="14"/>
        <color indexed="12"/>
        <rFont val="Cordia New"/>
        <family val="2"/>
      </rPr>
      <t>2</t>
    </r>
  </si>
  <si>
    <r>
      <t>A</t>
    </r>
    <r>
      <rPr>
        <b/>
        <vertAlign val="subscript"/>
        <sz val="14"/>
        <color indexed="12"/>
        <rFont val="AngsanaUPC"/>
        <family val="1"/>
      </rPr>
      <t>s'</t>
    </r>
  </si>
  <si>
    <t>&lt;</t>
  </si>
  <si>
    <t>SECTION</t>
  </si>
  <si>
    <t>OK.</t>
  </si>
  <si>
    <t>USE</t>
  </si>
  <si>
    <r>
      <t>24</t>
    </r>
    <r>
      <rPr>
        <b/>
        <vertAlign val="superscript"/>
        <sz val="20"/>
        <rFont val="AngsanaUPC"/>
        <family val="1"/>
      </rPr>
      <t xml:space="preserve">th </t>
    </r>
    <r>
      <rPr>
        <b/>
        <sz val="20"/>
        <rFont val="AngsanaUPC"/>
        <family val="1"/>
      </rPr>
      <t xml:space="preserve"> January  2006</t>
    </r>
  </si>
  <si>
    <r>
      <t xml:space="preserve">PC.STRAND   14 </t>
    </r>
    <r>
      <rPr>
        <b/>
        <sz val="10"/>
        <rFont val="Symbol"/>
        <family val="1"/>
      </rPr>
      <t>Æ</t>
    </r>
    <r>
      <rPr>
        <b/>
        <sz val="16"/>
        <rFont val="AngsanaUPC"/>
        <family val="1"/>
      </rPr>
      <t xml:space="preserve"> 3/8" (270K) </t>
    </r>
  </si>
  <si>
    <t xml:space="preserve"> 24/01/49</t>
  </si>
  <si>
    <t xml:space="preserve">          BACK DAM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</si>
</sst>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0.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0.000_)"/>
    <numFmt numFmtId="184" formatCode="0_)"/>
    <numFmt numFmtId="185" formatCode="0.0_)"/>
    <numFmt numFmtId="186" formatCode="0.00_)"/>
    <numFmt numFmtId="187" formatCode="0.000000"/>
    <numFmt numFmtId="188" formatCode="_(* #,##0.0000_);_(* \(#,##0.0000\);_(* &quot;-&quot;??_);_(@_)"/>
    <numFmt numFmtId="189" formatCode="#,##0.0"/>
    <numFmt numFmtId="190" formatCode="_-* #,##0_-;\-* #,##0_-;_-* &quot;-&quot;??_-;_-@_-"/>
    <numFmt numFmtId="191" formatCode="0.000E+00"/>
    <numFmt numFmtId="192" formatCode="0.000000E+00"/>
    <numFmt numFmtId="193" formatCode="_(* #,##0.000_);_(* \(#,##0.000\);_(* &quot;-&quot;??_);_(@_)"/>
    <numFmt numFmtId="194" formatCode="_-* #,##0_-;\-* #,##0_-;_-* &quot;-&quot;?_-;_-@_-"/>
    <numFmt numFmtId="195" formatCode="_-* #,##0_-;\-* #,##0_-;_-* &quot;-&quot;????_-;_-@_-"/>
    <numFmt numFmtId="196" formatCode="_-* #,##0.0_-;\-* #,##0.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(* #,##0.00000_);_(* \(#,##0.00000\);_(* &quot;-&quot;??_);_(@_)"/>
    <numFmt numFmtId="200" formatCode="#,##0.00_ ;\-#,##0.00\ "/>
    <numFmt numFmtId="201" formatCode="_(* #,##0.0000000_);_(* \(#,##0.0000000\);_(* &quot;-&quot;??_);_(@_)"/>
    <numFmt numFmtId="202" formatCode="#,##0_ ;\-#,##0\ "/>
    <numFmt numFmtId="203" formatCode="_-* #,##0.000_-;\-* #,##0.000_-;_-* &quot;-&quot;???_-;_-@_-"/>
  </numFmts>
  <fonts count="117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26"/>
      <name val="AngsanaUPC"/>
      <family val="1"/>
    </font>
    <font>
      <sz val="16"/>
      <name val="AngsanaUPC"/>
      <family val="1"/>
    </font>
    <font>
      <b/>
      <sz val="20"/>
      <name val="AngsanaUPC"/>
      <family val="1"/>
    </font>
    <font>
      <b/>
      <sz val="18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vertAlign val="superscript"/>
      <sz val="14"/>
      <name val="AngsanaUPC"/>
      <family val="1"/>
    </font>
    <font>
      <b/>
      <sz val="16"/>
      <name val="AngsanaUPC"/>
      <family val="1"/>
    </font>
    <font>
      <sz val="18"/>
      <name val="AngsanaUPC"/>
      <family val="1"/>
    </font>
    <font>
      <b/>
      <sz val="22"/>
      <name val="AngsanaUPC"/>
      <family val="1"/>
    </font>
    <font>
      <b/>
      <sz val="14"/>
      <color indexed="12"/>
      <name val="AngsanaUPC"/>
      <family val="1"/>
    </font>
    <font>
      <b/>
      <sz val="10"/>
      <name val="Symbol"/>
      <family val="1"/>
    </font>
    <font>
      <sz val="14"/>
      <name val="Cordia New"/>
      <family val="0"/>
    </font>
    <font>
      <vertAlign val="subscript"/>
      <sz val="14"/>
      <name val="AngsanaUPC"/>
      <family val="1"/>
    </font>
    <font>
      <b/>
      <sz val="24"/>
      <name val="AngsanaUPC"/>
      <family val="1"/>
    </font>
    <font>
      <sz val="22"/>
      <name val="AngsanaUPC"/>
      <family val="1"/>
    </font>
    <font>
      <b/>
      <vertAlign val="superscript"/>
      <sz val="20"/>
      <name val="AngsanaUPC"/>
      <family val="1"/>
    </font>
    <font>
      <u val="single"/>
      <sz val="14"/>
      <name val="AngsanaUPC"/>
      <family val="1"/>
    </font>
    <font>
      <sz val="10"/>
      <name val="Symbol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vertAlign val="superscript"/>
      <sz val="14"/>
      <name val="Cordia New"/>
      <family val="2"/>
    </font>
    <font>
      <sz val="14"/>
      <color indexed="10"/>
      <name val="Cordia New"/>
      <family val="2"/>
    </font>
    <font>
      <sz val="16"/>
      <name val="Symbol"/>
      <family val="1"/>
    </font>
    <font>
      <b/>
      <vertAlign val="subscript"/>
      <sz val="14"/>
      <name val="Cordia New"/>
      <family val="2"/>
    </font>
    <font>
      <sz val="14"/>
      <name val="CordiaUPC"/>
      <family val="2"/>
    </font>
    <font>
      <b/>
      <sz val="12"/>
      <name val="Baskerville Old Face"/>
      <family val="1"/>
    </font>
    <font>
      <b/>
      <sz val="16"/>
      <name val="KodchiangUPC"/>
      <family val="1"/>
    </font>
    <font>
      <vertAlign val="subscript"/>
      <sz val="14"/>
      <name val="Cordia New"/>
      <family val="2"/>
    </font>
    <font>
      <vertAlign val="subscript"/>
      <sz val="12"/>
      <name val="Cordia New"/>
      <family val="2"/>
    </font>
    <font>
      <sz val="12"/>
      <name val="Cordia New"/>
      <family val="2"/>
    </font>
    <font>
      <vertAlign val="superscript"/>
      <sz val="12"/>
      <name val="Cordia New"/>
      <family val="2"/>
    </font>
    <font>
      <sz val="14"/>
      <color indexed="9"/>
      <name val="Cordia New"/>
      <family val="2"/>
    </font>
    <font>
      <sz val="11"/>
      <name val="Cordia New"/>
      <family val="2"/>
    </font>
    <font>
      <vertAlign val="subscript"/>
      <sz val="14"/>
      <color indexed="9"/>
      <name val="Cordia New"/>
      <family val="2"/>
    </font>
    <font>
      <i/>
      <sz val="14"/>
      <name val="Cordia New"/>
      <family val="2"/>
    </font>
    <font>
      <vertAlign val="subscript"/>
      <sz val="10"/>
      <name val="Symbol"/>
      <family val="1"/>
    </font>
    <font>
      <sz val="9"/>
      <name val="Symath"/>
      <family val="0"/>
    </font>
    <font>
      <vertAlign val="subscript"/>
      <sz val="16"/>
      <name val="Cordia New"/>
      <family val="2"/>
    </font>
    <font>
      <sz val="16"/>
      <name val="Cordia New"/>
      <family val="2"/>
    </font>
    <font>
      <u val="single"/>
      <sz val="14"/>
      <name val="Cordia New"/>
      <family val="2"/>
    </font>
    <font>
      <vertAlign val="subscript"/>
      <sz val="16"/>
      <name val="AngsanaUPC"/>
      <family val="1"/>
    </font>
    <font>
      <b/>
      <u val="single"/>
      <sz val="16"/>
      <name val="Cordia New"/>
      <family val="2"/>
    </font>
    <font>
      <sz val="14"/>
      <color indexed="18"/>
      <name val="Cordia New"/>
      <family val="2"/>
    </font>
    <font>
      <b/>
      <sz val="12"/>
      <name val="Cordia New"/>
      <family val="2"/>
    </font>
    <font>
      <b/>
      <vertAlign val="subscript"/>
      <sz val="12"/>
      <name val="Cordia New"/>
      <family val="2"/>
    </font>
    <font>
      <b/>
      <vertAlign val="superscript"/>
      <sz val="12"/>
      <name val="Cordia New"/>
      <family val="2"/>
    </font>
    <font>
      <b/>
      <i/>
      <sz val="14"/>
      <name val="Cordia New"/>
      <family val="2"/>
    </font>
    <font>
      <sz val="10"/>
      <name val="SymbolPS"/>
      <family val="1"/>
    </font>
    <font>
      <sz val="9"/>
      <color indexed="18"/>
      <name val="Cordia New"/>
      <family val="2"/>
    </font>
    <font>
      <sz val="8"/>
      <name val="Cordia New"/>
      <family val="2"/>
    </font>
    <font>
      <sz val="9"/>
      <name val="Cordia New"/>
      <family val="2"/>
    </font>
    <font>
      <i/>
      <sz val="12"/>
      <name val="Monotype Corsiva"/>
      <family val="4"/>
    </font>
    <font>
      <sz val="14"/>
      <color indexed="12"/>
      <name val="CordiaUPC"/>
      <family val="2"/>
    </font>
    <font>
      <i/>
      <vertAlign val="subscript"/>
      <sz val="14"/>
      <name val="Cordia New"/>
      <family val="2"/>
    </font>
    <font>
      <b/>
      <i/>
      <sz val="12"/>
      <name val="Monotype Corsiva"/>
      <family val="4"/>
    </font>
    <font>
      <sz val="14"/>
      <color indexed="12"/>
      <name val="Cordia New"/>
      <family val="2"/>
    </font>
    <font>
      <b/>
      <vertAlign val="subscript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4"/>
      <color indexed="12"/>
      <name val="Cordia New"/>
      <family val="2"/>
    </font>
    <font>
      <b/>
      <sz val="14"/>
      <color indexed="9"/>
      <name val="AngsanaUPC"/>
      <family val="1"/>
    </font>
    <font>
      <b/>
      <sz val="14"/>
      <color indexed="10"/>
      <name val="Cordia New"/>
      <family val="2"/>
    </font>
    <font>
      <b/>
      <sz val="8"/>
      <name val="Symbol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ngsanaUPC"/>
      <family val="0"/>
    </font>
    <font>
      <sz val="14"/>
      <color indexed="8"/>
      <name val="Angsana New"/>
      <family val="0"/>
    </font>
    <font>
      <sz val="16"/>
      <color indexed="8"/>
      <name val="AngsanaUPC"/>
      <family val="0"/>
    </font>
    <font>
      <b/>
      <u val="single"/>
      <sz val="14"/>
      <color indexed="8"/>
      <name val="AngsanaUPC"/>
      <family val="0"/>
    </font>
    <font>
      <b/>
      <u val="single"/>
      <sz val="22"/>
      <color indexed="8"/>
      <name val="AngsanaUPC"/>
      <family val="0"/>
    </font>
    <font>
      <b/>
      <sz val="26"/>
      <color indexed="8"/>
      <name val="AngsanaUPC"/>
      <family val="0"/>
    </font>
    <font>
      <b/>
      <sz val="18"/>
      <color indexed="8"/>
      <name val="AngsanaUPC"/>
      <family val="0"/>
    </font>
    <font>
      <sz val="18"/>
      <color indexed="8"/>
      <name val="AngsanaUPC"/>
      <family val="0"/>
    </font>
    <font>
      <b/>
      <sz val="16"/>
      <color indexed="8"/>
      <name val="AngsanaUPC"/>
      <family val="0"/>
    </font>
    <font>
      <b/>
      <u val="single"/>
      <sz val="18"/>
      <color indexed="8"/>
      <name val="AngsanaUPC"/>
      <family val="0"/>
    </font>
    <font>
      <b/>
      <sz val="8.5"/>
      <color indexed="8"/>
      <name val="Symbol"/>
      <family val="0"/>
    </font>
    <font>
      <b/>
      <sz val="14"/>
      <color indexed="8"/>
      <name val="AngsanaUPC"/>
      <family val="0"/>
    </font>
    <font>
      <sz val="9"/>
      <color indexed="8"/>
      <name val="Symbol"/>
      <family val="0"/>
    </font>
    <font>
      <sz val="10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0" fontId="16" fillId="0" borderId="0">
      <alignment/>
      <protection/>
    </xf>
  </cellStyleXfs>
  <cellXfs count="51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22" fillId="0" borderId="0" xfId="0" applyFont="1" applyAlignment="1">
      <alignment horizontal="right"/>
    </xf>
    <xf numFmtId="0" fontId="0" fillId="0" borderId="0" xfId="59">
      <alignment/>
      <protection/>
    </xf>
    <xf numFmtId="0" fontId="13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0" fillId="0" borderId="0" xfId="59" applyFont="1" applyAlignment="1">
      <alignment horizontal="centerContinuous"/>
      <protection/>
    </xf>
    <xf numFmtId="0" fontId="0" fillId="0" borderId="0" xfId="59" applyAlignment="1">
      <alignment/>
      <protection/>
    </xf>
    <xf numFmtId="0" fontId="0" fillId="0" borderId="22" xfId="59" applyBorder="1">
      <alignment/>
      <protection/>
    </xf>
    <xf numFmtId="0" fontId="7" fillId="0" borderId="23" xfId="59" applyFont="1" applyBorder="1">
      <alignment/>
      <protection/>
    </xf>
    <xf numFmtId="0" fontId="0" fillId="0" borderId="23" xfId="59" applyBorder="1">
      <alignment/>
      <protection/>
    </xf>
    <xf numFmtId="0" fontId="0" fillId="0" borderId="24" xfId="59" applyBorder="1">
      <alignment/>
      <protection/>
    </xf>
    <xf numFmtId="0" fontId="0" fillId="0" borderId="16" xfId="59" applyBorder="1">
      <alignment/>
      <protection/>
    </xf>
    <xf numFmtId="0" fontId="1" fillId="0" borderId="0" xfId="59" applyFont="1" applyBorder="1" applyAlignment="1">
      <alignment/>
      <protection/>
    </xf>
    <xf numFmtId="0" fontId="0" fillId="0" borderId="0" xfId="59" applyBorder="1" applyAlignment="1">
      <alignment/>
      <protection/>
    </xf>
    <xf numFmtId="0" fontId="0" fillId="0" borderId="0" xfId="59" applyBorder="1" applyAlignment="1">
      <alignment horizontal="right"/>
      <protection/>
    </xf>
    <xf numFmtId="0" fontId="0" fillId="0" borderId="0" xfId="59" applyBorder="1" applyAlignment="1">
      <alignment horizontal="center"/>
      <protection/>
    </xf>
    <xf numFmtId="0" fontId="0" fillId="0" borderId="17" xfId="59" applyBorder="1" applyAlignment="1">
      <alignment/>
      <protection/>
    </xf>
    <xf numFmtId="0" fontId="0" fillId="0" borderId="0" xfId="59" applyBorder="1">
      <alignment/>
      <protection/>
    </xf>
    <xf numFmtId="0" fontId="0" fillId="0" borderId="17" xfId="59" applyBorder="1">
      <alignment/>
      <protection/>
    </xf>
    <xf numFmtId="0" fontId="7" fillId="0" borderId="0" xfId="59" applyFont="1" applyBorder="1">
      <alignment/>
      <protection/>
    </xf>
    <xf numFmtId="2" fontId="0" fillId="0" borderId="0" xfId="59" applyNumberFormat="1" applyBorder="1">
      <alignment/>
      <protection/>
    </xf>
    <xf numFmtId="0" fontId="0" fillId="0" borderId="0" xfId="59" applyBorder="1" applyAlignment="1">
      <alignment horizontal="left"/>
      <protection/>
    </xf>
    <xf numFmtId="0" fontId="6" fillId="0" borderId="0" xfId="59" applyFont="1" applyBorder="1" applyAlignment="1">
      <alignment horizontal="centerContinuous"/>
      <protection/>
    </xf>
    <xf numFmtId="0" fontId="0" fillId="0" borderId="13" xfId="59" applyBorder="1">
      <alignment/>
      <protection/>
    </xf>
    <xf numFmtId="0" fontId="0" fillId="0" borderId="11" xfId="59" applyBorder="1" applyAlignment="1">
      <alignment horizontal="center"/>
      <protection/>
    </xf>
    <xf numFmtId="0" fontId="0" fillId="0" borderId="28" xfId="59" applyBorder="1" applyAlignment="1">
      <alignment horizontal="center"/>
      <protection/>
    </xf>
    <xf numFmtId="0" fontId="0" fillId="0" borderId="29" xfId="59" applyBorder="1" applyAlignment="1">
      <alignment horizontal="center"/>
      <protection/>
    </xf>
    <xf numFmtId="0" fontId="0" fillId="0" borderId="16" xfId="59" applyFont="1" applyBorder="1">
      <alignment/>
      <protection/>
    </xf>
    <xf numFmtId="0" fontId="0" fillId="0" borderId="12" xfId="59" applyFont="1" applyBorder="1" applyAlignment="1">
      <alignment horizontal="center"/>
      <protection/>
    </xf>
    <xf numFmtId="0" fontId="0" fillId="0" borderId="30" xfId="59" applyFont="1" applyBorder="1" applyAlignment="1">
      <alignment horizontal="center"/>
      <protection/>
    </xf>
    <xf numFmtId="0" fontId="0" fillId="0" borderId="17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0" fillId="0" borderId="0" xfId="59" applyFont="1">
      <alignment/>
      <protection/>
    </xf>
    <xf numFmtId="0" fontId="0" fillId="0" borderId="11" xfId="59" applyBorder="1">
      <alignment/>
      <protection/>
    </xf>
    <xf numFmtId="182" fontId="0" fillId="0" borderId="11" xfId="44" applyNumberFormat="1" applyBorder="1" applyAlignment="1">
      <alignment horizontal="center"/>
    </xf>
    <xf numFmtId="182" fontId="0" fillId="0" borderId="11" xfId="44" applyNumberFormat="1" applyBorder="1" applyAlignment="1">
      <alignment/>
    </xf>
    <xf numFmtId="180" fontId="0" fillId="0" borderId="31" xfId="59" applyNumberFormat="1" applyBorder="1" applyAlignment="1">
      <alignment horizontal="center"/>
      <protection/>
    </xf>
    <xf numFmtId="0" fontId="0" fillId="0" borderId="11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0" fillId="0" borderId="12" xfId="59" applyFont="1" applyBorder="1">
      <alignment/>
      <protection/>
    </xf>
    <xf numFmtId="0" fontId="0" fillId="0" borderId="30" xfId="59" applyFont="1" applyBorder="1" applyAlignment="1">
      <alignment horizontal="center"/>
      <protection/>
    </xf>
    <xf numFmtId="0" fontId="0" fillId="0" borderId="12" xfId="59" applyBorder="1" applyAlignment="1">
      <alignment horizontal="center"/>
      <protection/>
    </xf>
    <xf numFmtId="180" fontId="0" fillId="0" borderId="12" xfId="59" applyNumberFormat="1" applyBorder="1" applyAlignment="1">
      <alignment horizontal="center"/>
      <protection/>
    </xf>
    <xf numFmtId="182" fontId="0" fillId="0" borderId="12" xfId="44" applyNumberFormat="1" applyBorder="1" applyAlignment="1">
      <alignment/>
    </xf>
    <xf numFmtId="180" fontId="0" fillId="0" borderId="30" xfId="59" applyNumberFormat="1" applyBorder="1" applyAlignment="1">
      <alignment horizontal="center"/>
      <protection/>
    </xf>
    <xf numFmtId="0" fontId="0" fillId="0" borderId="20" xfId="59" applyBorder="1">
      <alignment/>
      <protection/>
    </xf>
    <xf numFmtId="0" fontId="0" fillId="0" borderId="14" xfId="59" applyBorder="1">
      <alignment/>
      <protection/>
    </xf>
    <xf numFmtId="0" fontId="0" fillId="0" borderId="21" xfId="59" applyBorder="1">
      <alignment/>
      <protection/>
    </xf>
    <xf numFmtId="0" fontId="0" fillId="0" borderId="0" xfId="59" applyFont="1" applyBorder="1">
      <alignment/>
      <protection/>
    </xf>
    <xf numFmtId="0" fontId="0" fillId="0" borderId="0" xfId="59" applyFont="1">
      <alignment/>
      <protection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5" xfId="0" applyFont="1" applyBorder="1" applyAlignment="1">
      <alignment/>
    </xf>
    <xf numFmtId="2" fontId="0" fillId="0" borderId="28" xfId="59" applyNumberFormat="1" applyFont="1" applyBorder="1" applyAlignment="1">
      <alignment horizontal="left"/>
      <protection/>
    </xf>
    <xf numFmtId="0" fontId="0" fillId="33" borderId="36" xfId="58" applyFont="1" applyFill="1" applyBorder="1">
      <alignment/>
      <protection/>
    </xf>
    <xf numFmtId="0" fontId="0" fillId="33" borderId="36" xfId="58" applyFont="1" applyFill="1" applyBorder="1" applyAlignment="1">
      <alignment horizontal="center"/>
      <protection/>
    </xf>
    <xf numFmtId="0" fontId="0" fillId="33" borderId="36" xfId="58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5" fontId="6" fillId="0" borderId="16" xfId="0" applyNumberFormat="1" applyFont="1" applyBorder="1" applyAlignment="1">
      <alignment horizontal="centerContinuous"/>
    </xf>
    <xf numFmtId="0" fontId="19" fillId="0" borderId="14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0" fillId="33" borderId="29" xfId="58" applyFont="1" applyFill="1" applyBorder="1" applyAlignment="1">
      <alignment horizontal="center"/>
      <protection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0" fillId="33" borderId="29" xfId="58" applyFont="1" applyFill="1" applyBorder="1" applyAlignment="1">
      <alignment horizontal="left"/>
      <protection/>
    </xf>
    <xf numFmtId="0" fontId="1" fillId="0" borderId="14" xfId="0" applyFont="1" applyBorder="1" applyAlignment="1">
      <alignment/>
    </xf>
    <xf numFmtId="0" fontId="0" fillId="0" borderId="37" xfId="0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59" applyFont="1" applyBorder="1" applyAlignment="1">
      <alignment/>
      <protection/>
    </xf>
    <xf numFmtId="0" fontId="16" fillId="0" borderId="0" xfId="67" applyFont="1" applyBorder="1" applyAlignment="1">
      <alignment vertical="center"/>
      <protection/>
    </xf>
    <xf numFmtId="0" fontId="16" fillId="0" borderId="0" xfId="67" applyFont="1" applyAlignment="1">
      <alignment vertical="center"/>
      <protection/>
    </xf>
    <xf numFmtId="0" fontId="33" fillId="0" borderId="0" xfId="67" applyFont="1" applyBorder="1" applyAlignment="1">
      <alignment vertical="center"/>
      <protection/>
    </xf>
    <xf numFmtId="0" fontId="16" fillId="0" borderId="0" xfId="67" applyFont="1" applyAlignment="1">
      <alignment horizontal="center" vertical="center"/>
      <protection/>
    </xf>
    <xf numFmtId="171" fontId="16" fillId="0" borderId="0" xfId="67" applyNumberFormat="1" applyFont="1" applyAlignment="1">
      <alignment vertical="center"/>
      <protection/>
    </xf>
    <xf numFmtId="2" fontId="39" fillId="0" borderId="0" xfId="67" applyNumberFormat="1" applyFont="1" applyBorder="1" applyAlignment="1">
      <alignment horizontal="center" vertical="center"/>
      <protection/>
    </xf>
    <xf numFmtId="2" fontId="16" fillId="0" borderId="0" xfId="67" applyNumberFormat="1" applyFont="1" applyBorder="1" applyAlignment="1">
      <alignment vertical="center"/>
      <protection/>
    </xf>
    <xf numFmtId="0" fontId="16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left" vertical="center"/>
      <protection/>
    </xf>
    <xf numFmtId="2" fontId="16" fillId="0" borderId="0" xfId="67" applyNumberFormat="1" applyFont="1" applyBorder="1" applyAlignment="1">
      <alignment horizontal="center" vertical="center"/>
      <protection/>
    </xf>
    <xf numFmtId="2" fontId="16" fillId="0" borderId="0" xfId="67" applyNumberFormat="1" applyFont="1" applyBorder="1" applyAlignment="1">
      <alignment horizontal="right" vertical="center"/>
      <protection/>
    </xf>
    <xf numFmtId="171" fontId="16" fillId="0" borderId="0" xfId="67" applyNumberFormat="1" applyFont="1" applyBorder="1" applyAlignment="1">
      <alignment horizontal="center" vertical="center"/>
      <protection/>
    </xf>
    <xf numFmtId="0" fontId="16" fillId="0" borderId="13" xfId="67" applyFont="1" applyBorder="1" applyAlignment="1">
      <alignment vertical="center"/>
      <protection/>
    </xf>
    <xf numFmtId="0" fontId="25" fillId="0" borderId="0" xfId="67" applyFont="1" applyBorder="1" applyAlignment="1">
      <alignment/>
      <protection/>
    </xf>
    <xf numFmtId="0" fontId="25" fillId="0" borderId="0" xfId="67" applyFont="1" applyBorder="1" applyAlignment="1">
      <alignment horizontal="left"/>
      <protection/>
    </xf>
    <xf numFmtId="0" fontId="16" fillId="0" borderId="26" xfId="67" applyFont="1" applyBorder="1" applyAlignment="1">
      <alignment vertical="center"/>
      <protection/>
    </xf>
    <xf numFmtId="0" fontId="16" fillId="0" borderId="38" xfId="67" applyFont="1" applyBorder="1" applyAlignment="1">
      <alignment vertical="center"/>
      <protection/>
    </xf>
    <xf numFmtId="0" fontId="16" fillId="0" borderId="22" xfId="67" applyFont="1" applyBorder="1" applyAlignment="1">
      <alignment vertical="center"/>
      <protection/>
    </xf>
    <xf numFmtId="0" fontId="16" fillId="0" borderId="23" xfId="67" applyFont="1" applyBorder="1" applyAlignment="1">
      <alignment vertical="center"/>
      <protection/>
    </xf>
    <xf numFmtId="0" fontId="25" fillId="0" borderId="23" xfId="67" applyFont="1" applyBorder="1" applyAlignment="1">
      <alignment/>
      <protection/>
    </xf>
    <xf numFmtId="0" fontId="25" fillId="0" borderId="23" xfId="67" applyFont="1" applyBorder="1" applyAlignment="1">
      <alignment horizontal="right" vertical="center"/>
      <protection/>
    </xf>
    <xf numFmtId="0" fontId="25" fillId="0" borderId="24" xfId="67" applyFont="1" applyBorder="1" applyAlignment="1">
      <alignment/>
      <protection/>
    </xf>
    <xf numFmtId="0" fontId="49" fillId="0" borderId="16" xfId="67" applyFont="1" applyBorder="1" applyAlignment="1">
      <alignment vertical="center"/>
      <protection/>
    </xf>
    <xf numFmtId="0" fontId="27" fillId="0" borderId="0" xfId="67" applyFont="1" applyBorder="1" applyAlignment="1">
      <alignment vertical="center"/>
      <protection/>
    </xf>
    <xf numFmtId="0" fontId="16" fillId="0" borderId="17" xfId="67" applyFont="1" applyBorder="1" applyAlignment="1">
      <alignment vertical="center"/>
      <protection/>
    </xf>
    <xf numFmtId="0" fontId="16" fillId="0" borderId="24" xfId="67" applyFont="1" applyBorder="1" applyAlignment="1">
      <alignment vertical="center"/>
      <protection/>
    </xf>
    <xf numFmtId="0" fontId="16" fillId="0" borderId="16" xfId="67" applyFont="1" applyBorder="1" applyAlignment="1">
      <alignment vertical="center"/>
      <protection/>
    </xf>
    <xf numFmtId="0" fontId="34" fillId="0" borderId="38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right" vertical="center"/>
      <protection/>
    </xf>
    <xf numFmtId="171" fontId="16" fillId="0" borderId="0" xfId="66" applyFont="1" applyBorder="1" applyAlignment="1">
      <alignment horizontal="right" vertical="center"/>
    </xf>
    <xf numFmtId="0" fontId="16" fillId="0" borderId="20" xfId="67" applyFont="1" applyBorder="1" applyAlignment="1">
      <alignment vertical="center"/>
      <protection/>
    </xf>
    <xf numFmtId="0" fontId="16" fillId="0" borderId="14" xfId="67" applyFont="1" applyBorder="1" applyAlignment="1">
      <alignment vertical="center"/>
      <protection/>
    </xf>
    <xf numFmtId="0" fontId="16" fillId="0" borderId="21" xfId="67" applyFont="1" applyBorder="1" applyAlignment="1">
      <alignment vertical="center"/>
      <protection/>
    </xf>
    <xf numFmtId="0" fontId="16" fillId="0" borderId="14" xfId="67" applyFont="1" applyBorder="1" applyAlignment="1">
      <alignment horizontal="right" vertical="center"/>
      <protection/>
    </xf>
    <xf numFmtId="171" fontId="50" fillId="0" borderId="14" xfId="66" applyFont="1" applyBorder="1" applyAlignment="1">
      <alignment horizontal="right" vertical="center"/>
    </xf>
    <xf numFmtId="0" fontId="49" fillId="0" borderId="0" xfId="67" applyFont="1" applyBorder="1" applyAlignment="1">
      <alignment vertical="center"/>
      <protection/>
    </xf>
    <xf numFmtId="0" fontId="37" fillId="0" borderId="0" xfId="67" applyFont="1" applyBorder="1" applyAlignment="1">
      <alignment vertical="center"/>
      <protection/>
    </xf>
    <xf numFmtId="171" fontId="16" fillId="0" borderId="0" xfId="66" applyFont="1" applyBorder="1" applyAlignment="1">
      <alignment vertical="center"/>
    </xf>
    <xf numFmtId="0" fontId="16" fillId="0" borderId="0" xfId="67" applyFont="1" applyBorder="1" applyAlignment="1" quotePrefix="1">
      <alignment vertical="center"/>
      <protection/>
    </xf>
    <xf numFmtId="171" fontId="16" fillId="0" borderId="0" xfId="67" applyNumberFormat="1" applyFont="1" applyBorder="1" applyAlignment="1">
      <alignment vertical="center"/>
      <protection/>
    </xf>
    <xf numFmtId="0" fontId="16" fillId="0" borderId="0" xfId="67" applyFont="1" applyBorder="1" applyAlignment="1" quotePrefix="1">
      <alignment horizontal="center" vertical="center"/>
      <protection/>
    </xf>
    <xf numFmtId="0" fontId="51" fillId="0" borderId="39" xfId="67" applyFont="1" applyBorder="1" applyAlignment="1">
      <alignment horizontal="center" vertical="center"/>
      <protection/>
    </xf>
    <xf numFmtId="0" fontId="51" fillId="0" borderId="23" xfId="67" applyFont="1" applyBorder="1" applyAlignment="1">
      <alignment horizontal="center" vertical="center"/>
      <protection/>
    </xf>
    <xf numFmtId="0" fontId="51" fillId="0" borderId="31" xfId="67" applyFont="1" applyBorder="1" applyAlignment="1">
      <alignment horizontal="center" vertical="center"/>
      <protection/>
    </xf>
    <xf numFmtId="0" fontId="51" fillId="0" borderId="0" xfId="67" applyFont="1" applyBorder="1" applyAlignment="1">
      <alignment horizontal="center" vertical="center"/>
      <protection/>
    </xf>
    <xf numFmtId="0" fontId="51" fillId="0" borderId="11" xfId="67" applyFont="1" applyBorder="1" applyAlignment="1">
      <alignment horizontal="center" vertical="center"/>
      <protection/>
    </xf>
    <xf numFmtId="0" fontId="51" fillId="0" borderId="29" xfId="67" applyFont="1" applyBorder="1" applyAlignment="1">
      <alignment horizontal="center" vertical="center"/>
      <protection/>
    </xf>
    <xf numFmtId="0" fontId="51" fillId="0" borderId="40" xfId="67" applyFont="1" applyBorder="1" applyAlignment="1">
      <alignment horizontal="center" vertical="center"/>
      <protection/>
    </xf>
    <xf numFmtId="0" fontId="51" fillId="0" borderId="41" xfId="67" applyFont="1" applyBorder="1" applyAlignment="1">
      <alignment horizontal="center" vertical="center"/>
      <protection/>
    </xf>
    <xf numFmtId="0" fontId="51" fillId="0" borderId="14" xfId="67" applyFont="1" applyBorder="1" applyAlignment="1">
      <alignment horizontal="center" vertical="center"/>
      <protection/>
    </xf>
    <xf numFmtId="0" fontId="51" fillId="0" borderId="19" xfId="67" applyFont="1" applyBorder="1" applyAlignment="1">
      <alignment horizontal="center" vertical="center"/>
      <protection/>
    </xf>
    <xf numFmtId="0" fontId="51" fillId="0" borderId="42" xfId="67" applyFont="1" applyBorder="1" applyAlignment="1">
      <alignment horizontal="center" vertical="center"/>
      <protection/>
    </xf>
    <xf numFmtId="0" fontId="16" fillId="0" borderId="43" xfId="67" applyFont="1" applyBorder="1" applyAlignment="1">
      <alignment horizontal="left" vertical="center"/>
      <protection/>
    </xf>
    <xf numFmtId="0" fontId="16" fillId="0" borderId="27" xfId="67" applyFont="1" applyBorder="1" applyAlignment="1">
      <alignment horizontal="center" vertical="center"/>
      <protection/>
    </xf>
    <xf numFmtId="0" fontId="29" fillId="0" borderId="30" xfId="67" applyFont="1" applyBorder="1" applyAlignment="1">
      <alignment horizontal="center" vertical="center"/>
      <protection/>
    </xf>
    <xf numFmtId="182" fontId="29" fillId="0" borderId="30" xfId="42" applyNumberFormat="1" applyFont="1" applyBorder="1" applyAlignment="1">
      <alignment horizontal="center" vertical="center"/>
    </xf>
    <xf numFmtId="43" fontId="16" fillId="0" borderId="44" xfId="42" applyFont="1" applyBorder="1" applyAlignment="1">
      <alignment vertical="center"/>
    </xf>
    <xf numFmtId="2" fontId="16" fillId="34" borderId="45" xfId="67" applyNumberFormat="1" applyFont="1" applyFill="1" applyBorder="1" applyAlignment="1">
      <alignment horizontal="center" vertical="center"/>
      <protection/>
    </xf>
    <xf numFmtId="0" fontId="16" fillId="0" borderId="46" xfId="67" applyFont="1" applyBorder="1" applyAlignment="1">
      <alignment horizontal="left" vertical="center"/>
      <protection/>
    </xf>
    <xf numFmtId="0" fontId="16" fillId="0" borderId="38" xfId="67" applyFont="1" applyBorder="1" applyAlignment="1">
      <alignment horizontal="center" vertical="center"/>
      <protection/>
    </xf>
    <xf numFmtId="0" fontId="29" fillId="0" borderId="36" xfId="67" applyFont="1" applyBorder="1" applyAlignment="1">
      <alignment horizontal="center" vertical="center"/>
      <protection/>
    </xf>
    <xf numFmtId="182" fontId="29" fillId="0" borderId="36" xfId="42" applyNumberFormat="1" applyFont="1" applyBorder="1" applyAlignment="1">
      <alignment horizontal="center" vertical="center"/>
    </xf>
    <xf numFmtId="43" fontId="16" fillId="0" borderId="36" xfId="42" applyNumberFormat="1" applyFont="1" applyBorder="1" applyAlignment="1">
      <alignment horizontal="center" vertical="center"/>
    </xf>
    <xf numFmtId="43" fontId="16" fillId="0" borderId="47" xfId="42" applyFont="1" applyBorder="1" applyAlignment="1">
      <alignment vertical="center"/>
    </xf>
    <xf numFmtId="2" fontId="16" fillId="34" borderId="48" xfId="67" applyNumberFormat="1" applyFont="1" applyFill="1" applyBorder="1" applyAlignment="1">
      <alignment horizontal="center" vertical="center"/>
      <protection/>
    </xf>
    <xf numFmtId="0" fontId="16" fillId="0" borderId="49" xfId="67" applyFont="1" applyBorder="1" applyAlignment="1">
      <alignment horizontal="left" vertical="center"/>
      <protection/>
    </xf>
    <xf numFmtId="0" fontId="16" fillId="0" borderId="50" xfId="67" applyFont="1" applyBorder="1" applyAlignment="1">
      <alignment horizontal="center" vertical="center"/>
      <protection/>
    </xf>
    <xf numFmtId="0" fontId="29" fillId="0" borderId="51" xfId="67" applyFont="1" applyBorder="1" applyAlignment="1">
      <alignment horizontal="center" vertical="center"/>
      <protection/>
    </xf>
    <xf numFmtId="182" fontId="29" fillId="0" borderId="51" xfId="42" applyNumberFormat="1" applyFont="1" applyBorder="1" applyAlignment="1">
      <alignment horizontal="center" vertical="center"/>
    </xf>
    <xf numFmtId="43" fontId="16" fillId="0" borderId="52" xfId="42" applyFont="1" applyBorder="1" applyAlignment="1">
      <alignment vertical="center"/>
    </xf>
    <xf numFmtId="2" fontId="16" fillId="34" borderId="53" xfId="67" applyNumberFormat="1" applyFont="1" applyFill="1" applyBorder="1" applyAlignment="1">
      <alignment horizontal="center" vertic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23" xfId="67" applyFont="1" applyBorder="1" applyAlignment="1">
      <alignment horizontal="left" vertical="center"/>
      <protection/>
    </xf>
    <xf numFmtId="0" fontId="16" fillId="0" borderId="23" xfId="67" applyFont="1" applyBorder="1" applyAlignment="1">
      <alignment horizontal="center" vertical="center"/>
      <protection/>
    </xf>
    <xf numFmtId="0" fontId="16" fillId="0" borderId="23" xfId="67" applyFont="1" applyBorder="1" applyAlignment="1">
      <alignment horizontal="right" vertical="center"/>
      <protection/>
    </xf>
    <xf numFmtId="2" fontId="16" fillId="0" borderId="23" xfId="67" applyNumberFormat="1" applyFont="1" applyBorder="1" applyAlignment="1">
      <alignment horizontal="center" vertical="center"/>
      <protection/>
    </xf>
    <xf numFmtId="2" fontId="16" fillId="0" borderId="24" xfId="67" applyNumberFormat="1" applyFont="1" applyBorder="1" applyAlignment="1">
      <alignment horizontal="center" vertical="center"/>
      <protection/>
    </xf>
    <xf numFmtId="0" fontId="16" fillId="0" borderId="16" xfId="67" applyFont="1" applyBorder="1" applyAlignment="1">
      <alignment horizontal="center" vertical="center"/>
      <protection/>
    </xf>
    <xf numFmtId="2" fontId="16" fillId="0" borderId="17" xfId="67" applyNumberFormat="1" applyFont="1" applyBorder="1" applyAlignment="1">
      <alignment horizontal="center" vertical="center"/>
      <protection/>
    </xf>
    <xf numFmtId="198" fontId="16" fillId="0" borderId="0" xfId="66" applyNumberFormat="1" applyFont="1" applyBorder="1" applyAlignment="1">
      <alignment vertical="center"/>
    </xf>
    <xf numFmtId="0" fontId="37" fillId="0" borderId="17" xfId="67" applyFont="1" applyBorder="1" applyAlignment="1">
      <alignment horizontal="center" vertical="center"/>
      <protection/>
    </xf>
    <xf numFmtId="0" fontId="16" fillId="0" borderId="17" xfId="67" applyFont="1" applyBorder="1" applyAlignment="1">
      <alignment horizontal="center" vertical="center"/>
      <protection/>
    </xf>
    <xf numFmtId="0" fontId="54" fillId="0" borderId="0" xfId="67" applyFont="1" applyBorder="1" applyAlignment="1">
      <alignment vertical="center"/>
      <protection/>
    </xf>
    <xf numFmtId="2" fontId="29" fillId="0" borderId="0" xfId="67" applyNumberFormat="1" applyFont="1" applyBorder="1" applyAlignment="1">
      <alignment horizontal="center" vertical="center"/>
      <protection/>
    </xf>
    <xf numFmtId="0" fontId="29" fillId="0" borderId="0" xfId="67" applyFont="1" applyBorder="1" applyAlignment="1">
      <alignment horizontal="left" vertical="center"/>
      <protection/>
    </xf>
    <xf numFmtId="0" fontId="16" fillId="0" borderId="54" xfId="67" applyFont="1" applyBorder="1" applyAlignment="1">
      <alignment vertical="center"/>
      <protection/>
    </xf>
    <xf numFmtId="0" fontId="26" fillId="0" borderId="55" xfId="67" applyFont="1" applyBorder="1" applyAlignment="1">
      <alignment horizontal="center" vertical="center"/>
      <protection/>
    </xf>
    <xf numFmtId="0" fontId="26" fillId="0" borderId="56" xfId="67" applyFont="1" applyBorder="1" applyAlignment="1">
      <alignment horizontal="center" vertical="center"/>
      <protection/>
    </xf>
    <xf numFmtId="0" fontId="16" fillId="0" borderId="33" xfId="67" applyFont="1" applyBorder="1" applyAlignment="1">
      <alignment vertical="center"/>
      <protection/>
    </xf>
    <xf numFmtId="0" fontId="16" fillId="0" borderId="57" xfId="67" applyFont="1" applyBorder="1" applyAlignment="1">
      <alignment vertical="center"/>
      <protection/>
    </xf>
    <xf numFmtId="0" fontId="16" fillId="0" borderId="58" xfId="67" applyFont="1" applyBorder="1" applyAlignment="1">
      <alignment vertical="center"/>
      <protection/>
    </xf>
    <xf numFmtId="43" fontId="16" fillId="0" borderId="13" xfId="42" applyFont="1" applyBorder="1" applyAlignment="1">
      <alignment vertical="center"/>
    </xf>
    <xf numFmtId="2" fontId="16" fillId="0" borderId="17" xfId="67" applyNumberFormat="1" applyFont="1" applyBorder="1" applyAlignment="1">
      <alignment vertical="center"/>
      <protection/>
    </xf>
    <xf numFmtId="0" fontId="16" fillId="0" borderId="59" xfId="67" applyFont="1" applyBorder="1" applyAlignment="1">
      <alignment vertical="center"/>
      <protection/>
    </xf>
    <xf numFmtId="0" fontId="16" fillId="0" borderId="25" xfId="67" applyFont="1" applyBorder="1" applyAlignment="1">
      <alignment vertical="center"/>
      <protection/>
    </xf>
    <xf numFmtId="43" fontId="16" fillId="0" borderId="36" xfId="42" applyFont="1" applyBorder="1" applyAlignment="1">
      <alignment horizontal="center" vertical="center"/>
    </xf>
    <xf numFmtId="43" fontId="16" fillId="0" borderId="25" xfId="42" applyFont="1" applyBorder="1" applyAlignment="1">
      <alignment vertical="center"/>
    </xf>
    <xf numFmtId="2" fontId="16" fillId="0" borderId="60" xfId="67" applyNumberFormat="1" applyFont="1" applyBorder="1" applyAlignment="1">
      <alignment vertical="center"/>
      <protection/>
    </xf>
    <xf numFmtId="0" fontId="16" fillId="0" borderId="35" xfId="67" applyFont="1" applyBorder="1" applyAlignment="1">
      <alignment vertical="center"/>
      <protection/>
    </xf>
    <xf numFmtId="0" fontId="16" fillId="0" borderId="50" xfId="67" applyFont="1" applyBorder="1" applyAlignment="1">
      <alignment vertical="center"/>
      <protection/>
    </xf>
    <xf numFmtId="0" fontId="16" fillId="0" borderId="19" xfId="67" applyFont="1" applyBorder="1" applyAlignment="1">
      <alignment vertical="center"/>
      <protection/>
    </xf>
    <xf numFmtId="43" fontId="16" fillId="0" borderId="35" xfId="42" applyFont="1" applyBorder="1" applyAlignment="1">
      <alignment vertical="center"/>
    </xf>
    <xf numFmtId="2" fontId="16" fillId="0" borderId="21" xfId="67" applyNumberFormat="1" applyFont="1" applyBorder="1" applyAlignment="1">
      <alignment vertical="center"/>
      <protection/>
    </xf>
    <xf numFmtId="0" fontId="37" fillId="0" borderId="20" xfId="67" applyFont="1" applyBorder="1" applyAlignment="1">
      <alignment vertical="center"/>
      <protection/>
    </xf>
    <xf numFmtId="0" fontId="26" fillId="0" borderId="19" xfId="67" applyFont="1" applyBorder="1" applyAlignment="1">
      <alignment horizontal="center" vertical="center"/>
      <protection/>
    </xf>
    <xf numFmtId="0" fontId="26" fillId="0" borderId="61" xfId="67" applyFont="1" applyBorder="1" applyAlignment="1">
      <alignment horizontal="center" vertical="center"/>
      <protection/>
    </xf>
    <xf numFmtId="0" fontId="16" fillId="0" borderId="62" xfId="67" applyFont="1" applyBorder="1" applyAlignment="1">
      <alignment vertical="center"/>
      <protection/>
    </xf>
    <xf numFmtId="0" fontId="16" fillId="0" borderId="15" xfId="67" applyFont="1" applyBorder="1" applyAlignment="1">
      <alignment vertical="center"/>
      <protection/>
    </xf>
    <xf numFmtId="2" fontId="16" fillId="0" borderId="11" xfId="67" applyNumberFormat="1" applyFont="1" applyBorder="1" applyAlignment="1">
      <alignment horizontal="center" vertical="center"/>
      <protection/>
    </xf>
    <xf numFmtId="2" fontId="16" fillId="0" borderId="26" xfId="67" applyNumberFormat="1" applyFont="1" applyBorder="1" applyAlignment="1">
      <alignment horizontal="center" vertical="center"/>
      <protection/>
    </xf>
    <xf numFmtId="0" fontId="16" fillId="0" borderId="60" xfId="67" applyFont="1" applyBorder="1" applyAlignment="1">
      <alignment vertical="center"/>
      <protection/>
    </xf>
    <xf numFmtId="0" fontId="16" fillId="0" borderId="27" xfId="67" applyFont="1" applyBorder="1" applyAlignment="1">
      <alignment vertical="center"/>
      <protection/>
    </xf>
    <xf numFmtId="0" fontId="16" fillId="0" borderId="63" xfId="67" applyFont="1" applyBorder="1" applyAlignment="1">
      <alignment vertical="center"/>
      <protection/>
    </xf>
    <xf numFmtId="0" fontId="16" fillId="0" borderId="10" xfId="67" applyFont="1" applyBorder="1" applyAlignment="1">
      <alignment vertical="center"/>
      <protection/>
    </xf>
    <xf numFmtId="0" fontId="16" fillId="0" borderId="64" xfId="67" applyFont="1" applyBorder="1" applyAlignment="1">
      <alignment vertical="center"/>
      <protection/>
    </xf>
    <xf numFmtId="0" fontId="16" fillId="0" borderId="11" xfId="67" applyFont="1" applyBorder="1" applyAlignment="1">
      <alignment horizontal="center" vertical="center"/>
      <protection/>
    </xf>
    <xf numFmtId="0" fontId="16" fillId="0" borderId="11" xfId="67" applyFont="1" applyBorder="1" applyAlignment="1" quotePrefix="1">
      <alignment horizontal="center" vertical="center"/>
      <protection/>
    </xf>
    <xf numFmtId="0" fontId="16" fillId="0" borderId="34" xfId="67" applyFont="1" applyBorder="1" applyAlignment="1">
      <alignment vertical="center"/>
      <protection/>
    </xf>
    <xf numFmtId="171" fontId="16" fillId="0" borderId="28" xfId="67" applyNumberFormat="1" applyFont="1" applyBorder="1" applyAlignment="1">
      <alignment horizontal="center" vertical="center"/>
      <protection/>
    </xf>
    <xf numFmtId="200" fontId="16" fillId="0" borderId="28" xfId="67" applyNumberFormat="1" applyFont="1" applyBorder="1" applyAlignment="1">
      <alignment horizontal="center" vertical="center"/>
      <protection/>
    </xf>
    <xf numFmtId="0" fontId="26" fillId="0" borderId="35" xfId="67" applyFont="1" applyBorder="1" applyAlignment="1">
      <alignment vertical="center"/>
      <protection/>
    </xf>
    <xf numFmtId="0" fontId="37" fillId="0" borderId="14" xfId="67" applyFont="1" applyBorder="1" applyAlignment="1">
      <alignment vertical="center"/>
      <protection/>
    </xf>
    <xf numFmtId="0" fontId="49" fillId="0" borderId="22" xfId="67" applyFont="1" applyBorder="1" applyAlignment="1">
      <alignment vertical="center"/>
      <protection/>
    </xf>
    <xf numFmtId="0" fontId="27" fillId="0" borderId="23" xfId="67" applyFont="1" applyBorder="1" applyAlignment="1">
      <alignment vertical="center"/>
      <protection/>
    </xf>
    <xf numFmtId="0" fontId="16" fillId="34" borderId="28" xfId="67" applyFont="1" applyFill="1" applyBorder="1" applyAlignment="1">
      <alignment horizontal="center" vertical="center"/>
      <protection/>
    </xf>
    <xf numFmtId="0" fontId="16" fillId="34" borderId="29" xfId="67" applyFont="1" applyFill="1" applyBorder="1" applyAlignment="1">
      <alignment vertical="center"/>
      <protection/>
    </xf>
    <xf numFmtId="0" fontId="16" fillId="34" borderId="12" xfId="67" applyFont="1" applyFill="1" applyBorder="1" applyAlignment="1">
      <alignment horizontal="center" vertical="center"/>
      <protection/>
    </xf>
    <xf numFmtId="0" fontId="16" fillId="34" borderId="30" xfId="67" applyFont="1" applyFill="1" applyBorder="1" applyAlignment="1">
      <alignment horizontal="center" vertical="center"/>
      <protection/>
    </xf>
    <xf numFmtId="179" fontId="16" fillId="34" borderId="30" xfId="67" applyNumberFormat="1" applyFont="1" applyFill="1" applyBorder="1" applyAlignment="1">
      <alignment vertical="center"/>
      <protection/>
    </xf>
    <xf numFmtId="0" fontId="16" fillId="34" borderId="30" xfId="67" applyFont="1" applyFill="1" applyBorder="1" applyAlignment="1">
      <alignment vertical="center"/>
      <protection/>
    </xf>
    <xf numFmtId="0" fontId="40" fillId="0" borderId="0" xfId="67" applyFont="1" applyBorder="1" applyAlignment="1">
      <alignment vertical="center"/>
      <protection/>
    </xf>
    <xf numFmtId="0" fontId="16" fillId="34" borderId="36" xfId="67" applyFont="1" applyFill="1" applyBorder="1" applyAlignment="1">
      <alignment horizontal="center" vertical="center"/>
      <protection/>
    </xf>
    <xf numFmtId="179" fontId="16" fillId="34" borderId="36" xfId="67" applyNumberFormat="1" applyFont="1" applyFill="1" applyBorder="1" applyAlignment="1">
      <alignment vertical="center"/>
      <protection/>
    </xf>
    <xf numFmtId="0" fontId="16" fillId="34" borderId="36" xfId="67" applyFont="1" applyFill="1" applyBorder="1" applyAlignment="1">
      <alignment vertical="center"/>
      <protection/>
    </xf>
    <xf numFmtId="0" fontId="39" fillId="0" borderId="16" xfId="67" applyFont="1" applyBorder="1" applyAlignment="1">
      <alignment vertical="center"/>
      <protection/>
    </xf>
    <xf numFmtId="0" fontId="39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vertical="center"/>
      <protection/>
    </xf>
    <xf numFmtId="0" fontId="26" fillId="0" borderId="0" xfId="67" applyFont="1" applyBorder="1" applyAlignment="1">
      <alignment horizontal="center" vertical="center"/>
      <protection/>
    </xf>
    <xf numFmtId="171" fontId="26" fillId="0" borderId="0" xfId="66" applyFont="1" applyBorder="1" applyAlignment="1">
      <alignment vertical="center"/>
    </xf>
    <xf numFmtId="0" fontId="26" fillId="0" borderId="17" xfId="67" applyFont="1" applyBorder="1" applyAlignment="1">
      <alignment vertical="center"/>
      <protection/>
    </xf>
    <xf numFmtId="200" fontId="39" fillId="0" borderId="0" xfId="67" applyNumberFormat="1" applyFont="1" applyBorder="1" applyAlignment="1">
      <alignment vertical="center"/>
      <protection/>
    </xf>
    <xf numFmtId="0" fontId="39" fillId="0" borderId="17" xfId="67" applyFont="1" applyBorder="1" applyAlignment="1">
      <alignment vertical="center"/>
      <protection/>
    </xf>
    <xf numFmtId="0" fontId="42" fillId="0" borderId="0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/>
      <protection/>
    </xf>
    <xf numFmtId="0" fontId="16" fillId="0" borderId="0" xfId="67" applyFont="1" applyBorder="1" applyAlignment="1">
      <alignment vertical="top"/>
      <protection/>
    </xf>
    <xf numFmtId="0" fontId="16" fillId="0" borderId="28" xfId="67" applyFont="1" applyBorder="1" applyAlignment="1">
      <alignment vertical="center"/>
      <protection/>
    </xf>
    <xf numFmtId="0" fontId="16" fillId="0" borderId="28" xfId="67" applyFont="1" applyBorder="1" applyAlignment="1">
      <alignment horizontal="center" vertical="center"/>
      <protection/>
    </xf>
    <xf numFmtId="0" fontId="16" fillId="0" borderId="29" xfId="67" applyFont="1" applyBorder="1" applyAlignment="1">
      <alignment horizontal="center" vertical="center"/>
      <protection/>
    </xf>
    <xf numFmtId="0" fontId="16" fillId="0" borderId="12" xfId="67" applyFont="1" applyBorder="1" applyAlignment="1">
      <alignment horizontal="center" vertical="center"/>
      <protection/>
    </xf>
    <xf numFmtId="0" fontId="16" fillId="0" borderId="30" xfId="67" applyFont="1" applyBorder="1" applyAlignment="1">
      <alignment horizontal="center" vertical="center"/>
      <protection/>
    </xf>
    <xf numFmtId="0" fontId="32" fillId="0" borderId="0" xfId="67" applyFont="1" applyBorder="1" applyAlignment="1">
      <alignment horizontal="center" vertical="center"/>
      <protection/>
    </xf>
    <xf numFmtId="2" fontId="16" fillId="0" borderId="0" xfId="67" applyNumberFormat="1" applyFont="1" applyBorder="1" applyAlignment="1">
      <alignment horizontal="left" vertical="center"/>
      <protection/>
    </xf>
    <xf numFmtId="0" fontId="46" fillId="0" borderId="0" xfId="67" applyFont="1" applyBorder="1" applyAlignment="1">
      <alignment horizontal="center" vertical="center"/>
      <protection/>
    </xf>
    <xf numFmtId="200" fontId="16" fillId="0" borderId="0" xfId="66" applyNumberFormat="1" applyFont="1" applyBorder="1" applyAlignment="1">
      <alignment vertical="center"/>
    </xf>
    <xf numFmtId="0" fontId="47" fillId="0" borderId="0" xfId="67" applyFont="1" applyBorder="1" applyAlignment="1">
      <alignment vertical="center"/>
      <protection/>
    </xf>
    <xf numFmtId="0" fontId="49" fillId="0" borderId="10" xfId="67" applyFont="1" applyBorder="1" applyAlignment="1">
      <alignment vertical="center"/>
      <protection/>
    </xf>
    <xf numFmtId="0" fontId="16" fillId="0" borderId="65" xfId="67" applyFont="1" applyBorder="1" applyAlignment="1">
      <alignment vertical="center"/>
      <protection/>
    </xf>
    <xf numFmtId="0" fontId="16" fillId="0" borderId="37" xfId="67" applyFont="1" applyBorder="1" applyAlignment="1">
      <alignment vertical="center"/>
      <protection/>
    </xf>
    <xf numFmtId="0" fontId="1" fillId="0" borderId="12" xfId="0" applyFont="1" applyBorder="1" applyAlignment="1">
      <alignment/>
    </xf>
    <xf numFmtId="0" fontId="34" fillId="0" borderId="36" xfId="67" applyFont="1" applyBorder="1" applyAlignment="1">
      <alignment horizontal="center" vertical="center"/>
      <protection/>
    </xf>
    <xf numFmtId="0" fontId="34" fillId="0" borderId="47" xfId="67" applyFont="1" applyBorder="1" applyAlignment="1">
      <alignment horizontal="center" vertical="center"/>
      <protection/>
    </xf>
    <xf numFmtId="43" fontId="16" fillId="0" borderId="30" xfId="42" applyFont="1" applyBorder="1" applyAlignment="1">
      <alignment horizontal="center" vertical="center"/>
    </xf>
    <xf numFmtId="43" fontId="16" fillId="0" borderId="51" xfId="42" applyFont="1" applyBorder="1" applyAlignment="1">
      <alignment horizontal="center" vertical="center"/>
    </xf>
    <xf numFmtId="0" fontId="16" fillId="0" borderId="20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29" fillId="0" borderId="14" xfId="67" applyFont="1" applyBorder="1" applyAlignment="1">
      <alignment horizontal="center" vertical="center"/>
      <protection/>
    </xf>
    <xf numFmtId="0" fontId="50" fillId="0" borderId="14" xfId="67" applyFont="1" applyBorder="1" applyAlignment="1">
      <alignment horizontal="center" vertical="center"/>
      <protection/>
    </xf>
    <xf numFmtId="2" fontId="16" fillId="0" borderId="14" xfId="67" applyNumberFormat="1" applyFont="1" applyBorder="1" applyAlignment="1">
      <alignment horizontal="center" vertical="center"/>
      <protection/>
    </xf>
    <xf numFmtId="171" fontId="16" fillId="0" borderId="0" xfId="66" applyNumberFormat="1" applyFont="1" applyBorder="1" applyAlignment="1">
      <alignment vertical="center"/>
    </xf>
    <xf numFmtId="43" fontId="16" fillId="0" borderId="11" xfId="42" applyNumberFormat="1" applyFont="1" applyBorder="1" applyAlignment="1">
      <alignment horizontal="center" vertical="center"/>
    </xf>
    <xf numFmtId="43" fontId="16" fillId="0" borderId="31" xfId="42" applyNumberFormat="1" applyFont="1" applyBorder="1" applyAlignment="1">
      <alignment horizontal="center" vertical="center"/>
    </xf>
    <xf numFmtId="43" fontId="16" fillId="0" borderId="26" xfId="42" applyNumberFormat="1" applyFont="1" applyBorder="1" applyAlignment="1">
      <alignment horizontal="center" vertical="center"/>
    </xf>
    <xf numFmtId="43" fontId="16" fillId="0" borderId="19" xfId="42" applyNumberFormat="1" applyFont="1" applyBorder="1" applyAlignment="1">
      <alignment horizontal="center" vertical="center"/>
    </xf>
    <xf numFmtId="43" fontId="16" fillId="0" borderId="41" xfId="42" applyNumberFormat="1" applyFont="1" applyBorder="1" applyAlignment="1">
      <alignment horizontal="center" vertical="center"/>
    </xf>
    <xf numFmtId="200" fontId="16" fillId="0" borderId="0" xfId="67" applyNumberFormat="1" applyFont="1" applyBorder="1" applyAlignment="1">
      <alignment vertical="center"/>
      <protection/>
    </xf>
    <xf numFmtId="0" fontId="16" fillId="0" borderId="0" xfId="67" applyFont="1" applyFill="1" applyAlignment="1">
      <alignment horizontal="center" vertical="center"/>
      <protection/>
    </xf>
    <xf numFmtId="43" fontId="16" fillId="0" borderId="0" xfId="42" applyFont="1" applyFill="1" applyAlignment="1">
      <alignment vertical="center"/>
    </xf>
    <xf numFmtId="0" fontId="16" fillId="0" borderId="0" xfId="67" applyFont="1" applyFill="1" applyAlignment="1">
      <alignment vertical="center"/>
      <protection/>
    </xf>
    <xf numFmtId="0" fontId="16" fillId="35" borderId="36" xfId="67" applyFont="1" applyFill="1" applyBorder="1" applyAlignment="1">
      <alignment horizontal="center" vertical="center"/>
      <protection/>
    </xf>
    <xf numFmtId="16" fontId="29" fillId="0" borderId="14" xfId="67" applyNumberFormat="1" applyFont="1" applyBorder="1" applyAlignment="1">
      <alignment horizontal="center" vertical="center"/>
      <protection/>
    </xf>
    <xf numFmtId="16" fontId="56" fillId="0" borderId="14" xfId="67" applyNumberFormat="1" applyFont="1" applyBorder="1" applyAlignment="1">
      <alignment horizontal="left" vertical="center"/>
      <protection/>
    </xf>
    <xf numFmtId="2" fontId="16" fillId="0" borderId="0" xfId="67" applyNumberFormat="1" applyFont="1" applyFill="1" applyBorder="1" applyAlignment="1">
      <alignment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59" fillId="0" borderId="0" xfId="67" applyFont="1" applyBorder="1" applyAlignment="1">
      <alignment horizontal="center" vertical="center"/>
      <protection/>
    </xf>
    <xf numFmtId="200" fontId="60" fillId="0" borderId="0" xfId="66" applyNumberFormat="1" applyFont="1" applyBorder="1" applyAlignment="1">
      <alignment horizontal="right" vertical="center"/>
    </xf>
    <xf numFmtId="2" fontId="50" fillId="0" borderId="14" xfId="66" applyNumberFormat="1" applyFont="1" applyBorder="1" applyAlignment="1">
      <alignment vertical="center"/>
    </xf>
    <xf numFmtId="0" fontId="57" fillId="0" borderId="23" xfId="67" applyFont="1" applyBorder="1" applyAlignment="1">
      <alignment horizontal="right" vertical="center"/>
      <protection/>
    </xf>
    <xf numFmtId="0" fontId="42" fillId="0" borderId="23" xfId="67" applyFont="1" applyBorder="1" applyAlignment="1">
      <alignment horizontal="center" vertical="center"/>
      <protection/>
    </xf>
    <xf numFmtId="0" fontId="57" fillId="0" borderId="23" xfId="67" applyFont="1" applyBorder="1" applyAlignment="1">
      <alignment horizontal="center" vertical="center"/>
      <protection/>
    </xf>
    <xf numFmtId="179" fontId="16" fillId="0" borderId="0" xfId="66" applyNumberFormat="1" applyFont="1" applyBorder="1" applyAlignment="1">
      <alignment vertical="center"/>
    </xf>
    <xf numFmtId="2" fontId="16" fillId="0" borderId="0" xfId="42" applyNumberFormat="1" applyFont="1" applyBorder="1" applyAlignment="1">
      <alignment vertical="center"/>
    </xf>
    <xf numFmtId="0" fontId="0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2" fontId="0" fillId="0" borderId="0" xfId="42" applyNumberFormat="1" applyFont="1" applyBorder="1" applyAlignment="1">
      <alignment vertical="center"/>
    </xf>
    <xf numFmtId="0" fontId="0" fillId="0" borderId="17" xfId="67" applyFont="1" applyBorder="1" applyAlignment="1">
      <alignment vertical="center"/>
      <protection/>
    </xf>
    <xf numFmtId="0" fontId="1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left" vertical="center"/>
      <protection/>
    </xf>
    <xf numFmtId="43" fontId="0" fillId="0" borderId="0" xfId="42" applyFont="1" applyBorder="1" applyAlignment="1">
      <alignment vertical="center"/>
    </xf>
    <xf numFmtId="0" fontId="62" fillId="0" borderId="0" xfId="67" applyFont="1" applyBorder="1" applyAlignment="1">
      <alignment horizontal="center" vertical="center"/>
      <protection/>
    </xf>
    <xf numFmtId="43" fontId="0" fillId="0" borderId="0" xfId="42" applyFont="1" applyBorder="1" applyAlignment="1">
      <alignment horizontal="left" vertical="center"/>
    </xf>
    <xf numFmtId="16" fontId="56" fillId="0" borderId="14" xfId="67" applyNumberFormat="1" applyFont="1" applyBorder="1" applyAlignment="1">
      <alignment horizontal="center" vertical="center"/>
      <protection/>
    </xf>
    <xf numFmtId="171" fontId="63" fillId="0" borderId="0" xfId="66" applyFont="1" applyBorder="1" applyAlignment="1">
      <alignment horizontal="right" vertical="center"/>
    </xf>
    <xf numFmtId="2" fontId="63" fillId="0" borderId="38" xfId="67" applyNumberFormat="1" applyFont="1" applyBorder="1" applyAlignment="1">
      <alignment horizontal="center" vertical="center"/>
      <protection/>
    </xf>
    <xf numFmtId="43" fontId="63" fillId="0" borderId="36" xfId="42" applyFont="1" applyBorder="1" applyAlignment="1">
      <alignment horizontal="center" vertical="center"/>
    </xf>
    <xf numFmtId="2" fontId="63" fillId="0" borderId="36" xfId="67" applyNumberFormat="1" applyFont="1" applyBorder="1" applyAlignment="1">
      <alignment horizontal="center" vertical="center"/>
      <protection/>
    </xf>
    <xf numFmtId="43" fontId="63" fillId="0" borderId="47" xfId="42" applyFont="1" applyBorder="1" applyAlignment="1">
      <alignment horizontal="center" vertical="center"/>
    </xf>
    <xf numFmtId="190" fontId="63" fillId="0" borderId="0" xfId="66" applyNumberFormat="1" applyFont="1" applyBorder="1" applyAlignment="1">
      <alignment vertical="center"/>
    </xf>
    <xf numFmtId="182" fontId="63" fillId="0" borderId="30" xfId="42" applyNumberFormat="1" applyFont="1" applyBorder="1" applyAlignment="1">
      <alignment horizontal="center" vertical="center"/>
    </xf>
    <xf numFmtId="181" fontId="63" fillId="0" borderId="36" xfId="42" applyNumberFormat="1" applyFont="1" applyBorder="1" applyAlignment="1">
      <alignment horizontal="center" vertical="center"/>
    </xf>
    <xf numFmtId="182" fontId="63" fillId="0" borderId="36" xfId="42" applyNumberFormat="1" applyFont="1" applyBorder="1" applyAlignment="1">
      <alignment horizontal="center" vertical="center"/>
    </xf>
    <xf numFmtId="182" fontId="63" fillId="0" borderId="51" xfId="42" applyNumberFormat="1" applyFont="1" applyBorder="1" applyAlignment="1">
      <alignment horizontal="center" vertical="center"/>
    </xf>
    <xf numFmtId="43" fontId="63" fillId="0" borderId="30" xfId="42" applyFont="1" applyBorder="1" applyAlignment="1">
      <alignment horizontal="center" vertical="center"/>
    </xf>
    <xf numFmtId="43" fontId="63" fillId="0" borderId="51" xfId="42" applyFont="1" applyBorder="1" applyAlignment="1">
      <alignment horizontal="center" vertical="center"/>
    </xf>
    <xf numFmtId="0" fontId="63" fillId="0" borderId="23" xfId="67" applyFont="1" applyBorder="1" applyAlignment="1">
      <alignment horizontal="right" vertical="center"/>
      <protection/>
    </xf>
    <xf numFmtId="178" fontId="63" fillId="0" borderId="0" xfId="67" applyNumberFormat="1" applyFont="1" applyBorder="1" applyAlignment="1">
      <alignment horizontal="right" vertical="center"/>
      <protection/>
    </xf>
    <xf numFmtId="2" fontId="63" fillId="0" borderId="0" xfId="67" applyNumberFormat="1" applyFont="1" applyBorder="1" applyAlignment="1">
      <alignment vertical="center"/>
      <protection/>
    </xf>
    <xf numFmtId="0" fontId="63" fillId="0" borderId="0" xfId="67" applyFont="1" applyBorder="1" applyAlignment="1">
      <alignment horizontal="center" vertical="center"/>
      <protection/>
    </xf>
    <xf numFmtId="171" fontId="63" fillId="0" borderId="0" xfId="66" applyFont="1" applyBorder="1" applyAlignment="1">
      <alignment vertical="center"/>
    </xf>
    <xf numFmtId="179" fontId="16" fillId="0" borderId="23" xfId="66" applyNumberFormat="1" applyFont="1" applyBorder="1" applyAlignment="1">
      <alignment vertical="center"/>
    </xf>
    <xf numFmtId="0" fontId="14" fillId="0" borderId="0" xfId="67" applyFont="1" applyBorder="1" applyAlignment="1">
      <alignment horizontal="center" vertical="center"/>
      <protection/>
    </xf>
    <xf numFmtId="0" fontId="65" fillId="0" borderId="17" xfId="67" applyFont="1" applyBorder="1" applyAlignment="1">
      <alignment vertical="center"/>
      <protection/>
    </xf>
    <xf numFmtId="43" fontId="58" fillId="0" borderId="14" xfId="42" applyFont="1" applyBorder="1" applyAlignment="1">
      <alignment vertical="center"/>
    </xf>
    <xf numFmtId="43" fontId="58" fillId="0" borderId="14" xfId="42" applyFont="1" applyBorder="1" applyAlignment="1">
      <alignment horizontal="left" vertical="center"/>
    </xf>
    <xf numFmtId="43" fontId="57" fillId="0" borderId="14" xfId="42" applyFont="1" applyBorder="1" applyAlignment="1">
      <alignment horizontal="left" vertical="center"/>
    </xf>
    <xf numFmtId="0" fontId="16" fillId="34" borderId="26" xfId="67" applyFont="1" applyFill="1" applyBorder="1" applyAlignment="1">
      <alignment horizontal="center" vertical="center"/>
      <protection/>
    </xf>
    <xf numFmtId="0" fontId="16" fillId="34" borderId="25" xfId="67" applyFont="1" applyFill="1" applyBorder="1" applyAlignment="1">
      <alignment horizontal="center" vertical="center"/>
      <protection/>
    </xf>
    <xf numFmtId="179" fontId="16" fillId="34" borderId="38" xfId="67" applyNumberFormat="1" applyFont="1" applyFill="1" applyBorder="1" applyAlignment="1">
      <alignment horizontal="center" vertical="center"/>
      <protection/>
    </xf>
    <xf numFmtId="0" fontId="16" fillId="0" borderId="0" xfId="67" applyFont="1" applyFill="1" applyBorder="1" applyAlignment="1">
      <alignment horizontal="center" vertical="center"/>
      <protection/>
    </xf>
    <xf numFmtId="179" fontId="16" fillId="0" borderId="0" xfId="67" applyNumberFormat="1" applyFont="1" applyFill="1" applyBorder="1" applyAlignment="1">
      <alignment horizontal="center" vertical="center"/>
      <protection/>
    </xf>
    <xf numFmtId="0" fontId="16" fillId="0" borderId="0" xfId="67" applyFont="1" applyFill="1" applyBorder="1" applyAlignment="1">
      <alignment vertical="center"/>
      <protection/>
    </xf>
    <xf numFmtId="43" fontId="16" fillId="34" borderId="36" xfId="42" applyFont="1" applyFill="1" applyBorder="1" applyAlignment="1">
      <alignment vertical="center"/>
    </xf>
    <xf numFmtId="0" fontId="68" fillId="0" borderId="0" xfId="67" applyFont="1" applyBorder="1" applyAlignment="1">
      <alignment horizontal="left" vertical="center"/>
      <protection/>
    </xf>
    <xf numFmtId="0" fontId="16" fillId="34" borderId="38" xfId="67" applyFont="1" applyFill="1" applyBorder="1" applyAlignment="1">
      <alignment horizontal="center" vertical="center"/>
      <protection/>
    </xf>
    <xf numFmtId="43" fontId="14" fillId="0" borderId="0" xfId="42" applyFont="1" applyBorder="1" applyAlignment="1">
      <alignment vertical="center"/>
    </xf>
    <xf numFmtId="171" fontId="63" fillId="0" borderId="0" xfId="66" applyFont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12" fillId="0" borderId="23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/>
    </xf>
    <xf numFmtId="0" fontId="0" fillId="0" borderId="66" xfId="0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0" fillId="0" borderId="0" xfId="0" applyBorder="1" applyAlignment="1" quotePrefix="1">
      <alignment/>
    </xf>
    <xf numFmtId="0" fontId="5" fillId="0" borderId="0" xfId="0" applyFont="1" applyBorder="1" applyAlignment="1">
      <alignment horizontal="centerContinuous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2" fontId="7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0" fillId="0" borderId="0" xfId="0" applyBorder="1" applyAlignment="1" quotePrefix="1">
      <alignment horizontal="left"/>
    </xf>
    <xf numFmtId="2" fontId="7" fillId="0" borderId="0" xfId="0" applyNumberFormat="1" applyFont="1" applyBorder="1" applyAlignment="1">
      <alignment horizontal="centerContinuous" vertical="center"/>
    </xf>
    <xf numFmtId="2" fontId="7" fillId="0" borderId="14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69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0" fontId="1" fillId="0" borderId="22" xfId="0" applyFont="1" applyBorder="1" applyAlignment="1" quotePrefix="1">
      <alignment horizontal="left"/>
    </xf>
    <xf numFmtId="0" fontId="11" fillId="0" borderId="23" xfId="0" applyFont="1" applyBorder="1" applyAlignment="1">
      <alignment/>
    </xf>
    <xf numFmtId="0" fontId="0" fillId="0" borderId="20" xfId="0" applyFill="1" applyBorder="1" applyAlignment="1">
      <alignment/>
    </xf>
    <xf numFmtId="0" fontId="11" fillId="0" borderId="54" xfId="0" applyFont="1" applyBorder="1" applyAlignment="1">
      <alignment horizontal="centerContinuous" vertical="center"/>
    </xf>
    <xf numFmtId="0" fontId="1" fillId="0" borderId="67" xfId="0" applyFont="1" applyBorder="1" applyAlignment="1" quotePrefix="1">
      <alignment horizontal="centerContinuous" vertical="center"/>
    </xf>
    <xf numFmtId="0" fontId="11" fillId="0" borderId="68" xfId="0" applyFont="1" applyBorder="1" applyAlignment="1">
      <alignment horizontal="centerContinuous" vertical="center"/>
    </xf>
    <xf numFmtId="0" fontId="11" fillId="0" borderId="68" xfId="0" applyFont="1" applyBorder="1" applyAlignment="1">
      <alignment horizontal="centerContinuous" vertical="center"/>
    </xf>
    <xf numFmtId="0" fontId="1" fillId="0" borderId="67" xfId="0" applyFont="1" applyBorder="1" applyAlignment="1">
      <alignment horizontal="centerContinuous" vertical="center"/>
    </xf>
    <xf numFmtId="0" fontId="0" fillId="0" borderId="67" xfId="0" applyBorder="1" applyAlignment="1">
      <alignment horizontal="centerContinuous"/>
    </xf>
    <xf numFmtId="0" fontId="0" fillId="0" borderId="69" xfId="0" applyBorder="1" applyAlignment="1">
      <alignment horizontal="centerContinuous"/>
    </xf>
    <xf numFmtId="0" fontId="1" fillId="0" borderId="34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1" fillId="0" borderId="12" xfId="0" applyFont="1" applyBorder="1" applyAlignment="1" quotePrefix="1">
      <alignment horizontal="left"/>
    </xf>
    <xf numFmtId="0" fontId="1" fillId="0" borderId="12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36" borderId="0" xfId="0" applyFill="1" applyBorder="1" applyAlignment="1">
      <alignment/>
    </xf>
    <xf numFmtId="2" fontId="11" fillId="0" borderId="32" xfId="0" applyNumberFormat="1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3" xfId="0" applyFont="1" applyBorder="1" applyAlignment="1">
      <alignment/>
    </xf>
    <xf numFmtId="0" fontId="11" fillId="0" borderId="25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1" fillId="0" borderId="34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" fillId="0" borderId="2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4" xfId="0" applyFont="1" applyBorder="1" applyAlignment="1" quotePrefix="1">
      <alignment horizontal="left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quotePrefix="1">
      <alignment vertical="center"/>
    </xf>
    <xf numFmtId="0" fontId="11" fillId="0" borderId="23" xfId="0" applyFont="1" applyBorder="1" applyAlignment="1" quotePrefix="1">
      <alignment vertical="top"/>
    </xf>
    <xf numFmtId="0" fontId="1" fillId="0" borderId="23" xfId="0" applyFont="1" applyBorder="1" applyAlignment="1" quotePrefix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 quotePrefix="1">
      <alignment horizontal="centerContinuous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13" xfId="0" applyFont="1" applyBorder="1" applyAlignment="1">
      <alignment/>
    </xf>
    <xf numFmtId="0" fontId="11" fillId="0" borderId="25" xfId="0" applyFont="1" applyBorder="1" applyAlignment="1">
      <alignment/>
    </xf>
    <xf numFmtId="0" fontId="0" fillId="0" borderId="60" xfId="0" applyBorder="1" applyAlignment="1">
      <alignment/>
    </xf>
    <xf numFmtId="0" fontId="11" fillId="0" borderId="16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182" fontId="1" fillId="0" borderId="23" xfId="42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182" fontId="1" fillId="0" borderId="14" xfId="42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3" fillId="0" borderId="36" xfId="42" applyNumberFormat="1" applyFont="1" applyBorder="1" applyAlignment="1">
      <alignment horizontal="center" vertical="center"/>
    </xf>
    <xf numFmtId="181" fontId="63" fillId="0" borderId="30" xfId="42" applyNumberFormat="1" applyFont="1" applyBorder="1" applyAlignment="1">
      <alignment horizontal="center" vertical="center"/>
    </xf>
    <xf numFmtId="181" fontId="63" fillId="0" borderId="51" xfId="42" applyNumberFormat="1" applyFont="1" applyBorder="1" applyAlignment="1">
      <alignment horizontal="center" vertical="center"/>
    </xf>
    <xf numFmtId="2" fontId="63" fillId="0" borderId="36" xfId="42" applyNumberFormat="1" applyFont="1" applyBorder="1" applyAlignment="1">
      <alignment horizontal="center" vertical="center"/>
    </xf>
    <xf numFmtId="2" fontId="63" fillId="0" borderId="47" xfId="42" applyNumberFormat="1" applyFont="1" applyBorder="1" applyAlignment="1">
      <alignment horizontal="center" vertical="center"/>
    </xf>
    <xf numFmtId="182" fontId="14" fillId="0" borderId="0" xfId="42" applyNumberFormat="1" applyFont="1" applyBorder="1" applyAlignment="1">
      <alignment vertical="center"/>
    </xf>
    <xf numFmtId="0" fontId="14" fillId="0" borderId="0" xfId="67" applyFont="1" applyBorder="1" applyAlignment="1">
      <alignment horizontal="left" vertical="center"/>
      <protection/>
    </xf>
    <xf numFmtId="1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82" fontId="63" fillId="0" borderId="23" xfId="67" applyNumberFormat="1" applyFont="1" applyBorder="1" applyAlignment="1">
      <alignment horizontal="right" vertical="center"/>
      <protection/>
    </xf>
    <xf numFmtId="0" fontId="67" fillId="0" borderId="0" xfId="67" applyFont="1" applyFill="1" applyBorder="1" applyAlignment="1">
      <alignment horizontal="left" vertical="center"/>
      <protection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8" xfId="59" applyBorder="1" applyAlignment="1">
      <alignment horizontal="center" vertical="center"/>
      <protection/>
    </xf>
    <xf numFmtId="0" fontId="0" fillId="0" borderId="64" xfId="59" applyBorder="1" applyAlignment="1">
      <alignment horizontal="center" vertical="center"/>
      <protection/>
    </xf>
    <xf numFmtId="0" fontId="0" fillId="0" borderId="12" xfId="59" applyBorder="1" applyAlignment="1">
      <alignment horizontal="center" vertical="center"/>
      <protection/>
    </xf>
    <xf numFmtId="0" fontId="0" fillId="0" borderId="27" xfId="59" applyBorder="1" applyAlignment="1">
      <alignment horizontal="center" vertical="center"/>
      <protection/>
    </xf>
    <xf numFmtId="0" fontId="8" fillId="0" borderId="0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9" xfId="59" applyFont="1" applyBorder="1" applyAlignment="1">
      <alignment horizontal="center" vertical="center"/>
      <protection/>
    </xf>
    <xf numFmtId="0" fontId="0" fillId="0" borderId="30" xfId="59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7" fillId="0" borderId="67" xfId="67" applyFont="1" applyBorder="1" applyAlignment="1">
      <alignment horizontal="left" vertical="center"/>
      <protection/>
    </xf>
    <xf numFmtId="0" fontId="57" fillId="0" borderId="14" xfId="67" applyFont="1" applyBorder="1" applyAlignment="1">
      <alignment horizontal="right" vertical="center"/>
      <protection/>
    </xf>
    <xf numFmtId="0" fontId="57" fillId="0" borderId="14" xfId="67" applyFont="1" applyBorder="1" applyAlignment="1">
      <alignment horizontal="left" vertical="center"/>
      <protection/>
    </xf>
    <xf numFmtId="171" fontId="16" fillId="0" borderId="0" xfId="67" applyNumberFormat="1" applyFont="1" applyBorder="1" applyAlignment="1">
      <alignment horizontal="center" vertical="center"/>
      <protection/>
    </xf>
    <xf numFmtId="0" fontId="16" fillId="0" borderId="0" xfId="67" applyFont="1" applyBorder="1" applyAlignment="1">
      <alignment horizontal="center" vertical="center"/>
      <protection/>
    </xf>
    <xf numFmtId="0" fontId="25" fillId="0" borderId="0" xfId="67" applyFont="1" applyBorder="1" applyAlignment="1">
      <alignment horizontal="center" vertical="center"/>
      <protection/>
    </xf>
    <xf numFmtId="0" fontId="51" fillId="0" borderId="70" xfId="67" applyFont="1" applyBorder="1" applyAlignment="1">
      <alignment horizontal="center" vertical="center"/>
      <protection/>
    </xf>
    <xf numFmtId="0" fontId="51" fillId="0" borderId="57" xfId="67" applyFont="1" applyBorder="1" applyAlignment="1">
      <alignment horizontal="center" vertical="center"/>
      <protection/>
    </xf>
    <xf numFmtId="0" fontId="51" fillId="0" borderId="71" xfId="67" applyFont="1" applyBorder="1" applyAlignment="1">
      <alignment horizontal="center" vertical="center"/>
      <protection/>
    </xf>
    <xf numFmtId="0" fontId="51" fillId="0" borderId="39" xfId="67" applyFont="1" applyBorder="1" applyAlignment="1">
      <alignment horizontal="center" vertical="center"/>
      <protection/>
    </xf>
    <xf numFmtId="0" fontId="51" fillId="0" borderId="31" xfId="67" applyFont="1" applyBorder="1" applyAlignment="1">
      <alignment horizontal="center" vertical="center"/>
      <protection/>
    </xf>
    <xf numFmtId="0" fontId="26" fillId="0" borderId="33" xfId="67" applyFont="1" applyBorder="1" applyAlignment="1">
      <alignment horizontal="center" vertical="center"/>
      <protection/>
    </xf>
    <xf numFmtId="0" fontId="26" fillId="0" borderId="71" xfId="67" applyFont="1" applyBorder="1" applyAlignment="1">
      <alignment horizontal="center" vertical="center"/>
      <protection/>
    </xf>
    <xf numFmtId="0" fontId="51" fillId="0" borderId="22" xfId="67" applyFont="1" applyBorder="1" applyAlignment="1">
      <alignment horizontal="center" vertical="center"/>
      <protection/>
    </xf>
    <xf numFmtId="0" fontId="51" fillId="0" borderId="72" xfId="67" applyFont="1" applyBorder="1" applyAlignment="1">
      <alignment horizontal="center" vertical="center"/>
      <protection/>
    </xf>
    <xf numFmtId="0" fontId="51" fillId="0" borderId="16" xfId="67" applyFont="1" applyBorder="1" applyAlignment="1">
      <alignment horizontal="center" vertical="center"/>
      <protection/>
    </xf>
    <xf numFmtId="0" fontId="51" fillId="0" borderId="15" xfId="67" applyFont="1" applyBorder="1" applyAlignment="1">
      <alignment horizontal="center" vertical="center"/>
      <protection/>
    </xf>
    <xf numFmtId="0" fontId="51" fillId="0" borderId="20" xfId="67" applyFont="1" applyBorder="1" applyAlignment="1">
      <alignment horizontal="center" vertical="center"/>
      <protection/>
    </xf>
    <xf numFmtId="0" fontId="51" fillId="0" borderId="73" xfId="67" applyFont="1" applyBorder="1" applyAlignment="1">
      <alignment horizontal="center" vertical="center"/>
      <protection/>
    </xf>
    <xf numFmtId="0" fontId="26" fillId="0" borderId="23" xfId="67" applyFont="1" applyBorder="1" applyAlignment="1">
      <alignment horizontal="center" vertical="center"/>
      <protection/>
    </xf>
    <xf numFmtId="0" fontId="26" fillId="0" borderId="72" xfId="67" applyFont="1" applyBorder="1" applyAlignment="1">
      <alignment horizontal="center" vertical="center"/>
      <protection/>
    </xf>
    <xf numFmtId="0" fontId="26" fillId="0" borderId="14" xfId="67" applyFont="1" applyBorder="1" applyAlignment="1">
      <alignment horizontal="center" vertical="center"/>
      <protection/>
    </xf>
    <xf numFmtId="0" fontId="26" fillId="0" borderId="73" xfId="67" applyFont="1" applyBorder="1" applyAlignment="1">
      <alignment horizontal="center" vertical="center"/>
      <protection/>
    </xf>
    <xf numFmtId="0" fontId="26" fillId="0" borderId="67" xfId="67" applyFont="1" applyBorder="1" applyAlignment="1">
      <alignment horizontal="center" vertical="center"/>
      <protection/>
    </xf>
    <xf numFmtId="0" fontId="26" fillId="0" borderId="68" xfId="67" applyFont="1" applyBorder="1" applyAlignment="1">
      <alignment horizontal="center" vertical="center"/>
      <protection/>
    </xf>
    <xf numFmtId="0" fontId="26" fillId="0" borderId="55" xfId="67" applyFont="1" applyBorder="1" applyAlignment="1">
      <alignment horizontal="center" vertical="center"/>
      <protection/>
    </xf>
    <xf numFmtId="0" fontId="26" fillId="0" borderId="69" xfId="67" applyFont="1" applyBorder="1" applyAlignment="1">
      <alignment horizontal="center" vertical="center"/>
      <protection/>
    </xf>
    <xf numFmtId="0" fontId="26" fillId="0" borderId="70" xfId="67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ERTIFICATE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30" xfId="58"/>
    <cellStyle name="Normal_CERTIFICATE_1_S-CP-004-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เครื่องหมายจุลภาค_CAL PrestressPile" xfId="66"/>
    <cellStyle name="ปกติ_CAL PrestressPil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</xdr:row>
      <xdr:rowOff>0</xdr:rowOff>
    </xdr:from>
    <xdr:to>
      <xdr:col>8</xdr:col>
      <xdr:colOff>257175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43434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4886325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4886325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4886325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266700</xdr:colOff>
      <xdr:row>36</xdr:row>
      <xdr:rowOff>0</xdr:rowOff>
    </xdr:from>
    <xdr:to>
      <xdr:col>9</xdr:col>
      <xdr:colOff>266700</xdr:colOff>
      <xdr:row>36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4886325" y="1036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257175</xdr:colOff>
      <xdr:row>2</xdr:row>
      <xdr:rowOff>0</xdr:rowOff>
    </xdr:from>
    <xdr:to>
      <xdr:col>8</xdr:col>
      <xdr:colOff>257175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43434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295275</xdr:colOff>
      <xdr:row>22</xdr:row>
      <xdr:rowOff>19050</xdr:rowOff>
    </xdr:from>
    <xdr:to>
      <xdr:col>9</xdr:col>
      <xdr:colOff>95250</xdr:colOff>
      <xdr:row>23</xdr:row>
      <xdr:rowOff>66675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381500" y="6591300"/>
          <a:ext cx="333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pu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051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95650" y="0"/>
          <a:ext cx="7620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             +  </a:t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0"/>
          <a:ext cx="1143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95650" y="0"/>
          <a:ext cx="7620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      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381250" y="0"/>
          <a:ext cx="314325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-DB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381250" y="0"/>
          <a:ext cx="314325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-DB</a:t>
          </a:r>
        </a:p>
      </xdr:txBody>
    </xdr:sp>
    <xdr:clientData/>
  </xdr:twoCellAnchor>
  <xdr:twoCellAnchor>
    <xdr:from>
      <xdr:col>0</xdr:col>
      <xdr:colOff>95250</xdr:colOff>
      <xdr:row>9</xdr:row>
      <xdr:rowOff>161925</xdr:rowOff>
    </xdr:from>
    <xdr:to>
      <xdr:col>3</xdr:col>
      <xdr:colOff>428625</xdr:colOff>
      <xdr:row>16</xdr:row>
      <xdr:rowOff>57150</xdr:rowOff>
    </xdr:to>
    <xdr:grpSp>
      <xdr:nvGrpSpPr>
        <xdr:cNvPr id="16" name="Group 17"/>
        <xdr:cNvGrpSpPr>
          <a:grpSpLocks/>
        </xdr:cNvGrpSpPr>
      </xdr:nvGrpSpPr>
      <xdr:grpSpPr>
        <a:xfrm>
          <a:off x="95250" y="2571750"/>
          <a:ext cx="1943100" cy="1885950"/>
          <a:chOff x="10" y="242"/>
          <a:chExt cx="204" cy="198"/>
        </a:xfrm>
        <a:solidFill>
          <a:srgbClr val="FFFFFF"/>
        </a:solidFill>
      </xdr:grpSpPr>
      <xdr:sp>
        <xdr:nvSpPr>
          <xdr:cNvPr id="17" name="Line 18"/>
          <xdr:cNvSpPr>
            <a:spLocks/>
          </xdr:cNvSpPr>
        </xdr:nvSpPr>
        <xdr:spPr>
          <a:xfrm flipV="1">
            <a:off x="176" y="341"/>
            <a:ext cx="34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76" y="392"/>
            <a:ext cx="33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H="1" flipV="1">
            <a:off x="95" y="341"/>
            <a:ext cx="33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95" y="392"/>
            <a:ext cx="33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90" y="291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90" y="268"/>
            <a:ext cx="1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74" y="302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209" y="315"/>
            <a:ext cx="0" cy="2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95" y="315"/>
            <a:ext cx="0" cy="2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95" y="402"/>
            <a:ext cx="0" cy="2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09" y="403"/>
            <a:ext cx="0" cy="2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01" y="310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100" y="433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128" y="350"/>
            <a:ext cx="0" cy="4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76" y="351"/>
            <a:ext cx="0" cy="4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V="1">
            <a:off x="95" y="310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 flipV="1">
            <a:off x="204" y="428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H="1" flipV="1">
            <a:off x="204" y="310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 flipH="1" flipV="1">
            <a:off x="95" y="428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95" y="262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209" y="261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Text 1532"/>
          <xdr:cNvSpPr txBox="1">
            <a:spLocks noChangeArrowheads="1"/>
          </xdr:cNvSpPr>
        </xdr:nvSpPr>
        <xdr:spPr>
          <a:xfrm>
            <a:off x="144" y="242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39" name="Text 1567"/>
          <xdr:cNvSpPr txBox="1">
            <a:spLocks noChangeArrowheads="1"/>
          </xdr:cNvSpPr>
        </xdr:nvSpPr>
        <xdr:spPr>
          <a:xfrm>
            <a:off x="100" y="263"/>
            <a:ext cx="28" cy="2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A2</a:t>
            </a:r>
          </a:p>
        </xdr:txBody>
      </xdr:sp>
      <xdr:sp>
        <xdr:nvSpPr>
          <xdr:cNvPr id="40" name="Text 1568"/>
          <xdr:cNvSpPr txBox="1">
            <a:spLocks noChangeArrowheads="1"/>
          </xdr:cNvSpPr>
        </xdr:nvSpPr>
        <xdr:spPr>
          <a:xfrm>
            <a:off x="181" y="263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A2</a:t>
            </a:r>
          </a:p>
        </xdr:txBody>
      </xdr:sp>
      <xdr:sp>
        <xdr:nvSpPr>
          <xdr:cNvPr id="41" name="Text 1569"/>
          <xdr:cNvSpPr txBox="1">
            <a:spLocks noChangeArrowheads="1"/>
          </xdr:cNvSpPr>
        </xdr:nvSpPr>
        <xdr:spPr>
          <a:xfrm>
            <a:off x="143" y="263"/>
            <a:ext cx="33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A3</a:t>
            </a:r>
          </a:p>
        </xdr:txBody>
      </xdr:sp>
      <xdr:sp>
        <xdr:nvSpPr>
          <xdr:cNvPr id="42" name="Text 1572"/>
          <xdr:cNvSpPr txBox="1">
            <a:spLocks noChangeArrowheads="1"/>
          </xdr:cNvSpPr>
        </xdr:nvSpPr>
        <xdr:spPr>
          <a:xfrm>
            <a:off x="43" y="308"/>
            <a:ext cx="28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B2</a:t>
            </a:r>
          </a:p>
        </xdr:txBody>
      </xdr:sp>
      <xdr:sp>
        <xdr:nvSpPr>
          <xdr:cNvPr id="43" name="Text 1573"/>
          <xdr:cNvSpPr txBox="1">
            <a:spLocks noChangeArrowheads="1"/>
          </xdr:cNvSpPr>
        </xdr:nvSpPr>
        <xdr:spPr>
          <a:xfrm>
            <a:off x="44" y="403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B2</a:t>
            </a:r>
          </a:p>
        </xdr:txBody>
      </xdr:sp>
      <xdr:sp>
        <xdr:nvSpPr>
          <xdr:cNvPr id="44" name="Text 1574"/>
          <xdr:cNvSpPr txBox="1">
            <a:spLocks noChangeArrowheads="1"/>
          </xdr:cNvSpPr>
        </xdr:nvSpPr>
        <xdr:spPr>
          <a:xfrm>
            <a:off x="43" y="357"/>
            <a:ext cx="28" cy="3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B4</a:t>
            </a:r>
          </a:p>
        </xdr:txBody>
      </xdr:sp>
      <xdr:sp>
        <xdr:nvSpPr>
          <xdr:cNvPr id="45" name="Text 1575"/>
          <xdr:cNvSpPr txBox="1">
            <a:spLocks noChangeArrowheads="1"/>
          </xdr:cNvSpPr>
        </xdr:nvSpPr>
        <xdr:spPr>
          <a:xfrm>
            <a:off x="43" y="328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B3</a:t>
            </a:r>
          </a:p>
        </xdr:txBody>
      </xdr:sp>
      <xdr:sp>
        <xdr:nvSpPr>
          <xdr:cNvPr id="46" name="Text 1576"/>
          <xdr:cNvSpPr txBox="1">
            <a:spLocks noChangeArrowheads="1"/>
          </xdr:cNvSpPr>
        </xdr:nvSpPr>
        <xdr:spPr>
          <a:xfrm>
            <a:off x="44" y="379"/>
            <a:ext cx="28" cy="3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B3</a:t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 flipV="1">
            <a:off x="92" y="264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 flipV="1">
            <a:off x="206" y="264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95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 flipV="1">
            <a:off x="91" y="28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>
            <a:off x="128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V="1">
            <a:off x="124" y="28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209" y="285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 flipV="1">
            <a:off x="206" y="28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176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 flipV="1">
            <a:off x="173" y="28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57" name="Group 58"/>
          <xdr:cNvGrpSpPr>
            <a:grpSpLocks/>
          </xdr:cNvGrpSpPr>
        </xdr:nvGrpSpPr>
        <xdr:grpSpPr>
          <a:xfrm>
            <a:off x="66" y="306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58" name="Line 59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9" name="Line 60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0" name="Group 61"/>
          <xdr:cNvGrpSpPr>
            <a:grpSpLocks/>
          </xdr:cNvGrpSpPr>
        </xdr:nvGrpSpPr>
        <xdr:grpSpPr>
          <a:xfrm>
            <a:off x="66" y="33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1" name="Line 62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2" name="Line 63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3" name="Group 64"/>
          <xdr:cNvGrpSpPr>
            <a:grpSpLocks/>
          </xdr:cNvGrpSpPr>
        </xdr:nvGrpSpPr>
        <xdr:grpSpPr>
          <a:xfrm>
            <a:off x="66" y="34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4" name="Line 65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5" name="Line 66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6" name="Group 67"/>
          <xdr:cNvGrpSpPr>
            <a:grpSpLocks/>
          </xdr:cNvGrpSpPr>
        </xdr:nvGrpSpPr>
        <xdr:grpSpPr>
          <a:xfrm>
            <a:off x="66" y="389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7" name="Line 68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8" name="Line 69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9" name="Group 70"/>
          <xdr:cNvGrpSpPr>
            <a:grpSpLocks/>
          </xdr:cNvGrpSpPr>
        </xdr:nvGrpSpPr>
        <xdr:grpSpPr>
          <a:xfrm>
            <a:off x="66" y="398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0" name="Line 7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1" name="Line 7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2" name="Group 73"/>
          <xdr:cNvGrpSpPr>
            <a:grpSpLocks/>
          </xdr:cNvGrpSpPr>
        </xdr:nvGrpSpPr>
        <xdr:grpSpPr>
          <a:xfrm>
            <a:off x="66" y="430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3" name="Line 7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4" name="Line 7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75" name="Line 76"/>
          <xdr:cNvSpPr>
            <a:spLocks/>
          </xdr:cNvSpPr>
        </xdr:nvSpPr>
        <xdr:spPr>
          <a:xfrm>
            <a:off x="36" y="302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76" name="Group 77"/>
          <xdr:cNvGrpSpPr>
            <a:grpSpLocks/>
          </xdr:cNvGrpSpPr>
        </xdr:nvGrpSpPr>
        <xdr:grpSpPr>
          <a:xfrm>
            <a:off x="28" y="306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7" name="Line 78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8" name="Line 79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9" name="Group 80"/>
          <xdr:cNvGrpSpPr>
            <a:grpSpLocks/>
          </xdr:cNvGrpSpPr>
        </xdr:nvGrpSpPr>
        <xdr:grpSpPr>
          <a:xfrm>
            <a:off x="28" y="430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80" name="Line 8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1" name="Line 8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82" name="Text 1574"/>
          <xdr:cNvSpPr txBox="1">
            <a:spLocks noChangeArrowheads="1"/>
          </xdr:cNvSpPr>
        </xdr:nvSpPr>
        <xdr:spPr>
          <a:xfrm>
            <a:off x="10" y="357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  <xdr:twoCellAnchor>
    <xdr:from>
      <xdr:col>11</xdr:col>
      <xdr:colOff>333375</xdr:colOff>
      <xdr:row>30</xdr:row>
      <xdr:rowOff>180975</xdr:rowOff>
    </xdr:from>
    <xdr:to>
      <xdr:col>15</xdr:col>
      <xdr:colOff>276225</xdr:colOff>
      <xdr:row>33</xdr:row>
      <xdr:rowOff>123825</xdr:rowOff>
    </xdr:to>
    <xdr:sp>
      <xdr:nvSpPr>
        <xdr:cNvPr id="83" name="Line 84"/>
        <xdr:cNvSpPr>
          <a:spLocks/>
        </xdr:cNvSpPr>
      </xdr:nvSpPr>
      <xdr:spPr>
        <a:xfrm flipH="1" flipV="1">
          <a:off x="7572375" y="8477250"/>
          <a:ext cx="2419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114300</xdr:colOff>
      <xdr:row>155</xdr:row>
      <xdr:rowOff>219075</xdr:rowOff>
    </xdr:from>
    <xdr:to>
      <xdr:col>16</xdr:col>
      <xdr:colOff>200025</xdr:colOff>
      <xdr:row>159</xdr:row>
      <xdr:rowOff>161925</xdr:rowOff>
    </xdr:to>
    <xdr:sp>
      <xdr:nvSpPr>
        <xdr:cNvPr id="84" name="Line 85"/>
        <xdr:cNvSpPr>
          <a:spLocks/>
        </xdr:cNvSpPr>
      </xdr:nvSpPr>
      <xdr:spPr>
        <a:xfrm flipH="1">
          <a:off x="7353300" y="42805350"/>
          <a:ext cx="33909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123825</xdr:rowOff>
    </xdr:from>
    <xdr:to>
      <xdr:col>16</xdr:col>
      <xdr:colOff>276225</xdr:colOff>
      <xdr:row>14</xdr:row>
      <xdr:rowOff>9525</xdr:rowOff>
    </xdr:to>
    <xdr:grpSp>
      <xdr:nvGrpSpPr>
        <xdr:cNvPr id="85" name="Group 86"/>
        <xdr:cNvGrpSpPr>
          <a:grpSpLocks/>
        </xdr:cNvGrpSpPr>
      </xdr:nvGrpSpPr>
      <xdr:grpSpPr>
        <a:xfrm>
          <a:off x="8686800" y="2095500"/>
          <a:ext cx="2133600" cy="1724025"/>
          <a:chOff x="6" y="254"/>
          <a:chExt cx="224" cy="181"/>
        </a:xfrm>
        <a:solidFill>
          <a:srgbClr val="FFFFFF"/>
        </a:solidFill>
      </xdr:grpSpPr>
      <xdr:sp>
        <xdr:nvSpPr>
          <xdr:cNvPr id="86" name="Line 87"/>
          <xdr:cNvSpPr>
            <a:spLocks/>
          </xdr:cNvSpPr>
        </xdr:nvSpPr>
        <xdr:spPr>
          <a:xfrm flipH="1" flipV="1">
            <a:off x="54" y="342"/>
            <a:ext cx="19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 flipV="1">
            <a:off x="54" y="379"/>
            <a:ext cx="19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Line 89"/>
          <xdr:cNvSpPr>
            <a:spLocks/>
          </xdr:cNvSpPr>
        </xdr:nvSpPr>
        <xdr:spPr>
          <a:xfrm>
            <a:off x="55" y="310"/>
            <a:ext cx="0" cy="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Line 90"/>
          <xdr:cNvSpPr>
            <a:spLocks/>
          </xdr:cNvSpPr>
        </xdr:nvSpPr>
        <xdr:spPr>
          <a:xfrm>
            <a:off x="55" y="391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Line 91"/>
          <xdr:cNvSpPr>
            <a:spLocks/>
          </xdr:cNvSpPr>
        </xdr:nvSpPr>
        <xdr:spPr>
          <a:xfrm>
            <a:off x="59" y="305"/>
            <a:ext cx="1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Line 92"/>
          <xdr:cNvSpPr>
            <a:spLocks/>
          </xdr:cNvSpPr>
        </xdr:nvSpPr>
        <xdr:spPr>
          <a:xfrm>
            <a:off x="59" y="429"/>
            <a:ext cx="1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Line 93"/>
          <xdr:cNvSpPr>
            <a:spLocks/>
          </xdr:cNvSpPr>
        </xdr:nvSpPr>
        <xdr:spPr>
          <a:xfrm>
            <a:off x="72" y="353"/>
            <a:ext cx="0" cy="2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Line 94"/>
          <xdr:cNvSpPr>
            <a:spLocks/>
          </xdr:cNvSpPr>
        </xdr:nvSpPr>
        <xdr:spPr>
          <a:xfrm flipV="1">
            <a:off x="55" y="305"/>
            <a:ext cx="4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Line 95"/>
          <xdr:cNvSpPr>
            <a:spLocks/>
          </xdr:cNvSpPr>
        </xdr:nvSpPr>
        <xdr:spPr>
          <a:xfrm flipV="1">
            <a:off x="208" y="422"/>
            <a:ext cx="6" cy="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Line 96"/>
          <xdr:cNvSpPr>
            <a:spLocks/>
          </xdr:cNvSpPr>
        </xdr:nvSpPr>
        <xdr:spPr>
          <a:xfrm flipH="1" flipV="1">
            <a:off x="210" y="305"/>
            <a:ext cx="5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6" name="Line 97"/>
          <xdr:cNvSpPr>
            <a:spLocks/>
          </xdr:cNvSpPr>
        </xdr:nvSpPr>
        <xdr:spPr>
          <a:xfrm flipH="1" flipV="1">
            <a:off x="55" y="424"/>
            <a:ext cx="4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7" name="Line 98"/>
          <xdr:cNvSpPr>
            <a:spLocks/>
          </xdr:cNvSpPr>
        </xdr:nvSpPr>
        <xdr:spPr>
          <a:xfrm>
            <a:off x="214" y="311"/>
            <a:ext cx="0" cy="3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8" name="Line 99"/>
          <xdr:cNvSpPr>
            <a:spLocks/>
          </xdr:cNvSpPr>
        </xdr:nvSpPr>
        <xdr:spPr>
          <a:xfrm>
            <a:off x="214" y="390"/>
            <a:ext cx="0" cy="3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9" name="Line 100"/>
          <xdr:cNvSpPr>
            <a:spLocks/>
          </xdr:cNvSpPr>
        </xdr:nvSpPr>
        <xdr:spPr>
          <a:xfrm>
            <a:off x="230" y="357"/>
            <a:ext cx="0" cy="2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0" name="Line 101"/>
          <xdr:cNvSpPr>
            <a:spLocks/>
          </xdr:cNvSpPr>
        </xdr:nvSpPr>
        <xdr:spPr>
          <a:xfrm>
            <a:off x="214" y="345"/>
            <a:ext cx="16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1" name="Line 102"/>
          <xdr:cNvSpPr>
            <a:spLocks/>
          </xdr:cNvSpPr>
        </xdr:nvSpPr>
        <xdr:spPr>
          <a:xfrm flipV="1">
            <a:off x="214" y="377"/>
            <a:ext cx="16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2" name="Line 103"/>
          <xdr:cNvSpPr>
            <a:spLocks/>
          </xdr:cNvSpPr>
        </xdr:nvSpPr>
        <xdr:spPr>
          <a:xfrm>
            <a:off x="50" y="282"/>
            <a:ext cx="1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3" name="Line 104"/>
          <xdr:cNvSpPr>
            <a:spLocks/>
          </xdr:cNvSpPr>
        </xdr:nvSpPr>
        <xdr:spPr>
          <a:xfrm>
            <a:off x="55" y="276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4" name="Line 105"/>
          <xdr:cNvSpPr>
            <a:spLocks/>
          </xdr:cNvSpPr>
        </xdr:nvSpPr>
        <xdr:spPr>
          <a:xfrm>
            <a:off x="214" y="275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5" name="Text 1532"/>
          <xdr:cNvSpPr txBox="1">
            <a:spLocks noChangeArrowheads="1"/>
          </xdr:cNvSpPr>
        </xdr:nvSpPr>
        <xdr:spPr>
          <a:xfrm>
            <a:off x="130" y="254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106" name="Line 107"/>
          <xdr:cNvSpPr>
            <a:spLocks/>
          </xdr:cNvSpPr>
        </xdr:nvSpPr>
        <xdr:spPr>
          <a:xfrm flipV="1">
            <a:off x="52" y="27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7" name="Line 108"/>
          <xdr:cNvSpPr>
            <a:spLocks/>
          </xdr:cNvSpPr>
        </xdr:nvSpPr>
        <xdr:spPr>
          <a:xfrm flipV="1">
            <a:off x="212" y="27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8" name="Line 109"/>
          <xdr:cNvSpPr>
            <a:spLocks/>
          </xdr:cNvSpPr>
        </xdr:nvSpPr>
        <xdr:spPr>
          <a:xfrm>
            <a:off x="31" y="297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09" name="Group 110"/>
          <xdr:cNvGrpSpPr>
            <a:grpSpLocks/>
          </xdr:cNvGrpSpPr>
        </xdr:nvGrpSpPr>
        <xdr:grpSpPr>
          <a:xfrm>
            <a:off x="24" y="301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10" name="Line 11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1" name="Line 11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12" name="Group 113"/>
          <xdr:cNvGrpSpPr>
            <a:grpSpLocks/>
          </xdr:cNvGrpSpPr>
        </xdr:nvGrpSpPr>
        <xdr:grpSpPr>
          <a:xfrm>
            <a:off x="24" y="425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13" name="Line 11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4" name="Line 11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15" name="Text 1574"/>
          <xdr:cNvSpPr txBox="1">
            <a:spLocks noChangeArrowheads="1"/>
          </xdr:cNvSpPr>
        </xdr:nvSpPr>
        <xdr:spPr>
          <a:xfrm>
            <a:off x="6" y="352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  <xdr:twoCellAnchor>
    <xdr:from>
      <xdr:col>21</xdr:col>
      <xdr:colOff>304800</xdr:colOff>
      <xdr:row>7</xdr:row>
      <xdr:rowOff>38100</xdr:rowOff>
    </xdr:from>
    <xdr:to>
      <xdr:col>24</xdr:col>
      <xdr:colOff>180975</xdr:colOff>
      <xdr:row>13</xdr:row>
      <xdr:rowOff>285750</xdr:rowOff>
    </xdr:to>
    <xdr:grpSp>
      <xdr:nvGrpSpPr>
        <xdr:cNvPr id="116" name="Group 117"/>
        <xdr:cNvGrpSpPr>
          <a:grpSpLocks/>
        </xdr:cNvGrpSpPr>
      </xdr:nvGrpSpPr>
      <xdr:grpSpPr>
        <a:xfrm>
          <a:off x="13896975" y="2009775"/>
          <a:ext cx="1704975" cy="1771650"/>
          <a:chOff x="1459" y="211"/>
          <a:chExt cx="179" cy="186"/>
        </a:xfrm>
        <a:solidFill>
          <a:srgbClr val="FFFFFF"/>
        </a:solidFill>
      </xdr:grpSpPr>
      <xdr:sp>
        <xdr:nvSpPr>
          <xdr:cNvPr id="117" name="Line 118"/>
          <xdr:cNvSpPr>
            <a:spLocks/>
          </xdr:cNvSpPr>
        </xdr:nvSpPr>
        <xdr:spPr>
          <a:xfrm>
            <a:off x="1514" y="237"/>
            <a:ext cx="1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8" name="Line 119"/>
          <xdr:cNvSpPr>
            <a:spLocks/>
          </xdr:cNvSpPr>
        </xdr:nvSpPr>
        <xdr:spPr>
          <a:xfrm>
            <a:off x="1633" y="272"/>
            <a:ext cx="0" cy="1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9" name="Line 120"/>
          <xdr:cNvSpPr>
            <a:spLocks/>
          </xdr:cNvSpPr>
        </xdr:nvSpPr>
        <xdr:spPr>
          <a:xfrm>
            <a:off x="1519" y="272"/>
            <a:ext cx="0" cy="1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0" name="Line 121"/>
          <xdr:cNvSpPr>
            <a:spLocks/>
          </xdr:cNvSpPr>
        </xdr:nvSpPr>
        <xdr:spPr>
          <a:xfrm>
            <a:off x="1525" y="267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1" name="Line 122"/>
          <xdr:cNvSpPr>
            <a:spLocks/>
          </xdr:cNvSpPr>
        </xdr:nvSpPr>
        <xdr:spPr>
          <a:xfrm>
            <a:off x="1524" y="390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Line 123"/>
          <xdr:cNvSpPr>
            <a:spLocks/>
          </xdr:cNvSpPr>
        </xdr:nvSpPr>
        <xdr:spPr>
          <a:xfrm flipV="1">
            <a:off x="1519" y="267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Line 124"/>
          <xdr:cNvSpPr>
            <a:spLocks/>
          </xdr:cNvSpPr>
        </xdr:nvSpPr>
        <xdr:spPr>
          <a:xfrm flipV="1">
            <a:off x="1628" y="385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Line 125"/>
          <xdr:cNvSpPr>
            <a:spLocks/>
          </xdr:cNvSpPr>
        </xdr:nvSpPr>
        <xdr:spPr>
          <a:xfrm flipH="1" flipV="1">
            <a:off x="1628" y="267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5" name="Line 126"/>
          <xdr:cNvSpPr>
            <a:spLocks/>
          </xdr:cNvSpPr>
        </xdr:nvSpPr>
        <xdr:spPr>
          <a:xfrm flipH="1" flipV="1">
            <a:off x="1519" y="385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6" name="Line 127"/>
          <xdr:cNvSpPr>
            <a:spLocks/>
          </xdr:cNvSpPr>
        </xdr:nvSpPr>
        <xdr:spPr>
          <a:xfrm>
            <a:off x="1519" y="231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7" name="Line 128"/>
          <xdr:cNvSpPr>
            <a:spLocks/>
          </xdr:cNvSpPr>
        </xdr:nvSpPr>
        <xdr:spPr>
          <a:xfrm>
            <a:off x="1633" y="230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Text 1532"/>
          <xdr:cNvSpPr txBox="1">
            <a:spLocks noChangeArrowheads="1"/>
          </xdr:cNvSpPr>
        </xdr:nvSpPr>
        <xdr:spPr>
          <a:xfrm>
            <a:off x="1568" y="211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129" name="Line 130"/>
          <xdr:cNvSpPr>
            <a:spLocks/>
          </xdr:cNvSpPr>
        </xdr:nvSpPr>
        <xdr:spPr>
          <a:xfrm flipV="1">
            <a:off x="1516" y="233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0" name="Line 131"/>
          <xdr:cNvSpPr>
            <a:spLocks/>
          </xdr:cNvSpPr>
        </xdr:nvSpPr>
        <xdr:spPr>
          <a:xfrm flipV="1">
            <a:off x="1630" y="233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Line 132"/>
          <xdr:cNvSpPr>
            <a:spLocks/>
          </xdr:cNvSpPr>
        </xdr:nvSpPr>
        <xdr:spPr>
          <a:xfrm>
            <a:off x="1485" y="25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32" name="Group 133"/>
          <xdr:cNvGrpSpPr>
            <a:grpSpLocks/>
          </xdr:cNvGrpSpPr>
        </xdr:nvGrpSpPr>
        <xdr:grpSpPr>
          <a:xfrm>
            <a:off x="1477" y="263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33" name="Line 13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4" name="Line 13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35" name="Group 136"/>
          <xdr:cNvGrpSpPr>
            <a:grpSpLocks/>
          </xdr:cNvGrpSpPr>
        </xdr:nvGrpSpPr>
        <xdr:grpSpPr>
          <a:xfrm>
            <a:off x="1477" y="38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36" name="Line 137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7" name="Line 138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38" name="Text 1574"/>
          <xdr:cNvSpPr txBox="1">
            <a:spLocks noChangeArrowheads="1"/>
          </xdr:cNvSpPr>
        </xdr:nvSpPr>
        <xdr:spPr>
          <a:xfrm>
            <a:off x="1459" y="314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0</xdr:row>
      <xdr:rowOff>0</xdr:rowOff>
    </xdr:from>
    <xdr:to>
      <xdr:col>4</xdr:col>
      <xdr:colOff>552450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7051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95650" y="0"/>
          <a:ext cx="7620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             +  </a:t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81625" y="0"/>
          <a:ext cx="1143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3295650" y="0"/>
          <a:ext cx="24765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6</xdr:col>
      <xdr:colOff>352425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95650" y="0"/>
          <a:ext cx="762000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)            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381250" y="0"/>
          <a:ext cx="314325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-DB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314325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381250" y="0"/>
          <a:ext cx="314325" cy="0"/>
        </a:xfrm>
        <a:prstGeom prst="rect">
          <a:avLst/>
        </a:prstGeom>
        <a:noFill/>
        <a:ln w="73025" cmpd="dbl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-DB</a:t>
          </a:r>
        </a:p>
      </xdr:txBody>
    </xdr:sp>
    <xdr:clientData/>
  </xdr:twoCellAnchor>
  <xdr:twoCellAnchor>
    <xdr:from>
      <xdr:col>17</xdr:col>
      <xdr:colOff>228600</xdr:colOff>
      <xdr:row>6</xdr:row>
      <xdr:rowOff>266700</xdr:rowOff>
    </xdr:from>
    <xdr:to>
      <xdr:col>20</xdr:col>
      <xdr:colOff>342900</xdr:colOff>
      <xdr:row>14</xdr:row>
      <xdr:rowOff>9525</xdr:rowOff>
    </xdr:to>
    <xdr:grpSp>
      <xdr:nvGrpSpPr>
        <xdr:cNvPr id="16" name="Group 17"/>
        <xdr:cNvGrpSpPr>
          <a:grpSpLocks/>
        </xdr:cNvGrpSpPr>
      </xdr:nvGrpSpPr>
      <xdr:grpSpPr>
        <a:xfrm>
          <a:off x="11382375" y="1933575"/>
          <a:ext cx="1943100" cy="1885950"/>
          <a:chOff x="10" y="242"/>
          <a:chExt cx="204" cy="198"/>
        </a:xfrm>
        <a:solidFill>
          <a:srgbClr val="FFFFFF"/>
        </a:solidFill>
      </xdr:grpSpPr>
      <xdr:sp>
        <xdr:nvSpPr>
          <xdr:cNvPr id="17" name="Line 18"/>
          <xdr:cNvSpPr>
            <a:spLocks/>
          </xdr:cNvSpPr>
        </xdr:nvSpPr>
        <xdr:spPr>
          <a:xfrm flipV="1">
            <a:off x="176" y="341"/>
            <a:ext cx="34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76" y="392"/>
            <a:ext cx="33" cy="1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 flipH="1" flipV="1">
            <a:off x="95" y="341"/>
            <a:ext cx="33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 flipV="1">
            <a:off x="95" y="392"/>
            <a:ext cx="33" cy="1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90" y="291"/>
            <a:ext cx="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2" name="Line 23"/>
          <xdr:cNvSpPr>
            <a:spLocks/>
          </xdr:cNvSpPr>
        </xdr:nvSpPr>
        <xdr:spPr>
          <a:xfrm>
            <a:off x="90" y="268"/>
            <a:ext cx="1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74" y="302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>
            <a:off x="209" y="315"/>
            <a:ext cx="0" cy="2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95" y="315"/>
            <a:ext cx="0" cy="2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95" y="402"/>
            <a:ext cx="0" cy="2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" name="Line 28"/>
          <xdr:cNvSpPr>
            <a:spLocks/>
          </xdr:cNvSpPr>
        </xdr:nvSpPr>
        <xdr:spPr>
          <a:xfrm>
            <a:off x="209" y="403"/>
            <a:ext cx="0" cy="2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101" y="310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100" y="433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0" name="Line 31"/>
          <xdr:cNvSpPr>
            <a:spLocks/>
          </xdr:cNvSpPr>
        </xdr:nvSpPr>
        <xdr:spPr>
          <a:xfrm>
            <a:off x="128" y="350"/>
            <a:ext cx="0" cy="4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>
            <a:off x="176" y="351"/>
            <a:ext cx="0" cy="4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 flipV="1">
            <a:off x="95" y="310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 flipV="1">
            <a:off x="204" y="428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H="1" flipV="1">
            <a:off x="204" y="310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 flipH="1" flipV="1">
            <a:off x="95" y="428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95" y="262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" name="Line 38"/>
          <xdr:cNvSpPr>
            <a:spLocks/>
          </xdr:cNvSpPr>
        </xdr:nvSpPr>
        <xdr:spPr>
          <a:xfrm>
            <a:off x="209" y="261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8" name="Text 1532"/>
          <xdr:cNvSpPr txBox="1">
            <a:spLocks noChangeArrowheads="1"/>
          </xdr:cNvSpPr>
        </xdr:nvSpPr>
        <xdr:spPr>
          <a:xfrm>
            <a:off x="144" y="242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39" name="Text 1567"/>
          <xdr:cNvSpPr txBox="1">
            <a:spLocks noChangeArrowheads="1"/>
          </xdr:cNvSpPr>
        </xdr:nvSpPr>
        <xdr:spPr>
          <a:xfrm>
            <a:off x="100" y="263"/>
            <a:ext cx="28" cy="2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A2</a:t>
            </a:r>
          </a:p>
        </xdr:txBody>
      </xdr:sp>
      <xdr:sp>
        <xdr:nvSpPr>
          <xdr:cNvPr id="40" name="Text 1568"/>
          <xdr:cNvSpPr txBox="1">
            <a:spLocks noChangeArrowheads="1"/>
          </xdr:cNvSpPr>
        </xdr:nvSpPr>
        <xdr:spPr>
          <a:xfrm>
            <a:off x="181" y="263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A2</a:t>
            </a:r>
          </a:p>
        </xdr:txBody>
      </xdr:sp>
      <xdr:sp>
        <xdr:nvSpPr>
          <xdr:cNvPr id="41" name="Text 1569"/>
          <xdr:cNvSpPr txBox="1">
            <a:spLocks noChangeArrowheads="1"/>
          </xdr:cNvSpPr>
        </xdr:nvSpPr>
        <xdr:spPr>
          <a:xfrm>
            <a:off x="143" y="263"/>
            <a:ext cx="33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A3</a:t>
            </a:r>
          </a:p>
        </xdr:txBody>
      </xdr:sp>
      <xdr:sp>
        <xdr:nvSpPr>
          <xdr:cNvPr id="42" name="Text 1572"/>
          <xdr:cNvSpPr txBox="1">
            <a:spLocks noChangeArrowheads="1"/>
          </xdr:cNvSpPr>
        </xdr:nvSpPr>
        <xdr:spPr>
          <a:xfrm>
            <a:off x="43" y="308"/>
            <a:ext cx="28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B2</a:t>
            </a:r>
          </a:p>
        </xdr:txBody>
      </xdr:sp>
      <xdr:sp>
        <xdr:nvSpPr>
          <xdr:cNvPr id="43" name="Text 1573"/>
          <xdr:cNvSpPr txBox="1">
            <a:spLocks noChangeArrowheads="1"/>
          </xdr:cNvSpPr>
        </xdr:nvSpPr>
        <xdr:spPr>
          <a:xfrm>
            <a:off x="44" y="403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B2</a:t>
            </a:r>
          </a:p>
        </xdr:txBody>
      </xdr:sp>
      <xdr:sp>
        <xdr:nvSpPr>
          <xdr:cNvPr id="44" name="Text 1574"/>
          <xdr:cNvSpPr txBox="1">
            <a:spLocks noChangeArrowheads="1"/>
          </xdr:cNvSpPr>
        </xdr:nvSpPr>
        <xdr:spPr>
          <a:xfrm>
            <a:off x="43" y="357"/>
            <a:ext cx="28" cy="3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B4</a:t>
            </a:r>
          </a:p>
        </xdr:txBody>
      </xdr:sp>
      <xdr:sp>
        <xdr:nvSpPr>
          <xdr:cNvPr id="45" name="Text 1575"/>
          <xdr:cNvSpPr txBox="1">
            <a:spLocks noChangeArrowheads="1"/>
          </xdr:cNvSpPr>
        </xdr:nvSpPr>
        <xdr:spPr>
          <a:xfrm>
            <a:off x="43" y="328"/>
            <a:ext cx="28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B3</a:t>
            </a:r>
          </a:p>
        </xdr:txBody>
      </xdr:sp>
      <xdr:sp>
        <xdr:nvSpPr>
          <xdr:cNvPr id="46" name="Text 1576"/>
          <xdr:cNvSpPr txBox="1">
            <a:spLocks noChangeArrowheads="1"/>
          </xdr:cNvSpPr>
        </xdr:nvSpPr>
        <xdr:spPr>
          <a:xfrm>
            <a:off x="44" y="379"/>
            <a:ext cx="28" cy="3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B3</a:t>
            </a:r>
          </a:p>
        </xdr:txBody>
      </xdr:sp>
      <xdr:sp>
        <xdr:nvSpPr>
          <xdr:cNvPr id="47" name="Line 48"/>
          <xdr:cNvSpPr>
            <a:spLocks/>
          </xdr:cNvSpPr>
        </xdr:nvSpPr>
        <xdr:spPr>
          <a:xfrm flipV="1">
            <a:off x="92" y="264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Line 49"/>
          <xdr:cNvSpPr>
            <a:spLocks/>
          </xdr:cNvSpPr>
        </xdr:nvSpPr>
        <xdr:spPr>
          <a:xfrm flipV="1">
            <a:off x="206" y="264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Line 50"/>
          <xdr:cNvSpPr>
            <a:spLocks/>
          </xdr:cNvSpPr>
        </xdr:nvSpPr>
        <xdr:spPr>
          <a:xfrm>
            <a:off x="95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Line 51"/>
          <xdr:cNvSpPr>
            <a:spLocks/>
          </xdr:cNvSpPr>
        </xdr:nvSpPr>
        <xdr:spPr>
          <a:xfrm flipV="1">
            <a:off x="91" y="28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Line 52"/>
          <xdr:cNvSpPr>
            <a:spLocks/>
          </xdr:cNvSpPr>
        </xdr:nvSpPr>
        <xdr:spPr>
          <a:xfrm>
            <a:off x="128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Line 53"/>
          <xdr:cNvSpPr>
            <a:spLocks/>
          </xdr:cNvSpPr>
        </xdr:nvSpPr>
        <xdr:spPr>
          <a:xfrm flipV="1">
            <a:off x="124" y="28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Line 54"/>
          <xdr:cNvSpPr>
            <a:spLocks/>
          </xdr:cNvSpPr>
        </xdr:nvSpPr>
        <xdr:spPr>
          <a:xfrm>
            <a:off x="209" y="285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Line 55"/>
          <xdr:cNvSpPr>
            <a:spLocks/>
          </xdr:cNvSpPr>
        </xdr:nvSpPr>
        <xdr:spPr>
          <a:xfrm flipV="1">
            <a:off x="206" y="28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176" y="286"/>
            <a:ext cx="0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6" name="Line 57"/>
          <xdr:cNvSpPr>
            <a:spLocks/>
          </xdr:cNvSpPr>
        </xdr:nvSpPr>
        <xdr:spPr>
          <a:xfrm flipV="1">
            <a:off x="173" y="28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57" name="Group 58"/>
          <xdr:cNvGrpSpPr>
            <a:grpSpLocks/>
          </xdr:cNvGrpSpPr>
        </xdr:nvGrpSpPr>
        <xdr:grpSpPr>
          <a:xfrm>
            <a:off x="66" y="306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58" name="Line 59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59" name="Line 60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0" name="Group 61"/>
          <xdr:cNvGrpSpPr>
            <a:grpSpLocks/>
          </xdr:cNvGrpSpPr>
        </xdr:nvGrpSpPr>
        <xdr:grpSpPr>
          <a:xfrm>
            <a:off x="66" y="33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1" name="Line 62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2" name="Line 63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3" name="Group 64"/>
          <xdr:cNvGrpSpPr>
            <a:grpSpLocks/>
          </xdr:cNvGrpSpPr>
        </xdr:nvGrpSpPr>
        <xdr:grpSpPr>
          <a:xfrm>
            <a:off x="66" y="34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4" name="Line 65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5" name="Line 66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6" name="Group 67"/>
          <xdr:cNvGrpSpPr>
            <a:grpSpLocks/>
          </xdr:cNvGrpSpPr>
        </xdr:nvGrpSpPr>
        <xdr:grpSpPr>
          <a:xfrm>
            <a:off x="66" y="389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67" name="Line 68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68" name="Line 69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69" name="Group 70"/>
          <xdr:cNvGrpSpPr>
            <a:grpSpLocks/>
          </xdr:cNvGrpSpPr>
        </xdr:nvGrpSpPr>
        <xdr:grpSpPr>
          <a:xfrm>
            <a:off x="66" y="398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0" name="Line 7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1" name="Line 7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2" name="Group 73"/>
          <xdr:cNvGrpSpPr>
            <a:grpSpLocks/>
          </xdr:cNvGrpSpPr>
        </xdr:nvGrpSpPr>
        <xdr:grpSpPr>
          <a:xfrm>
            <a:off x="66" y="430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3" name="Line 7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4" name="Line 7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75" name="Line 76"/>
          <xdr:cNvSpPr>
            <a:spLocks/>
          </xdr:cNvSpPr>
        </xdr:nvSpPr>
        <xdr:spPr>
          <a:xfrm>
            <a:off x="36" y="302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76" name="Group 77"/>
          <xdr:cNvGrpSpPr>
            <a:grpSpLocks/>
          </xdr:cNvGrpSpPr>
        </xdr:nvGrpSpPr>
        <xdr:grpSpPr>
          <a:xfrm>
            <a:off x="28" y="306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77" name="Line 78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78" name="Line 79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79" name="Group 80"/>
          <xdr:cNvGrpSpPr>
            <a:grpSpLocks/>
          </xdr:cNvGrpSpPr>
        </xdr:nvGrpSpPr>
        <xdr:grpSpPr>
          <a:xfrm>
            <a:off x="28" y="430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80" name="Line 8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81" name="Line 8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82" name="Text 1574"/>
          <xdr:cNvSpPr txBox="1">
            <a:spLocks noChangeArrowheads="1"/>
          </xdr:cNvSpPr>
        </xdr:nvSpPr>
        <xdr:spPr>
          <a:xfrm>
            <a:off x="10" y="357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  <xdr:twoCellAnchor>
    <xdr:from>
      <xdr:col>11</xdr:col>
      <xdr:colOff>333375</xdr:colOff>
      <xdr:row>30</xdr:row>
      <xdr:rowOff>180975</xdr:rowOff>
    </xdr:from>
    <xdr:to>
      <xdr:col>15</xdr:col>
      <xdr:colOff>276225</xdr:colOff>
      <xdr:row>33</xdr:row>
      <xdr:rowOff>123825</xdr:rowOff>
    </xdr:to>
    <xdr:sp>
      <xdr:nvSpPr>
        <xdr:cNvPr id="83" name="Line 84"/>
        <xdr:cNvSpPr>
          <a:spLocks/>
        </xdr:cNvSpPr>
      </xdr:nvSpPr>
      <xdr:spPr>
        <a:xfrm flipH="1" flipV="1">
          <a:off x="7572375" y="8477250"/>
          <a:ext cx="2419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114300</xdr:colOff>
      <xdr:row>155</xdr:row>
      <xdr:rowOff>219075</xdr:rowOff>
    </xdr:from>
    <xdr:to>
      <xdr:col>16</xdr:col>
      <xdr:colOff>200025</xdr:colOff>
      <xdr:row>159</xdr:row>
      <xdr:rowOff>161925</xdr:rowOff>
    </xdr:to>
    <xdr:sp>
      <xdr:nvSpPr>
        <xdr:cNvPr id="84" name="Line 85"/>
        <xdr:cNvSpPr>
          <a:spLocks/>
        </xdr:cNvSpPr>
      </xdr:nvSpPr>
      <xdr:spPr>
        <a:xfrm flipH="1">
          <a:off x="7353300" y="42805350"/>
          <a:ext cx="33909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190500</xdr:colOff>
      <xdr:row>7</xdr:row>
      <xdr:rowOff>123825</xdr:rowOff>
    </xdr:from>
    <xdr:to>
      <xdr:col>16</xdr:col>
      <xdr:colOff>276225</xdr:colOff>
      <xdr:row>14</xdr:row>
      <xdr:rowOff>9525</xdr:rowOff>
    </xdr:to>
    <xdr:grpSp>
      <xdr:nvGrpSpPr>
        <xdr:cNvPr id="85" name="Group 86"/>
        <xdr:cNvGrpSpPr>
          <a:grpSpLocks/>
        </xdr:cNvGrpSpPr>
      </xdr:nvGrpSpPr>
      <xdr:grpSpPr>
        <a:xfrm>
          <a:off x="8686800" y="2095500"/>
          <a:ext cx="2133600" cy="1724025"/>
          <a:chOff x="6" y="254"/>
          <a:chExt cx="224" cy="181"/>
        </a:xfrm>
        <a:solidFill>
          <a:srgbClr val="FFFFFF"/>
        </a:solidFill>
      </xdr:grpSpPr>
      <xdr:sp>
        <xdr:nvSpPr>
          <xdr:cNvPr id="86" name="Line 87"/>
          <xdr:cNvSpPr>
            <a:spLocks/>
          </xdr:cNvSpPr>
        </xdr:nvSpPr>
        <xdr:spPr>
          <a:xfrm flipH="1" flipV="1">
            <a:off x="54" y="342"/>
            <a:ext cx="19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7" name="Line 88"/>
          <xdr:cNvSpPr>
            <a:spLocks/>
          </xdr:cNvSpPr>
        </xdr:nvSpPr>
        <xdr:spPr>
          <a:xfrm flipV="1">
            <a:off x="54" y="379"/>
            <a:ext cx="19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Line 89"/>
          <xdr:cNvSpPr>
            <a:spLocks/>
          </xdr:cNvSpPr>
        </xdr:nvSpPr>
        <xdr:spPr>
          <a:xfrm>
            <a:off x="55" y="310"/>
            <a:ext cx="0" cy="3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Line 90"/>
          <xdr:cNvSpPr>
            <a:spLocks/>
          </xdr:cNvSpPr>
        </xdr:nvSpPr>
        <xdr:spPr>
          <a:xfrm>
            <a:off x="55" y="391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Line 91"/>
          <xdr:cNvSpPr>
            <a:spLocks/>
          </xdr:cNvSpPr>
        </xdr:nvSpPr>
        <xdr:spPr>
          <a:xfrm>
            <a:off x="59" y="305"/>
            <a:ext cx="1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Line 92"/>
          <xdr:cNvSpPr>
            <a:spLocks/>
          </xdr:cNvSpPr>
        </xdr:nvSpPr>
        <xdr:spPr>
          <a:xfrm>
            <a:off x="59" y="429"/>
            <a:ext cx="14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Line 93"/>
          <xdr:cNvSpPr>
            <a:spLocks/>
          </xdr:cNvSpPr>
        </xdr:nvSpPr>
        <xdr:spPr>
          <a:xfrm>
            <a:off x="72" y="353"/>
            <a:ext cx="0" cy="2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Line 94"/>
          <xdr:cNvSpPr>
            <a:spLocks/>
          </xdr:cNvSpPr>
        </xdr:nvSpPr>
        <xdr:spPr>
          <a:xfrm flipV="1">
            <a:off x="55" y="305"/>
            <a:ext cx="4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Line 95"/>
          <xdr:cNvSpPr>
            <a:spLocks/>
          </xdr:cNvSpPr>
        </xdr:nvSpPr>
        <xdr:spPr>
          <a:xfrm flipV="1">
            <a:off x="208" y="422"/>
            <a:ext cx="6" cy="8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Line 96"/>
          <xdr:cNvSpPr>
            <a:spLocks/>
          </xdr:cNvSpPr>
        </xdr:nvSpPr>
        <xdr:spPr>
          <a:xfrm flipH="1" flipV="1">
            <a:off x="210" y="305"/>
            <a:ext cx="5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6" name="Line 97"/>
          <xdr:cNvSpPr>
            <a:spLocks/>
          </xdr:cNvSpPr>
        </xdr:nvSpPr>
        <xdr:spPr>
          <a:xfrm flipH="1" flipV="1">
            <a:off x="55" y="424"/>
            <a:ext cx="4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7" name="Line 98"/>
          <xdr:cNvSpPr>
            <a:spLocks/>
          </xdr:cNvSpPr>
        </xdr:nvSpPr>
        <xdr:spPr>
          <a:xfrm>
            <a:off x="214" y="311"/>
            <a:ext cx="0" cy="3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8" name="Line 99"/>
          <xdr:cNvSpPr>
            <a:spLocks/>
          </xdr:cNvSpPr>
        </xdr:nvSpPr>
        <xdr:spPr>
          <a:xfrm>
            <a:off x="214" y="390"/>
            <a:ext cx="0" cy="3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9" name="Line 100"/>
          <xdr:cNvSpPr>
            <a:spLocks/>
          </xdr:cNvSpPr>
        </xdr:nvSpPr>
        <xdr:spPr>
          <a:xfrm>
            <a:off x="230" y="357"/>
            <a:ext cx="0" cy="2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0" name="Line 101"/>
          <xdr:cNvSpPr>
            <a:spLocks/>
          </xdr:cNvSpPr>
        </xdr:nvSpPr>
        <xdr:spPr>
          <a:xfrm>
            <a:off x="214" y="345"/>
            <a:ext cx="16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1" name="Line 102"/>
          <xdr:cNvSpPr>
            <a:spLocks/>
          </xdr:cNvSpPr>
        </xdr:nvSpPr>
        <xdr:spPr>
          <a:xfrm flipV="1">
            <a:off x="214" y="377"/>
            <a:ext cx="16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2" name="Line 103"/>
          <xdr:cNvSpPr>
            <a:spLocks/>
          </xdr:cNvSpPr>
        </xdr:nvSpPr>
        <xdr:spPr>
          <a:xfrm>
            <a:off x="50" y="282"/>
            <a:ext cx="17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3" name="Line 104"/>
          <xdr:cNvSpPr>
            <a:spLocks/>
          </xdr:cNvSpPr>
        </xdr:nvSpPr>
        <xdr:spPr>
          <a:xfrm>
            <a:off x="55" y="276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4" name="Line 105"/>
          <xdr:cNvSpPr>
            <a:spLocks/>
          </xdr:cNvSpPr>
        </xdr:nvSpPr>
        <xdr:spPr>
          <a:xfrm>
            <a:off x="214" y="275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5" name="Text 1532"/>
          <xdr:cNvSpPr txBox="1">
            <a:spLocks noChangeArrowheads="1"/>
          </xdr:cNvSpPr>
        </xdr:nvSpPr>
        <xdr:spPr>
          <a:xfrm>
            <a:off x="130" y="254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106" name="Line 107"/>
          <xdr:cNvSpPr>
            <a:spLocks/>
          </xdr:cNvSpPr>
        </xdr:nvSpPr>
        <xdr:spPr>
          <a:xfrm flipV="1">
            <a:off x="52" y="278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7" name="Line 108"/>
          <xdr:cNvSpPr>
            <a:spLocks/>
          </xdr:cNvSpPr>
        </xdr:nvSpPr>
        <xdr:spPr>
          <a:xfrm flipV="1">
            <a:off x="212" y="278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8" name="Line 109"/>
          <xdr:cNvSpPr>
            <a:spLocks/>
          </xdr:cNvSpPr>
        </xdr:nvSpPr>
        <xdr:spPr>
          <a:xfrm>
            <a:off x="31" y="297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09" name="Group 110"/>
          <xdr:cNvGrpSpPr>
            <a:grpSpLocks/>
          </xdr:cNvGrpSpPr>
        </xdr:nvGrpSpPr>
        <xdr:grpSpPr>
          <a:xfrm>
            <a:off x="24" y="301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10" name="Line 111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1" name="Line 112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12" name="Group 113"/>
          <xdr:cNvGrpSpPr>
            <a:grpSpLocks/>
          </xdr:cNvGrpSpPr>
        </xdr:nvGrpSpPr>
        <xdr:grpSpPr>
          <a:xfrm>
            <a:off x="24" y="425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13" name="Line 11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14" name="Line 11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15" name="Text 1574"/>
          <xdr:cNvSpPr txBox="1">
            <a:spLocks noChangeArrowheads="1"/>
          </xdr:cNvSpPr>
        </xdr:nvSpPr>
        <xdr:spPr>
          <a:xfrm>
            <a:off x="6" y="352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  <xdr:twoCellAnchor>
    <xdr:from>
      <xdr:col>1</xdr:col>
      <xdr:colOff>95250</xdr:colOff>
      <xdr:row>10</xdr:row>
      <xdr:rowOff>57150</xdr:rowOff>
    </xdr:from>
    <xdr:to>
      <xdr:col>3</xdr:col>
      <xdr:colOff>323850</xdr:colOff>
      <xdr:row>16</xdr:row>
      <xdr:rowOff>57150</xdr:rowOff>
    </xdr:to>
    <xdr:grpSp>
      <xdr:nvGrpSpPr>
        <xdr:cNvPr id="116" name="Group 117"/>
        <xdr:cNvGrpSpPr>
          <a:grpSpLocks/>
        </xdr:cNvGrpSpPr>
      </xdr:nvGrpSpPr>
      <xdr:grpSpPr>
        <a:xfrm>
          <a:off x="228600" y="2686050"/>
          <a:ext cx="1704975" cy="1771650"/>
          <a:chOff x="1459" y="211"/>
          <a:chExt cx="179" cy="186"/>
        </a:xfrm>
        <a:solidFill>
          <a:srgbClr val="FFFFFF"/>
        </a:solidFill>
      </xdr:grpSpPr>
      <xdr:sp>
        <xdr:nvSpPr>
          <xdr:cNvPr id="117" name="Line 118"/>
          <xdr:cNvSpPr>
            <a:spLocks/>
          </xdr:cNvSpPr>
        </xdr:nvSpPr>
        <xdr:spPr>
          <a:xfrm>
            <a:off x="1514" y="237"/>
            <a:ext cx="12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8" name="Line 119"/>
          <xdr:cNvSpPr>
            <a:spLocks/>
          </xdr:cNvSpPr>
        </xdr:nvSpPr>
        <xdr:spPr>
          <a:xfrm>
            <a:off x="1633" y="272"/>
            <a:ext cx="0" cy="1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9" name="Line 120"/>
          <xdr:cNvSpPr>
            <a:spLocks/>
          </xdr:cNvSpPr>
        </xdr:nvSpPr>
        <xdr:spPr>
          <a:xfrm>
            <a:off x="1519" y="272"/>
            <a:ext cx="0" cy="1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0" name="Line 121"/>
          <xdr:cNvSpPr>
            <a:spLocks/>
          </xdr:cNvSpPr>
        </xdr:nvSpPr>
        <xdr:spPr>
          <a:xfrm>
            <a:off x="1525" y="267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1" name="Line 122"/>
          <xdr:cNvSpPr>
            <a:spLocks/>
          </xdr:cNvSpPr>
        </xdr:nvSpPr>
        <xdr:spPr>
          <a:xfrm>
            <a:off x="1524" y="390"/>
            <a:ext cx="10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Line 123"/>
          <xdr:cNvSpPr>
            <a:spLocks/>
          </xdr:cNvSpPr>
        </xdr:nvSpPr>
        <xdr:spPr>
          <a:xfrm flipV="1">
            <a:off x="1519" y="267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Line 124"/>
          <xdr:cNvSpPr>
            <a:spLocks/>
          </xdr:cNvSpPr>
        </xdr:nvSpPr>
        <xdr:spPr>
          <a:xfrm flipV="1">
            <a:off x="1628" y="385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Line 125"/>
          <xdr:cNvSpPr>
            <a:spLocks/>
          </xdr:cNvSpPr>
        </xdr:nvSpPr>
        <xdr:spPr>
          <a:xfrm flipH="1" flipV="1">
            <a:off x="1628" y="267"/>
            <a:ext cx="5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5" name="Line 126"/>
          <xdr:cNvSpPr>
            <a:spLocks/>
          </xdr:cNvSpPr>
        </xdr:nvSpPr>
        <xdr:spPr>
          <a:xfrm flipH="1" flipV="1">
            <a:off x="1519" y="385"/>
            <a:ext cx="6" cy="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6" name="Line 127"/>
          <xdr:cNvSpPr>
            <a:spLocks/>
          </xdr:cNvSpPr>
        </xdr:nvSpPr>
        <xdr:spPr>
          <a:xfrm>
            <a:off x="1519" y="231"/>
            <a:ext cx="1" cy="12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7" name="Line 128"/>
          <xdr:cNvSpPr>
            <a:spLocks/>
          </xdr:cNvSpPr>
        </xdr:nvSpPr>
        <xdr:spPr>
          <a:xfrm>
            <a:off x="1633" y="230"/>
            <a:ext cx="1" cy="1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Text 1532"/>
          <xdr:cNvSpPr txBox="1">
            <a:spLocks noChangeArrowheads="1"/>
          </xdr:cNvSpPr>
        </xdr:nvSpPr>
        <xdr:spPr>
          <a:xfrm>
            <a:off x="1568" y="211"/>
            <a:ext cx="33" cy="2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A1</a:t>
            </a:r>
          </a:p>
        </xdr:txBody>
      </xdr:sp>
      <xdr:sp>
        <xdr:nvSpPr>
          <xdr:cNvPr id="129" name="Line 130"/>
          <xdr:cNvSpPr>
            <a:spLocks/>
          </xdr:cNvSpPr>
        </xdr:nvSpPr>
        <xdr:spPr>
          <a:xfrm flipV="1">
            <a:off x="1516" y="233"/>
            <a:ext cx="8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0" name="Line 131"/>
          <xdr:cNvSpPr>
            <a:spLocks/>
          </xdr:cNvSpPr>
        </xdr:nvSpPr>
        <xdr:spPr>
          <a:xfrm flipV="1">
            <a:off x="1630" y="233"/>
            <a:ext cx="7" cy="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Line 132"/>
          <xdr:cNvSpPr>
            <a:spLocks/>
          </xdr:cNvSpPr>
        </xdr:nvSpPr>
        <xdr:spPr>
          <a:xfrm>
            <a:off x="1485" y="259"/>
            <a:ext cx="0" cy="1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132" name="Group 133"/>
          <xdr:cNvGrpSpPr>
            <a:grpSpLocks/>
          </xdr:cNvGrpSpPr>
        </xdr:nvGrpSpPr>
        <xdr:grpSpPr>
          <a:xfrm>
            <a:off x="1477" y="263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33" name="Line 134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4" name="Line 135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135" name="Group 136"/>
          <xdr:cNvGrpSpPr>
            <a:grpSpLocks/>
          </xdr:cNvGrpSpPr>
        </xdr:nvGrpSpPr>
        <xdr:grpSpPr>
          <a:xfrm>
            <a:off x="1477" y="387"/>
            <a:ext cx="15" cy="7"/>
            <a:chOff x="943" y="334"/>
            <a:chExt cx="16" cy="8"/>
          </a:xfrm>
          <a:solidFill>
            <a:srgbClr val="FFFFFF"/>
          </a:solidFill>
        </xdr:grpSpPr>
        <xdr:sp>
          <xdr:nvSpPr>
            <xdr:cNvPr id="136" name="Line 137"/>
            <xdr:cNvSpPr>
              <a:spLocks/>
            </xdr:cNvSpPr>
          </xdr:nvSpPr>
          <xdr:spPr>
            <a:xfrm>
              <a:off x="943" y="33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137" name="Line 138"/>
            <xdr:cNvSpPr>
              <a:spLocks/>
            </xdr:cNvSpPr>
          </xdr:nvSpPr>
          <xdr:spPr>
            <a:xfrm flipV="1">
              <a:off x="948" y="334"/>
              <a:ext cx="8" cy="8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138" name="Text 1574"/>
          <xdr:cNvSpPr txBox="1">
            <a:spLocks noChangeArrowheads="1"/>
          </xdr:cNvSpPr>
        </xdr:nvSpPr>
        <xdr:spPr>
          <a:xfrm>
            <a:off x="1459" y="314"/>
            <a:ext cx="28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B1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0</xdr:rowOff>
    </xdr:from>
    <xdr:to>
      <xdr:col>40</xdr:col>
      <xdr:colOff>161925</xdr:colOff>
      <xdr:row>18</xdr:row>
      <xdr:rowOff>0</xdr:rowOff>
    </xdr:to>
    <xdr:sp>
      <xdr:nvSpPr>
        <xdr:cNvPr id="1" name="Rectangle 453" descr="ลายเส้นบางทแยงมุมลง"/>
        <xdr:cNvSpPr>
          <a:spLocks/>
        </xdr:cNvSpPr>
      </xdr:nvSpPr>
      <xdr:spPr>
        <a:xfrm flipV="1">
          <a:off x="9696450" y="2733675"/>
          <a:ext cx="269557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19050</xdr:rowOff>
    </xdr:from>
    <xdr:to>
      <xdr:col>40</xdr:col>
      <xdr:colOff>161925</xdr:colOff>
      <xdr:row>10</xdr:row>
      <xdr:rowOff>19050</xdr:rowOff>
    </xdr:to>
    <xdr:sp>
      <xdr:nvSpPr>
        <xdr:cNvPr id="2" name="Rectangle 452" descr="ลายเส้นบางทแยงมุมลง"/>
        <xdr:cNvSpPr>
          <a:spLocks/>
        </xdr:cNvSpPr>
      </xdr:nvSpPr>
      <xdr:spPr>
        <a:xfrm flipV="1">
          <a:off x="9696450" y="2200275"/>
          <a:ext cx="269557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19050</xdr:rowOff>
    </xdr:from>
    <xdr:to>
      <xdr:col>29</xdr:col>
      <xdr:colOff>0</xdr:colOff>
      <xdr:row>10</xdr:row>
      <xdr:rowOff>19050</xdr:rowOff>
    </xdr:to>
    <xdr:sp>
      <xdr:nvSpPr>
        <xdr:cNvPr id="3" name="Rectangle 450" descr="ลายเส้นบางทแยงมุมลง"/>
        <xdr:cNvSpPr>
          <a:spLocks/>
        </xdr:cNvSpPr>
      </xdr:nvSpPr>
      <xdr:spPr>
        <a:xfrm flipV="1">
          <a:off x="6781800" y="2200275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22</xdr:col>
      <xdr:colOff>0</xdr:colOff>
      <xdr:row>18</xdr:row>
      <xdr:rowOff>0</xdr:rowOff>
    </xdr:to>
    <xdr:sp>
      <xdr:nvSpPr>
        <xdr:cNvPr id="4" name="Rectangle 1" descr="ลายเส้นบางทแยงมุมลง"/>
        <xdr:cNvSpPr>
          <a:spLocks/>
        </xdr:cNvSpPr>
      </xdr:nvSpPr>
      <xdr:spPr>
        <a:xfrm>
          <a:off x="723900" y="2733675"/>
          <a:ext cx="593407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22</xdr:col>
      <xdr:colOff>0</xdr:colOff>
      <xdr:row>10</xdr:row>
      <xdr:rowOff>19050</xdr:rowOff>
    </xdr:to>
    <xdr:sp>
      <xdr:nvSpPr>
        <xdr:cNvPr id="5" name="Rectangle 2" descr="ลายเส้นบางทแยงมุมลง"/>
        <xdr:cNvSpPr>
          <a:spLocks/>
        </xdr:cNvSpPr>
      </xdr:nvSpPr>
      <xdr:spPr>
        <a:xfrm flipV="1">
          <a:off x="723900" y="2200275"/>
          <a:ext cx="593407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0</xdr:rowOff>
    </xdr:from>
    <xdr:to>
      <xdr:col>43</xdr:col>
      <xdr:colOff>123825</xdr:colOff>
      <xdr:row>2</xdr:row>
      <xdr:rowOff>0</xdr:rowOff>
    </xdr:to>
    <xdr:sp>
      <xdr:nvSpPr>
        <xdr:cNvPr id="6" name="Line 3"/>
        <xdr:cNvSpPr>
          <a:spLocks/>
        </xdr:cNvSpPr>
      </xdr:nvSpPr>
      <xdr:spPr>
        <a:xfrm flipV="1">
          <a:off x="600075" y="552450"/>
          <a:ext cx="1224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0</xdr:rowOff>
    </xdr:from>
    <xdr:to>
      <xdr:col>18</xdr:col>
      <xdr:colOff>276225</xdr:colOff>
      <xdr:row>4</xdr:row>
      <xdr:rowOff>0</xdr:rowOff>
    </xdr:to>
    <xdr:sp>
      <xdr:nvSpPr>
        <xdr:cNvPr id="7" name="Line 4"/>
        <xdr:cNvSpPr>
          <a:spLocks/>
        </xdr:cNvSpPr>
      </xdr:nvSpPr>
      <xdr:spPr>
        <a:xfrm>
          <a:off x="600075" y="1200150"/>
          <a:ext cx="437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200025</xdr:rowOff>
    </xdr:from>
    <xdr:to>
      <xdr:col>2</xdr:col>
      <xdr:colOff>0</xdr:colOff>
      <xdr:row>4</xdr:row>
      <xdr:rowOff>114300</xdr:rowOff>
    </xdr:to>
    <xdr:sp>
      <xdr:nvSpPr>
        <xdr:cNvPr id="8" name="Line 5"/>
        <xdr:cNvSpPr>
          <a:spLocks/>
        </xdr:cNvSpPr>
      </xdr:nvSpPr>
      <xdr:spPr>
        <a:xfrm flipH="1">
          <a:off x="704850" y="1076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85725</xdr:colOff>
      <xdr:row>3</xdr:row>
      <xdr:rowOff>0</xdr:rowOff>
    </xdr:from>
    <xdr:to>
      <xdr:col>13</xdr:col>
      <xdr:colOff>133350</xdr:colOff>
      <xdr:row>3</xdr:row>
      <xdr:rowOff>0</xdr:rowOff>
    </xdr:to>
    <xdr:sp>
      <xdr:nvSpPr>
        <xdr:cNvPr id="9" name="Line 7"/>
        <xdr:cNvSpPr>
          <a:spLocks/>
        </xdr:cNvSpPr>
      </xdr:nvSpPr>
      <xdr:spPr>
        <a:xfrm>
          <a:off x="590550" y="8763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219075</xdr:rowOff>
    </xdr:from>
    <xdr:to>
      <xdr:col>2</xdr:col>
      <xdr:colOff>0</xdr:colOff>
      <xdr:row>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704850" y="7715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219075</xdr:rowOff>
    </xdr:from>
    <xdr:to>
      <xdr:col>13</xdr:col>
      <xdr:colOff>0</xdr:colOff>
      <xdr:row>3</xdr:row>
      <xdr:rowOff>95250</xdr:rowOff>
    </xdr:to>
    <xdr:sp>
      <xdr:nvSpPr>
        <xdr:cNvPr id="11" name="Line 9"/>
        <xdr:cNvSpPr>
          <a:spLocks/>
        </xdr:cNvSpPr>
      </xdr:nvSpPr>
      <xdr:spPr>
        <a:xfrm>
          <a:off x="3438525" y="771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371475</xdr:rowOff>
    </xdr:from>
    <xdr:to>
      <xdr:col>2</xdr:col>
      <xdr:colOff>0</xdr:colOff>
      <xdr:row>2</xdr:row>
      <xdr:rowOff>142875</xdr:rowOff>
    </xdr:to>
    <xdr:sp>
      <xdr:nvSpPr>
        <xdr:cNvPr id="12" name="Line 10"/>
        <xdr:cNvSpPr>
          <a:spLocks/>
        </xdr:cNvSpPr>
      </xdr:nvSpPr>
      <xdr:spPr>
        <a:xfrm>
          <a:off x="704850" y="419100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304800</xdr:colOff>
      <xdr:row>4</xdr:row>
      <xdr:rowOff>0</xdr:rowOff>
    </xdr:from>
    <xdr:to>
      <xdr:col>43</xdr:col>
      <xdr:colOff>114300</xdr:colOff>
      <xdr:row>4</xdr:row>
      <xdr:rowOff>0</xdr:rowOff>
    </xdr:to>
    <xdr:sp>
      <xdr:nvSpPr>
        <xdr:cNvPr id="13" name="Line 11"/>
        <xdr:cNvSpPr>
          <a:spLocks/>
        </xdr:cNvSpPr>
      </xdr:nvSpPr>
      <xdr:spPr>
        <a:xfrm>
          <a:off x="10296525" y="120015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247650</xdr:colOff>
      <xdr:row>3</xdr:row>
      <xdr:rowOff>219075</xdr:rowOff>
    </xdr:from>
    <xdr:to>
      <xdr:col>36</xdr:col>
      <xdr:colOff>247650</xdr:colOff>
      <xdr:row>4</xdr:row>
      <xdr:rowOff>114300</xdr:rowOff>
    </xdr:to>
    <xdr:sp>
      <xdr:nvSpPr>
        <xdr:cNvPr id="14" name="Line 12"/>
        <xdr:cNvSpPr>
          <a:spLocks/>
        </xdr:cNvSpPr>
      </xdr:nvSpPr>
      <xdr:spPr>
        <a:xfrm>
          <a:off x="11572875" y="1095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0</xdr:colOff>
      <xdr:row>3</xdr:row>
      <xdr:rowOff>228600</xdr:rowOff>
    </xdr:from>
    <xdr:to>
      <xdr:col>43</xdr:col>
      <xdr:colOff>0</xdr:colOff>
      <xdr:row>4</xdr:row>
      <xdr:rowOff>95250</xdr:rowOff>
    </xdr:to>
    <xdr:sp>
      <xdr:nvSpPr>
        <xdr:cNvPr id="15" name="Line 13"/>
        <xdr:cNvSpPr>
          <a:spLocks/>
        </xdr:cNvSpPr>
      </xdr:nvSpPr>
      <xdr:spPr>
        <a:xfrm>
          <a:off x="12725400" y="11049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38100</xdr:colOff>
      <xdr:row>3</xdr:row>
      <xdr:rowOff>0</xdr:rowOff>
    </xdr:from>
    <xdr:to>
      <xdr:col>43</xdr:col>
      <xdr:colOff>114300</xdr:colOff>
      <xdr:row>3</xdr:row>
      <xdr:rowOff>0</xdr:rowOff>
    </xdr:to>
    <xdr:sp>
      <xdr:nvSpPr>
        <xdr:cNvPr id="16" name="Line 14"/>
        <xdr:cNvSpPr>
          <a:spLocks/>
        </xdr:cNvSpPr>
      </xdr:nvSpPr>
      <xdr:spPr>
        <a:xfrm>
          <a:off x="9839325" y="87630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0</xdr:colOff>
      <xdr:row>2</xdr:row>
      <xdr:rowOff>209550</xdr:rowOff>
    </xdr:from>
    <xdr:to>
      <xdr:col>43</xdr:col>
      <xdr:colOff>0</xdr:colOff>
      <xdr:row>3</xdr:row>
      <xdr:rowOff>114300</xdr:rowOff>
    </xdr:to>
    <xdr:sp>
      <xdr:nvSpPr>
        <xdr:cNvPr id="17" name="Line 15"/>
        <xdr:cNvSpPr>
          <a:spLocks/>
        </xdr:cNvSpPr>
      </xdr:nvSpPr>
      <xdr:spPr>
        <a:xfrm>
          <a:off x="12725400" y="7620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0</xdr:colOff>
      <xdr:row>2</xdr:row>
      <xdr:rowOff>219075</xdr:rowOff>
    </xdr:from>
    <xdr:to>
      <xdr:col>32</xdr:col>
      <xdr:colOff>0</xdr:colOff>
      <xdr:row>3</xdr:row>
      <xdr:rowOff>123825</xdr:rowOff>
    </xdr:to>
    <xdr:sp>
      <xdr:nvSpPr>
        <xdr:cNvPr id="18" name="Line 16"/>
        <xdr:cNvSpPr>
          <a:spLocks/>
        </xdr:cNvSpPr>
      </xdr:nvSpPr>
      <xdr:spPr>
        <a:xfrm>
          <a:off x="9991725" y="7715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0</xdr:rowOff>
    </xdr:from>
    <xdr:to>
      <xdr:col>43</xdr:col>
      <xdr:colOff>104775</xdr:colOff>
      <xdr:row>23</xdr:row>
      <xdr:rowOff>0</xdr:rowOff>
    </xdr:to>
    <xdr:sp>
      <xdr:nvSpPr>
        <xdr:cNvPr id="19" name="Line 17"/>
        <xdr:cNvSpPr>
          <a:spLocks/>
        </xdr:cNvSpPr>
      </xdr:nvSpPr>
      <xdr:spPr>
        <a:xfrm>
          <a:off x="571500" y="3495675"/>
          <a:ext cx="12258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190500</xdr:rowOff>
    </xdr:from>
    <xdr:to>
      <xdr:col>2</xdr:col>
      <xdr:colOff>0</xdr:colOff>
      <xdr:row>23</xdr:row>
      <xdr:rowOff>85725</xdr:rowOff>
    </xdr:to>
    <xdr:sp>
      <xdr:nvSpPr>
        <xdr:cNvPr id="20" name="Line 18"/>
        <xdr:cNvSpPr>
          <a:spLocks/>
        </xdr:cNvSpPr>
      </xdr:nvSpPr>
      <xdr:spPr>
        <a:xfrm>
          <a:off x="704850" y="3409950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152400</xdr:colOff>
      <xdr:row>44</xdr:row>
      <xdr:rowOff>257175</xdr:rowOff>
    </xdr:from>
    <xdr:to>
      <xdr:col>19</xdr:col>
      <xdr:colOff>228600</xdr:colOff>
      <xdr:row>51</xdr:row>
      <xdr:rowOff>238125</xdr:rowOff>
    </xdr:to>
    <xdr:sp>
      <xdr:nvSpPr>
        <xdr:cNvPr id="21" name="Text 149"/>
        <xdr:cNvSpPr txBox="1">
          <a:spLocks noChangeArrowheads="1"/>
        </xdr:cNvSpPr>
      </xdr:nvSpPr>
      <xdr:spPr>
        <a:xfrm>
          <a:off x="152400" y="8429625"/>
          <a:ext cx="5334000" cy="1847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</a:t>
          </a:r>
          <a:r>
            <a:rPr lang="en-US" cap="none" sz="14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NOTES.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1.  ALL DIMENSIONS ARE IN CENTIMETERS UNLESS OTHERWISE SPECIFIED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2.  CEMENT SHALL BE PORTLAND CEMENT TYPE III 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3.  CONCRETE CYLINDRICAL COMPRESSIVE STRENGTH SHALL NOT BE LESS THAN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280 KSC. AND 400 KSC. AT TRANSFER AND WORKING STAGE RESPECTIVELY(4003)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4.  PRESTRESSING REINFORCEMENT SHALL CONFORM TO THAI INDUSTRIAL STANDARD      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</a:t>
          </a:r>
        </a:p>
      </xdr:txBody>
    </xdr:sp>
    <xdr:clientData/>
  </xdr:twoCellAnchor>
  <xdr:twoCellAnchor>
    <xdr:from>
      <xdr:col>19</xdr:col>
      <xdr:colOff>85725</xdr:colOff>
      <xdr:row>24</xdr:row>
      <xdr:rowOff>133350</xdr:rowOff>
    </xdr:from>
    <xdr:to>
      <xdr:col>25</xdr:col>
      <xdr:colOff>495300</xdr:colOff>
      <xdr:row>26</xdr:row>
      <xdr:rowOff>0</xdr:rowOff>
    </xdr:to>
    <xdr:sp>
      <xdr:nvSpPr>
        <xdr:cNvPr id="22" name="Text 156"/>
        <xdr:cNvSpPr txBox="1">
          <a:spLocks noChangeArrowheads="1"/>
        </xdr:cNvSpPr>
      </xdr:nvSpPr>
      <xdr:spPr>
        <a:xfrm>
          <a:off x="5343525" y="3838575"/>
          <a:ext cx="276225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LONGITUDINAL  SECTION</a:t>
          </a:r>
        </a:p>
      </xdr:txBody>
    </xdr:sp>
    <xdr:clientData/>
  </xdr:twoCellAnchor>
  <xdr:twoCellAnchor>
    <xdr:from>
      <xdr:col>29</xdr:col>
      <xdr:colOff>0</xdr:colOff>
      <xdr:row>6</xdr:row>
      <xdr:rowOff>114300</xdr:rowOff>
    </xdr:from>
    <xdr:to>
      <xdr:col>29</xdr:col>
      <xdr:colOff>0</xdr:colOff>
      <xdr:row>12</xdr:row>
      <xdr:rowOff>76200</xdr:rowOff>
    </xdr:to>
    <xdr:sp>
      <xdr:nvSpPr>
        <xdr:cNvPr id="23" name="Line 21"/>
        <xdr:cNvSpPr>
          <a:spLocks/>
        </xdr:cNvSpPr>
      </xdr:nvSpPr>
      <xdr:spPr>
        <a:xfrm>
          <a:off x="9572625" y="1857375"/>
          <a:ext cx="0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114300</xdr:rowOff>
    </xdr:from>
    <xdr:to>
      <xdr:col>30</xdr:col>
      <xdr:colOff>0</xdr:colOff>
      <xdr:row>13</xdr:row>
      <xdr:rowOff>0</xdr:rowOff>
    </xdr:to>
    <xdr:sp>
      <xdr:nvSpPr>
        <xdr:cNvPr id="24" name="Line 22"/>
        <xdr:cNvSpPr>
          <a:spLocks/>
        </xdr:cNvSpPr>
      </xdr:nvSpPr>
      <xdr:spPr>
        <a:xfrm>
          <a:off x="9696450" y="1857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0</xdr:rowOff>
    </xdr:from>
    <xdr:to>
      <xdr:col>29</xdr:col>
      <xdr:colOff>0</xdr:colOff>
      <xdr:row>21</xdr:row>
      <xdr:rowOff>57150</xdr:rowOff>
    </xdr:to>
    <xdr:sp>
      <xdr:nvSpPr>
        <xdr:cNvPr id="25" name="Line 23"/>
        <xdr:cNvSpPr>
          <a:spLocks/>
        </xdr:cNvSpPr>
      </xdr:nvSpPr>
      <xdr:spPr>
        <a:xfrm>
          <a:off x="9572625" y="2543175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0</xdr:rowOff>
    </xdr:from>
    <xdr:to>
      <xdr:col>30</xdr:col>
      <xdr:colOff>0</xdr:colOff>
      <xdr:row>21</xdr:row>
      <xdr:rowOff>66675</xdr:rowOff>
    </xdr:to>
    <xdr:sp>
      <xdr:nvSpPr>
        <xdr:cNvPr id="26" name="Line 24"/>
        <xdr:cNvSpPr>
          <a:spLocks/>
        </xdr:cNvSpPr>
      </xdr:nvSpPr>
      <xdr:spPr>
        <a:xfrm>
          <a:off x="9696450" y="2543175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276225</xdr:colOff>
      <xdr:row>13</xdr:row>
      <xdr:rowOff>133350</xdr:rowOff>
    </xdr:from>
    <xdr:to>
      <xdr:col>29</xdr:col>
      <xdr:colOff>0</xdr:colOff>
      <xdr:row>13</xdr:row>
      <xdr:rowOff>152400</xdr:rowOff>
    </xdr:to>
    <xdr:sp>
      <xdr:nvSpPr>
        <xdr:cNvPr id="27" name="Arc 25"/>
        <xdr:cNvSpPr>
          <a:spLocks/>
        </xdr:cNvSpPr>
      </xdr:nvSpPr>
      <xdr:spPr>
        <a:xfrm>
          <a:off x="9572625" y="2524125"/>
          <a:ext cx="0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180975</xdr:rowOff>
    </xdr:from>
    <xdr:to>
      <xdr:col>43</xdr:col>
      <xdr:colOff>0</xdr:colOff>
      <xdr:row>23</xdr:row>
      <xdr:rowOff>114300</xdr:rowOff>
    </xdr:to>
    <xdr:sp>
      <xdr:nvSpPr>
        <xdr:cNvPr id="28" name="Line 26"/>
        <xdr:cNvSpPr>
          <a:spLocks/>
        </xdr:cNvSpPr>
      </xdr:nvSpPr>
      <xdr:spPr>
        <a:xfrm>
          <a:off x="12725400" y="34004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247650</xdr:colOff>
      <xdr:row>22</xdr:row>
      <xdr:rowOff>190500</xdr:rowOff>
    </xdr:from>
    <xdr:to>
      <xdr:col>36</xdr:col>
      <xdr:colOff>247650</xdr:colOff>
      <xdr:row>23</xdr:row>
      <xdr:rowOff>104775</xdr:rowOff>
    </xdr:to>
    <xdr:sp>
      <xdr:nvSpPr>
        <xdr:cNvPr id="29" name="Line 27"/>
        <xdr:cNvSpPr>
          <a:spLocks/>
        </xdr:cNvSpPr>
      </xdr:nvSpPr>
      <xdr:spPr>
        <a:xfrm>
          <a:off x="11572875" y="340995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114300</xdr:rowOff>
    </xdr:from>
    <xdr:to>
      <xdr:col>22</xdr:col>
      <xdr:colOff>0</xdr:colOff>
      <xdr:row>13</xdr:row>
      <xdr:rowOff>0</xdr:rowOff>
    </xdr:to>
    <xdr:sp>
      <xdr:nvSpPr>
        <xdr:cNvPr id="30" name="Line 29"/>
        <xdr:cNvSpPr>
          <a:spLocks/>
        </xdr:cNvSpPr>
      </xdr:nvSpPr>
      <xdr:spPr>
        <a:xfrm>
          <a:off x="6657975" y="1857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114300</xdr:rowOff>
    </xdr:from>
    <xdr:to>
      <xdr:col>23</xdr:col>
      <xdr:colOff>0</xdr:colOff>
      <xdr:row>13</xdr:row>
      <xdr:rowOff>0</xdr:rowOff>
    </xdr:to>
    <xdr:sp>
      <xdr:nvSpPr>
        <xdr:cNvPr id="31" name="Line 30"/>
        <xdr:cNvSpPr>
          <a:spLocks/>
        </xdr:cNvSpPr>
      </xdr:nvSpPr>
      <xdr:spPr>
        <a:xfrm>
          <a:off x="6781800" y="1857375"/>
          <a:ext cx="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0</xdr:rowOff>
    </xdr:from>
    <xdr:to>
      <xdr:col>22</xdr:col>
      <xdr:colOff>0</xdr:colOff>
      <xdr:row>21</xdr:row>
      <xdr:rowOff>47625</xdr:rowOff>
    </xdr:to>
    <xdr:sp>
      <xdr:nvSpPr>
        <xdr:cNvPr id="32" name="Line 31"/>
        <xdr:cNvSpPr>
          <a:spLocks/>
        </xdr:cNvSpPr>
      </xdr:nvSpPr>
      <xdr:spPr>
        <a:xfrm>
          <a:off x="6657975" y="25431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23</xdr:col>
      <xdr:colOff>0</xdr:colOff>
      <xdr:row>21</xdr:row>
      <xdr:rowOff>47625</xdr:rowOff>
    </xdr:to>
    <xdr:sp>
      <xdr:nvSpPr>
        <xdr:cNvPr id="33" name="Line 32"/>
        <xdr:cNvSpPr>
          <a:spLocks/>
        </xdr:cNvSpPr>
      </xdr:nvSpPr>
      <xdr:spPr>
        <a:xfrm>
          <a:off x="6781800" y="25431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276225</xdr:colOff>
      <xdr:row>13</xdr:row>
      <xdr:rowOff>142875</xdr:rowOff>
    </xdr:from>
    <xdr:to>
      <xdr:col>21</xdr:col>
      <xdr:colOff>266700</xdr:colOff>
      <xdr:row>13</xdr:row>
      <xdr:rowOff>152400</xdr:rowOff>
    </xdr:to>
    <xdr:sp>
      <xdr:nvSpPr>
        <xdr:cNvPr id="34" name="Arc 33"/>
        <xdr:cNvSpPr>
          <a:spLocks/>
        </xdr:cNvSpPr>
      </xdr:nvSpPr>
      <xdr:spPr>
        <a:xfrm>
          <a:off x="6657975" y="2533650"/>
          <a:ext cx="0" cy="95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409575</xdr:colOff>
      <xdr:row>42</xdr:row>
      <xdr:rowOff>247650</xdr:rowOff>
    </xdr:from>
    <xdr:to>
      <xdr:col>28</xdr:col>
      <xdr:colOff>19050</xdr:colOff>
      <xdr:row>44</xdr:row>
      <xdr:rowOff>180975</xdr:rowOff>
    </xdr:to>
    <xdr:sp>
      <xdr:nvSpPr>
        <xdr:cNvPr id="35" name="Text 272"/>
        <xdr:cNvSpPr txBox="1">
          <a:spLocks noChangeArrowheads="1"/>
        </xdr:cNvSpPr>
      </xdr:nvSpPr>
      <xdr:spPr>
        <a:xfrm>
          <a:off x="5667375" y="7886700"/>
          <a:ext cx="364807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77724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I. 40  (1232)        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เสาเข็มหลัก</a:t>
          </a:r>
          <a:r>
            <a:rPr lang="en-US" cap="none" sz="2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</a:t>
          </a:r>
        </a:p>
      </xdr:txBody>
    </xdr:sp>
    <xdr:clientData/>
  </xdr:twoCellAnchor>
  <xdr:twoCellAnchor>
    <xdr:from>
      <xdr:col>1</xdr:col>
      <xdr:colOff>161925</xdr:colOff>
      <xdr:row>2</xdr:row>
      <xdr:rowOff>285750</xdr:rowOff>
    </xdr:from>
    <xdr:to>
      <xdr:col>2</xdr:col>
      <xdr:colOff>28575</xdr:colOff>
      <xdr:row>3</xdr:row>
      <xdr:rowOff>28575</xdr:rowOff>
    </xdr:to>
    <xdr:sp>
      <xdr:nvSpPr>
        <xdr:cNvPr id="36" name="Oval 35"/>
        <xdr:cNvSpPr>
          <a:spLocks/>
        </xdr:cNvSpPr>
      </xdr:nvSpPr>
      <xdr:spPr>
        <a:xfrm>
          <a:off x="666750" y="8382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161925</xdr:colOff>
      <xdr:row>3</xdr:row>
      <xdr:rowOff>285750</xdr:rowOff>
    </xdr:from>
    <xdr:to>
      <xdr:col>2</xdr:col>
      <xdr:colOff>28575</xdr:colOff>
      <xdr:row>4</xdr:row>
      <xdr:rowOff>28575</xdr:rowOff>
    </xdr:to>
    <xdr:sp>
      <xdr:nvSpPr>
        <xdr:cNvPr id="37" name="Oval 36"/>
        <xdr:cNvSpPr>
          <a:spLocks/>
        </xdr:cNvSpPr>
      </xdr:nvSpPr>
      <xdr:spPr>
        <a:xfrm>
          <a:off x="666750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304800</xdr:colOff>
      <xdr:row>2</xdr:row>
      <xdr:rowOff>285750</xdr:rowOff>
    </xdr:from>
    <xdr:to>
      <xdr:col>13</xdr:col>
      <xdr:colOff>38100</xdr:colOff>
      <xdr:row>3</xdr:row>
      <xdr:rowOff>28575</xdr:rowOff>
    </xdr:to>
    <xdr:sp>
      <xdr:nvSpPr>
        <xdr:cNvPr id="38" name="Oval 37"/>
        <xdr:cNvSpPr>
          <a:spLocks/>
        </xdr:cNvSpPr>
      </xdr:nvSpPr>
      <xdr:spPr>
        <a:xfrm>
          <a:off x="3409950" y="8382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209550</xdr:colOff>
      <xdr:row>3</xdr:row>
      <xdr:rowOff>285750</xdr:rowOff>
    </xdr:from>
    <xdr:to>
      <xdr:col>36</xdr:col>
      <xdr:colOff>276225</xdr:colOff>
      <xdr:row>4</xdr:row>
      <xdr:rowOff>28575</xdr:rowOff>
    </xdr:to>
    <xdr:sp>
      <xdr:nvSpPr>
        <xdr:cNvPr id="39" name="Oval 38"/>
        <xdr:cNvSpPr>
          <a:spLocks/>
        </xdr:cNvSpPr>
      </xdr:nvSpPr>
      <xdr:spPr>
        <a:xfrm>
          <a:off x="11534775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171450</xdr:colOff>
      <xdr:row>22</xdr:row>
      <xdr:rowOff>238125</xdr:rowOff>
    </xdr:from>
    <xdr:to>
      <xdr:col>2</xdr:col>
      <xdr:colOff>38100</xdr:colOff>
      <xdr:row>23</xdr:row>
      <xdr:rowOff>28575</xdr:rowOff>
    </xdr:to>
    <xdr:sp>
      <xdr:nvSpPr>
        <xdr:cNvPr id="40" name="Oval 39"/>
        <xdr:cNvSpPr>
          <a:spLocks/>
        </xdr:cNvSpPr>
      </xdr:nvSpPr>
      <xdr:spPr>
        <a:xfrm>
          <a:off x="676275" y="345757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0</xdr:colOff>
      <xdr:row>1</xdr:row>
      <xdr:rowOff>400050</xdr:rowOff>
    </xdr:from>
    <xdr:to>
      <xdr:col>43</xdr:col>
      <xdr:colOff>0</xdr:colOff>
      <xdr:row>2</xdr:row>
      <xdr:rowOff>114300</xdr:rowOff>
    </xdr:to>
    <xdr:sp>
      <xdr:nvSpPr>
        <xdr:cNvPr id="41" name="Line 40"/>
        <xdr:cNvSpPr>
          <a:spLocks/>
        </xdr:cNvSpPr>
      </xdr:nvSpPr>
      <xdr:spPr>
        <a:xfrm>
          <a:off x="12725400" y="447675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47625</xdr:colOff>
      <xdr:row>7</xdr:row>
      <xdr:rowOff>85725</xdr:rowOff>
    </xdr:from>
    <xdr:to>
      <xdr:col>2</xdr:col>
      <xdr:colOff>47625</xdr:colOff>
      <xdr:row>19</xdr:row>
      <xdr:rowOff>9525</xdr:rowOff>
    </xdr:to>
    <xdr:sp>
      <xdr:nvSpPr>
        <xdr:cNvPr id="42" name="Line 41"/>
        <xdr:cNvSpPr>
          <a:spLocks/>
        </xdr:cNvSpPr>
      </xdr:nvSpPr>
      <xdr:spPr>
        <a:xfrm>
          <a:off x="7524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85725</xdr:rowOff>
    </xdr:from>
    <xdr:to>
      <xdr:col>3</xdr:col>
      <xdr:colOff>9525</xdr:colOff>
      <xdr:row>19</xdr:row>
      <xdr:rowOff>9525</xdr:rowOff>
    </xdr:to>
    <xdr:sp>
      <xdr:nvSpPr>
        <xdr:cNvPr id="43" name="Line 42"/>
        <xdr:cNvSpPr>
          <a:spLocks/>
        </xdr:cNvSpPr>
      </xdr:nvSpPr>
      <xdr:spPr>
        <a:xfrm>
          <a:off x="8286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0</xdr:colOff>
      <xdr:row>7</xdr:row>
      <xdr:rowOff>85725</xdr:rowOff>
    </xdr:from>
    <xdr:to>
      <xdr:col>26</xdr:col>
      <xdr:colOff>0</xdr:colOff>
      <xdr:row>19</xdr:row>
      <xdr:rowOff>19050</xdr:rowOff>
    </xdr:to>
    <xdr:sp>
      <xdr:nvSpPr>
        <xdr:cNvPr id="44" name="Line 43"/>
        <xdr:cNvSpPr>
          <a:spLocks/>
        </xdr:cNvSpPr>
      </xdr:nvSpPr>
      <xdr:spPr>
        <a:xfrm>
          <a:off x="817245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7</xdr:row>
      <xdr:rowOff>85725</xdr:rowOff>
    </xdr:from>
    <xdr:to>
      <xdr:col>27</xdr:col>
      <xdr:colOff>0</xdr:colOff>
      <xdr:row>19</xdr:row>
      <xdr:rowOff>9525</xdr:rowOff>
    </xdr:to>
    <xdr:sp>
      <xdr:nvSpPr>
        <xdr:cNvPr id="45" name="Line 44"/>
        <xdr:cNvSpPr>
          <a:spLocks/>
        </xdr:cNvSpPr>
      </xdr:nvSpPr>
      <xdr:spPr>
        <a:xfrm>
          <a:off x="87344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0</xdr:colOff>
      <xdr:row>7</xdr:row>
      <xdr:rowOff>85725</xdr:rowOff>
    </xdr:from>
    <xdr:to>
      <xdr:col>28</xdr:col>
      <xdr:colOff>0</xdr:colOff>
      <xdr:row>19</xdr:row>
      <xdr:rowOff>9525</xdr:rowOff>
    </xdr:to>
    <xdr:sp>
      <xdr:nvSpPr>
        <xdr:cNvPr id="46" name="Line 45"/>
        <xdr:cNvSpPr>
          <a:spLocks/>
        </xdr:cNvSpPr>
      </xdr:nvSpPr>
      <xdr:spPr>
        <a:xfrm>
          <a:off x="929640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200025</xdr:colOff>
      <xdr:row>4</xdr:row>
      <xdr:rowOff>114300</xdr:rowOff>
    </xdr:from>
    <xdr:to>
      <xdr:col>24</xdr:col>
      <xdr:colOff>200025</xdr:colOff>
      <xdr:row>19</xdr:row>
      <xdr:rowOff>38100</xdr:rowOff>
    </xdr:to>
    <xdr:sp>
      <xdr:nvSpPr>
        <xdr:cNvPr id="47" name="Line 46"/>
        <xdr:cNvSpPr>
          <a:spLocks/>
        </xdr:cNvSpPr>
      </xdr:nvSpPr>
      <xdr:spPr>
        <a:xfrm>
          <a:off x="7248525" y="1314450"/>
          <a:ext cx="0" cy="1504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200025</xdr:colOff>
      <xdr:row>4</xdr:row>
      <xdr:rowOff>114300</xdr:rowOff>
    </xdr:from>
    <xdr:to>
      <xdr:col>27</xdr:col>
      <xdr:colOff>133350</xdr:colOff>
      <xdr:row>4</xdr:row>
      <xdr:rowOff>114300</xdr:rowOff>
    </xdr:to>
    <xdr:sp>
      <xdr:nvSpPr>
        <xdr:cNvPr id="48" name="Line 47"/>
        <xdr:cNvSpPr>
          <a:spLocks/>
        </xdr:cNvSpPr>
      </xdr:nvSpPr>
      <xdr:spPr>
        <a:xfrm flipV="1">
          <a:off x="7248525" y="1314450"/>
          <a:ext cx="1619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438150</xdr:colOff>
      <xdr:row>4</xdr:row>
      <xdr:rowOff>114300</xdr:rowOff>
    </xdr:from>
    <xdr:to>
      <xdr:col>24</xdr:col>
      <xdr:colOff>438150</xdr:colOff>
      <xdr:row>10</xdr:row>
      <xdr:rowOff>0</xdr:rowOff>
    </xdr:to>
    <xdr:sp>
      <xdr:nvSpPr>
        <xdr:cNvPr id="49" name="Line 48"/>
        <xdr:cNvSpPr>
          <a:spLocks/>
        </xdr:cNvSpPr>
      </xdr:nvSpPr>
      <xdr:spPr>
        <a:xfrm>
          <a:off x="7486650" y="1314450"/>
          <a:ext cx="0" cy="895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200025</xdr:colOff>
      <xdr:row>17</xdr:row>
      <xdr:rowOff>9525</xdr:rowOff>
    </xdr:from>
    <xdr:to>
      <xdr:col>24</xdr:col>
      <xdr:colOff>228600</xdr:colOff>
      <xdr:row>19</xdr:row>
      <xdr:rowOff>28575</xdr:rowOff>
    </xdr:to>
    <xdr:sp>
      <xdr:nvSpPr>
        <xdr:cNvPr id="50" name="Arc 49"/>
        <xdr:cNvSpPr>
          <a:spLocks/>
        </xdr:cNvSpPr>
      </xdr:nvSpPr>
      <xdr:spPr>
        <a:xfrm flipV="1">
          <a:off x="7248525" y="2743200"/>
          <a:ext cx="285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228600</xdr:colOff>
      <xdr:row>3</xdr:row>
      <xdr:rowOff>123825</xdr:rowOff>
    </xdr:from>
    <xdr:to>
      <xdr:col>27</xdr:col>
      <xdr:colOff>428625</xdr:colOff>
      <xdr:row>4</xdr:row>
      <xdr:rowOff>76200</xdr:rowOff>
    </xdr:to>
    <xdr:sp>
      <xdr:nvSpPr>
        <xdr:cNvPr id="51" name="Text 875"/>
        <xdr:cNvSpPr txBox="1">
          <a:spLocks noChangeArrowheads="1"/>
        </xdr:cNvSpPr>
      </xdr:nvSpPr>
      <xdr:spPr>
        <a:xfrm>
          <a:off x="7277100" y="1000125"/>
          <a:ext cx="18859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PC.WIRE OR STRAND</a:t>
          </a:r>
        </a:p>
      </xdr:txBody>
    </xdr:sp>
    <xdr:clientData/>
  </xdr:twoCellAnchor>
  <xdr:twoCellAnchor>
    <xdr:from>
      <xdr:col>17</xdr:col>
      <xdr:colOff>133350</xdr:colOff>
      <xdr:row>47</xdr:row>
      <xdr:rowOff>0</xdr:rowOff>
    </xdr:from>
    <xdr:to>
      <xdr:col>17</xdr:col>
      <xdr:colOff>133350</xdr:colOff>
      <xdr:row>47</xdr:row>
      <xdr:rowOff>0</xdr:rowOff>
    </xdr:to>
    <xdr:sp>
      <xdr:nvSpPr>
        <xdr:cNvPr id="52" name="Oval 51"/>
        <xdr:cNvSpPr>
          <a:spLocks/>
        </xdr:cNvSpPr>
      </xdr:nvSpPr>
      <xdr:spPr>
        <a:xfrm>
          <a:off x="4267200" y="89725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54</xdr:col>
      <xdr:colOff>495300</xdr:colOff>
      <xdr:row>52</xdr:row>
      <xdr:rowOff>0</xdr:rowOff>
    </xdr:from>
    <xdr:to>
      <xdr:col>55</xdr:col>
      <xdr:colOff>209550</xdr:colOff>
      <xdr:row>52</xdr:row>
      <xdr:rowOff>0</xdr:rowOff>
    </xdr:to>
    <xdr:sp>
      <xdr:nvSpPr>
        <xdr:cNvPr id="53" name="Text 1062"/>
        <xdr:cNvSpPr txBox="1">
          <a:spLocks noChangeArrowheads="1"/>
        </xdr:cNvSpPr>
      </xdr:nvSpPr>
      <xdr:spPr>
        <a:xfrm>
          <a:off x="17783175" y="10306050"/>
          <a:ext cx="257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CHK.</a:t>
          </a:r>
        </a:p>
      </xdr:txBody>
    </xdr:sp>
    <xdr:clientData/>
  </xdr:twoCellAnchor>
  <xdr:twoCellAnchor>
    <xdr:from>
      <xdr:col>54</xdr:col>
      <xdr:colOff>504825</xdr:colOff>
      <xdr:row>52</xdr:row>
      <xdr:rowOff>0</xdr:rowOff>
    </xdr:from>
    <xdr:to>
      <xdr:col>55</xdr:col>
      <xdr:colOff>238125</xdr:colOff>
      <xdr:row>52</xdr:row>
      <xdr:rowOff>0</xdr:rowOff>
    </xdr:to>
    <xdr:sp>
      <xdr:nvSpPr>
        <xdr:cNvPr id="54" name="Text 1063"/>
        <xdr:cNvSpPr txBox="1">
          <a:spLocks noChangeArrowheads="1"/>
        </xdr:cNvSpPr>
      </xdr:nvSpPr>
      <xdr:spPr>
        <a:xfrm>
          <a:off x="17792700" y="10306050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DWN.</a:t>
          </a:r>
        </a:p>
      </xdr:txBody>
    </xdr:sp>
    <xdr:clientData/>
  </xdr:twoCellAnchor>
  <xdr:twoCellAnchor>
    <xdr:from>
      <xdr:col>56</xdr:col>
      <xdr:colOff>228600</xdr:colOff>
      <xdr:row>52</xdr:row>
      <xdr:rowOff>0</xdr:rowOff>
    </xdr:from>
    <xdr:to>
      <xdr:col>56</xdr:col>
      <xdr:colOff>466725</xdr:colOff>
      <xdr:row>52</xdr:row>
      <xdr:rowOff>0</xdr:rowOff>
    </xdr:to>
    <xdr:sp>
      <xdr:nvSpPr>
        <xdr:cNvPr id="55" name="Text 1066"/>
        <xdr:cNvSpPr txBox="1">
          <a:spLocks noChangeArrowheads="1"/>
        </xdr:cNvSpPr>
      </xdr:nvSpPr>
      <xdr:spPr>
        <a:xfrm>
          <a:off x="18602325" y="10306050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SCALE.</a:t>
          </a:r>
        </a:p>
      </xdr:txBody>
    </xdr:sp>
    <xdr:clientData/>
  </xdr:twoCellAnchor>
  <xdr:twoCellAnchor>
    <xdr:from>
      <xdr:col>3</xdr:col>
      <xdr:colOff>171450</xdr:colOff>
      <xdr:row>7</xdr:row>
      <xdr:rowOff>85725</xdr:rowOff>
    </xdr:from>
    <xdr:to>
      <xdr:col>3</xdr:col>
      <xdr:colOff>171450</xdr:colOff>
      <xdr:row>19</xdr:row>
      <xdr:rowOff>9525</xdr:rowOff>
    </xdr:to>
    <xdr:sp>
      <xdr:nvSpPr>
        <xdr:cNvPr id="56" name="Line 55"/>
        <xdr:cNvSpPr>
          <a:spLocks/>
        </xdr:cNvSpPr>
      </xdr:nvSpPr>
      <xdr:spPr>
        <a:xfrm>
          <a:off x="99060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85725</xdr:rowOff>
    </xdr:from>
    <xdr:to>
      <xdr:col>6</xdr:col>
      <xdr:colOff>19050</xdr:colOff>
      <xdr:row>19</xdr:row>
      <xdr:rowOff>0</xdr:rowOff>
    </xdr:to>
    <xdr:sp>
      <xdr:nvSpPr>
        <xdr:cNvPr id="57" name="Line 56"/>
        <xdr:cNvSpPr>
          <a:spLocks/>
        </xdr:cNvSpPr>
      </xdr:nvSpPr>
      <xdr:spPr>
        <a:xfrm>
          <a:off x="1409700" y="21526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19</xdr:row>
      <xdr:rowOff>9525</xdr:rowOff>
    </xdr:to>
    <xdr:sp>
      <xdr:nvSpPr>
        <xdr:cNvPr id="58" name="Line 57"/>
        <xdr:cNvSpPr>
          <a:spLocks/>
        </xdr:cNvSpPr>
      </xdr:nvSpPr>
      <xdr:spPr>
        <a:xfrm>
          <a:off x="158115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171450</xdr:colOff>
      <xdr:row>23</xdr:row>
      <xdr:rowOff>38100</xdr:rowOff>
    </xdr:from>
    <xdr:to>
      <xdr:col>42</xdr:col>
      <xdr:colOff>47625</xdr:colOff>
      <xdr:row>24</xdr:row>
      <xdr:rowOff>142875</xdr:rowOff>
    </xdr:to>
    <xdr:sp>
      <xdr:nvSpPr>
        <xdr:cNvPr id="59" name="Text 1378"/>
        <xdr:cNvSpPr txBox="1">
          <a:spLocks noChangeArrowheads="1"/>
        </xdr:cNvSpPr>
      </xdr:nvSpPr>
      <xdr:spPr>
        <a:xfrm>
          <a:off x="11830050" y="35337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10</xdr:col>
      <xdr:colOff>0</xdr:colOff>
      <xdr:row>23</xdr:row>
      <xdr:rowOff>28575</xdr:rowOff>
    </xdr:from>
    <xdr:to>
      <xdr:col>10</xdr:col>
      <xdr:colOff>0</xdr:colOff>
      <xdr:row>24</xdr:row>
      <xdr:rowOff>133350</xdr:rowOff>
    </xdr:to>
    <xdr:sp>
      <xdr:nvSpPr>
        <xdr:cNvPr id="60" name="Text 1380"/>
        <xdr:cNvSpPr txBox="1">
          <a:spLocks noChangeArrowheads="1"/>
        </xdr:cNvSpPr>
      </xdr:nvSpPr>
      <xdr:spPr>
        <a:xfrm>
          <a:off x="2438400" y="3524250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5</xdr:col>
      <xdr:colOff>38100</xdr:colOff>
      <xdr:row>19</xdr:row>
      <xdr:rowOff>19050</xdr:rowOff>
    </xdr:to>
    <xdr:sp>
      <xdr:nvSpPr>
        <xdr:cNvPr id="61" name="Line 60"/>
        <xdr:cNvSpPr>
          <a:spLocks/>
        </xdr:cNvSpPr>
      </xdr:nvSpPr>
      <xdr:spPr>
        <a:xfrm>
          <a:off x="1238250" y="2162175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85725</xdr:colOff>
      <xdr:row>1</xdr:row>
      <xdr:rowOff>466725</xdr:rowOff>
    </xdr:from>
    <xdr:to>
      <xdr:col>43</xdr:col>
      <xdr:colOff>38100</xdr:colOff>
      <xdr:row>2</xdr:row>
      <xdr:rowOff>28575</xdr:rowOff>
    </xdr:to>
    <xdr:sp>
      <xdr:nvSpPr>
        <xdr:cNvPr id="62" name="Oval 61"/>
        <xdr:cNvSpPr>
          <a:spLocks/>
        </xdr:cNvSpPr>
      </xdr:nvSpPr>
      <xdr:spPr>
        <a:xfrm>
          <a:off x="12696825" y="5143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85725</xdr:colOff>
      <xdr:row>2</xdr:row>
      <xdr:rowOff>276225</xdr:rowOff>
    </xdr:from>
    <xdr:to>
      <xdr:col>43</xdr:col>
      <xdr:colOff>38100</xdr:colOff>
      <xdr:row>3</xdr:row>
      <xdr:rowOff>19050</xdr:rowOff>
    </xdr:to>
    <xdr:sp>
      <xdr:nvSpPr>
        <xdr:cNvPr id="63" name="Oval 62"/>
        <xdr:cNvSpPr>
          <a:spLocks/>
        </xdr:cNvSpPr>
      </xdr:nvSpPr>
      <xdr:spPr>
        <a:xfrm>
          <a:off x="12696825" y="8286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38100</xdr:colOff>
      <xdr:row>46</xdr:row>
      <xdr:rowOff>66675</xdr:rowOff>
    </xdr:from>
    <xdr:to>
      <xdr:col>43</xdr:col>
      <xdr:colOff>247650</xdr:colOff>
      <xdr:row>47</xdr:row>
      <xdr:rowOff>123825</xdr:rowOff>
    </xdr:to>
    <xdr:sp>
      <xdr:nvSpPr>
        <xdr:cNvPr id="64" name="Text 1410"/>
        <xdr:cNvSpPr txBox="1">
          <a:spLocks noChangeArrowheads="1"/>
        </xdr:cNvSpPr>
      </xdr:nvSpPr>
      <xdr:spPr>
        <a:xfrm>
          <a:off x="12268200" y="8772525"/>
          <a:ext cx="7048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DWG.-</a:t>
          </a:r>
        </a:p>
      </xdr:txBody>
    </xdr:sp>
    <xdr:clientData/>
  </xdr:twoCellAnchor>
  <xdr:twoCellAnchor>
    <xdr:from>
      <xdr:col>42</xdr:col>
      <xdr:colOff>76200</xdr:colOff>
      <xdr:row>3</xdr:row>
      <xdr:rowOff>285750</xdr:rowOff>
    </xdr:from>
    <xdr:to>
      <xdr:col>43</xdr:col>
      <xdr:colOff>28575</xdr:colOff>
      <xdr:row>4</xdr:row>
      <xdr:rowOff>28575</xdr:rowOff>
    </xdr:to>
    <xdr:sp>
      <xdr:nvSpPr>
        <xdr:cNvPr id="65" name="Oval 65"/>
        <xdr:cNvSpPr>
          <a:spLocks/>
        </xdr:cNvSpPr>
      </xdr:nvSpPr>
      <xdr:spPr>
        <a:xfrm>
          <a:off x="12687300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85725</xdr:colOff>
      <xdr:row>22</xdr:row>
      <xdr:rowOff>238125</xdr:rowOff>
    </xdr:from>
    <xdr:to>
      <xdr:col>43</xdr:col>
      <xdr:colOff>38100</xdr:colOff>
      <xdr:row>23</xdr:row>
      <xdr:rowOff>28575</xdr:rowOff>
    </xdr:to>
    <xdr:sp>
      <xdr:nvSpPr>
        <xdr:cNvPr id="66" name="Oval 66"/>
        <xdr:cNvSpPr>
          <a:spLocks/>
        </xdr:cNvSpPr>
      </xdr:nvSpPr>
      <xdr:spPr>
        <a:xfrm>
          <a:off x="12696825" y="345757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161925</xdr:colOff>
      <xdr:row>1</xdr:row>
      <xdr:rowOff>466725</xdr:rowOff>
    </xdr:from>
    <xdr:to>
      <xdr:col>2</xdr:col>
      <xdr:colOff>28575</xdr:colOff>
      <xdr:row>2</xdr:row>
      <xdr:rowOff>28575</xdr:rowOff>
    </xdr:to>
    <xdr:sp>
      <xdr:nvSpPr>
        <xdr:cNvPr id="67" name="Oval 67"/>
        <xdr:cNvSpPr>
          <a:spLocks/>
        </xdr:cNvSpPr>
      </xdr:nvSpPr>
      <xdr:spPr>
        <a:xfrm>
          <a:off x="666750" y="5143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161925</xdr:colOff>
      <xdr:row>3</xdr:row>
      <xdr:rowOff>257175</xdr:rowOff>
    </xdr:from>
    <xdr:to>
      <xdr:col>8</xdr:col>
      <xdr:colOff>38100</xdr:colOff>
      <xdr:row>4</xdr:row>
      <xdr:rowOff>95250</xdr:rowOff>
    </xdr:to>
    <xdr:grpSp>
      <xdr:nvGrpSpPr>
        <xdr:cNvPr id="68" name="Group 490"/>
        <xdr:cNvGrpSpPr>
          <a:grpSpLocks/>
        </xdr:cNvGrpSpPr>
      </xdr:nvGrpSpPr>
      <xdr:grpSpPr>
        <a:xfrm>
          <a:off x="1743075" y="1133475"/>
          <a:ext cx="66675" cy="161925"/>
          <a:chOff x="191" y="118"/>
          <a:chExt cx="7" cy="17"/>
        </a:xfrm>
        <a:solidFill>
          <a:srgbClr val="FFFFFF"/>
        </a:solidFill>
      </xdr:grpSpPr>
      <xdr:sp>
        <xdr:nvSpPr>
          <xdr:cNvPr id="69" name="Line 6"/>
          <xdr:cNvSpPr>
            <a:spLocks/>
          </xdr:cNvSpPr>
        </xdr:nvSpPr>
        <xdr:spPr>
          <a:xfrm flipH="1">
            <a:off x="194" y="118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Oval 68"/>
          <xdr:cNvSpPr>
            <a:spLocks/>
          </xdr:cNvSpPr>
        </xdr:nvSpPr>
        <xdr:spPr>
          <a:xfrm>
            <a:off x="191" y="122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7</xdr:col>
      <xdr:colOff>171450</xdr:colOff>
      <xdr:row>22</xdr:row>
      <xdr:rowOff>209550</xdr:rowOff>
    </xdr:from>
    <xdr:to>
      <xdr:col>8</xdr:col>
      <xdr:colOff>47625</xdr:colOff>
      <xdr:row>23</xdr:row>
      <xdr:rowOff>95250</xdr:rowOff>
    </xdr:to>
    <xdr:grpSp>
      <xdr:nvGrpSpPr>
        <xdr:cNvPr id="71" name="Group 485"/>
        <xdr:cNvGrpSpPr>
          <a:grpSpLocks/>
        </xdr:cNvGrpSpPr>
      </xdr:nvGrpSpPr>
      <xdr:grpSpPr>
        <a:xfrm>
          <a:off x="1752600" y="3429000"/>
          <a:ext cx="66675" cy="161925"/>
          <a:chOff x="184" y="359"/>
          <a:chExt cx="7" cy="17"/>
        </a:xfrm>
        <a:solidFill>
          <a:srgbClr val="FFFFFF"/>
        </a:solidFill>
      </xdr:grpSpPr>
      <xdr:sp>
        <xdr:nvSpPr>
          <xdr:cNvPr id="72" name="Line 28"/>
          <xdr:cNvSpPr>
            <a:spLocks/>
          </xdr:cNvSpPr>
        </xdr:nvSpPr>
        <xdr:spPr>
          <a:xfrm>
            <a:off x="187" y="359"/>
            <a:ext cx="0" cy="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3" name="Oval 69"/>
          <xdr:cNvSpPr>
            <a:spLocks/>
          </xdr:cNvSpPr>
        </xdr:nvSpPr>
        <xdr:spPr>
          <a:xfrm>
            <a:off x="184" y="363"/>
            <a:ext cx="7" cy="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22</xdr:col>
      <xdr:colOff>57150</xdr:colOff>
      <xdr:row>13</xdr:row>
      <xdr:rowOff>9525</xdr:rowOff>
    </xdr:from>
    <xdr:to>
      <xdr:col>23</xdr:col>
      <xdr:colOff>114300</xdr:colOff>
      <xdr:row>13</xdr:row>
      <xdr:rowOff>123825</xdr:rowOff>
    </xdr:to>
    <xdr:sp>
      <xdr:nvSpPr>
        <xdr:cNvPr id="74" name="Line 70"/>
        <xdr:cNvSpPr>
          <a:spLocks/>
        </xdr:cNvSpPr>
      </xdr:nvSpPr>
      <xdr:spPr>
        <a:xfrm flipV="1">
          <a:off x="6715125" y="2400300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66675</xdr:colOff>
      <xdr:row>13</xdr:row>
      <xdr:rowOff>114300</xdr:rowOff>
    </xdr:from>
    <xdr:to>
      <xdr:col>23</xdr:col>
      <xdr:colOff>0</xdr:colOff>
      <xdr:row>14</xdr:row>
      <xdr:rowOff>9525</xdr:rowOff>
    </xdr:to>
    <xdr:sp>
      <xdr:nvSpPr>
        <xdr:cNvPr id="75" name="Arc 71"/>
        <xdr:cNvSpPr>
          <a:spLocks/>
        </xdr:cNvSpPr>
      </xdr:nvSpPr>
      <xdr:spPr>
        <a:xfrm>
          <a:off x="6724650" y="2505075"/>
          <a:ext cx="5715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12</xdr:row>
      <xdr:rowOff>76200</xdr:rowOff>
    </xdr:from>
    <xdr:to>
      <xdr:col>23</xdr:col>
      <xdr:colOff>85725</xdr:colOff>
      <xdr:row>13</xdr:row>
      <xdr:rowOff>28575</xdr:rowOff>
    </xdr:to>
    <xdr:sp>
      <xdr:nvSpPr>
        <xdr:cNvPr id="76" name="Arc 72"/>
        <xdr:cNvSpPr>
          <a:spLocks/>
        </xdr:cNvSpPr>
      </xdr:nvSpPr>
      <xdr:spPr>
        <a:xfrm flipH="1" flipV="1">
          <a:off x="6781800" y="2381250"/>
          <a:ext cx="85725" cy="38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76200</xdr:rowOff>
    </xdr:from>
    <xdr:to>
      <xdr:col>22</xdr:col>
      <xdr:colOff>66675</xdr:colOff>
      <xdr:row>13</xdr:row>
      <xdr:rowOff>19050</xdr:rowOff>
    </xdr:to>
    <xdr:sp>
      <xdr:nvSpPr>
        <xdr:cNvPr id="77" name="Arc 73"/>
        <xdr:cNvSpPr>
          <a:spLocks/>
        </xdr:cNvSpPr>
      </xdr:nvSpPr>
      <xdr:spPr>
        <a:xfrm flipH="1" flipV="1">
          <a:off x="6657975" y="2381250"/>
          <a:ext cx="66675" cy="28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200025</xdr:colOff>
      <xdr:row>13</xdr:row>
      <xdr:rowOff>114300</xdr:rowOff>
    </xdr:from>
    <xdr:to>
      <xdr:col>22</xdr:col>
      <xdr:colOff>0</xdr:colOff>
      <xdr:row>14</xdr:row>
      <xdr:rowOff>9525</xdr:rowOff>
    </xdr:to>
    <xdr:sp>
      <xdr:nvSpPr>
        <xdr:cNvPr id="78" name="Arc 74"/>
        <xdr:cNvSpPr>
          <a:spLocks/>
        </xdr:cNvSpPr>
      </xdr:nvSpPr>
      <xdr:spPr>
        <a:xfrm>
          <a:off x="6581775" y="2505075"/>
          <a:ext cx="7620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57150</xdr:colOff>
      <xdr:row>13</xdr:row>
      <xdr:rowOff>9525</xdr:rowOff>
    </xdr:from>
    <xdr:to>
      <xdr:col>31</xdr:col>
      <xdr:colOff>9525</xdr:colOff>
      <xdr:row>13</xdr:row>
      <xdr:rowOff>123825</xdr:rowOff>
    </xdr:to>
    <xdr:sp>
      <xdr:nvSpPr>
        <xdr:cNvPr id="79" name="Line 75"/>
        <xdr:cNvSpPr>
          <a:spLocks/>
        </xdr:cNvSpPr>
      </xdr:nvSpPr>
      <xdr:spPr>
        <a:xfrm flipV="1">
          <a:off x="9629775" y="2400300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180975</xdr:colOff>
      <xdr:row>13</xdr:row>
      <xdr:rowOff>9525</xdr:rowOff>
    </xdr:from>
    <xdr:to>
      <xdr:col>29</xdr:col>
      <xdr:colOff>85725</xdr:colOff>
      <xdr:row>13</xdr:row>
      <xdr:rowOff>123825</xdr:rowOff>
    </xdr:to>
    <xdr:sp>
      <xdr:nvSpPr>
        <xdr:cNvPr id="80" name="Line 76"/>
        <xdr:cNvSpPr>
          <a:spLocks/>
        </xdr:cNvSpPr>
      </xdr:nvSpPr>
      <xdr:spPr>
        <a:xfrm flipV="1">
          <a:off x="9477375" y="2400300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76200</xdr:colOff>
      <xdr:row>13</xdr:row>
      <xdr:rowOff>38100</xdr:rowOff>
    </xdr:to>
    <xdr:sp>
      <xdr:nvSpPr>
        <xdr:cNvPr id="81" name="Arc 77"/>
        <xdr:cNvSpPr>
          <a:spLocks/>
        </xdr:cNvSpPr>
      </xdr:nvSpPr>
      <xdr:spPr>
        <a:xfrm flipH="1" flipV="1">
          <a:off x="9696450" y="2390775"/>
          <a:ext cx="76200" cy="38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0</xdr:colOff>
      <xdr:row>12</xdr:row>
      <xdr:rowOff>66675</xdr:rowOff>
    </xdr:from>
    <xdr:to>
      <xdr:col>29</xdr:col>
      <xdr:colOff>57150</xdr:colOff>
      <xdr:row>13</xdr:row>
      <xdr:rowOff>38100</xdr:rowOff>
    </xdr:to>
    <xdr:sp>
      <xdr:nvSpPr>
        <xdr:cNvPr id="82" name="Arc 78"/>
        <xdr:cNvSpPr>
          <a:spLocks/>
        </xdr:cNvSpPr>
      </xdr:nvSpPr>
      <xdr:spPr>
        <a:xfrm flipH="1" flipV="1">
          <a:off x="9572625" y="2371725"/>
          <a:ext cx="571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85725</xdr:colOff>
      <xdr:row>13</xdr:row>
      <xdr:rowOff>114300</xdr:rowOff>
    </xdr:from>
    <xdr:to>
      <xdr:col>30</xdr:col>
      <xdr:colOff>0</xdr:colOff>
      <xdr:row>14</xdr:row>
      <xdr:rowOff>9525</xdr:rowOff>
    </xdr:to>
    <xdr:sp>
      <xdr:nvSpPr>
        <xdr:cNvPr id="83" name="Arc 79"/>
        <xdr:cNvSpPr>
          <a:spLocks/>
        </xdr:cNvSpPr>
      </xdr:nvSpPr>
      <xdr:spPr>
        <a:xfrm>
          <a:off x="9658350" y="2505075"/>
          <a:ext cx="3810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219075</xdr:colOff>
      <xdr:row>13</xdr:row>
      <xdr:rowOff>104775</xdr:rowOff>
    </xdr:from>
    <xdr:to>
      <xdr:col>29</xdr:col>
      <xdr:colOff>0</xdr:colOff>
      <xdr:row>14</xdr:row>
      <xdr:rowOff>9525</xdr:rowOff>
    </xdr:to>
    <xdr:sp>
      <xdr:nvSpPr>
        <xdr:cNvPr id="84" name="Arc 80"/>
        <xdr:cNvSpPr>
          <a:spLocks/>
        </xdr:cNvSpPr>
      </xdr:nvSpPr>
      <xdr:spPr>
        <a:xfrm>
          <a:off x="9515475" y="2495550"/>
          <a:ext cx="571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85725</xdr:rowOff>
    </xdr:from>
    <xdr:to>
      <xdr:col>24</xdr:col>
      <xdr:colOff>0</xdr:colOff>
      <xdr:row>19</xdr:row>
      <xdr:rowOff>19050</xdr:rowOff>
    </xdr:to>
    <xdr:sp>
      <xdr:nvSpPr>
        <xdr:cNvPr id="85" name="Line 81"/>
        <xdr:cNvSpPr>
          <a:spLocks/>
        </xdr:cNvSpPr>
      </xdr:nvSpPr>
      <xdr:spPr>
        <a:xfrm>
          <a:off x="70485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76200</xdr:rowOff>
    </xdr:from>
    <xdr:to>
      <xdr:col>25</xdr:col>
      <xdr:colOff>9525</xdr:colOff>
      <xdr:row>19</xdr:row>
      <xdr:rowOff>9525</xdr:rowOff>
    </xdr:to>
    <xdr:sp>
      <xdr:nvSpPr>
        <xdr:cNvPr id="86" name="Line 82"/>
        <xdr:cNvSpPr>
          <a:spLocks/>
        </xdr:cNvSpPr>
      </xdr:nvSpPr>
      <xdr:spPr>
        <a:xfrm>
          <a:off x="7620000" y="2143125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190500</xdr:colOff>
      <xdr:row>13</xdr:row>
      <xdr:rowOff>0</xdr:rowOff>
    </xdr:from>
    <xdr:to>
      <xdr:col>22</xdr:col>
      <xdr:colOff>95250</xdr:colOff>
      <xdr:row>13</xdr:row>
      <xdr:rowOff>123825</xdr:rowOff>
    </xdr:to>
    <xdr:sp>
      <xdr:nvSpPr>
        <xdr:cNvPr id="87" name="Line 83"/>
        <xdr:cNvSpPr>
          <a:spLocks/>
        </xdr:cNvSpPr>
      </xdr:nvSpPr>
      <xdr:spPr>
        <a:xfrm flipV="1">
          <a:off x="6572250" y="2390775"/>
          <a:ext cx="180975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95250</xdr:colOff>
      <xdr:row>45</xdr:row>
      <xdr:rowOff>0</xdr:rowOff>
    </xdr:from>
    <xdr:to>
      <xdr:col>35</xdr:col>
      <xdr:colOff>95250</xdr:colOff>
      <xdr:row>48</xdr:row>
      <xdr:rowOff>0</xdr:rowOff>
    </xdr:to>
    <xdr:sp>
      <xdr:nvSpPr>
        <xdr:cNvPr id="88" name="Line 84"/>
        <xdr:cNvSpPr>
          <a:spLocks/>
        </xdr:cNvSpPr>
      </xdr:nvSpPr>
      <xdr:spPr>
        <a:xfrm>
          <a:off x="11087100" y="8439150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47625</xdr:colOff>
      <xdr:row>20</xdr:row>
      <xdr:rowOff>28575</xdr:rowOff>
    </xdr:from>
    <xdr:to>
      <xdr:col>5</xdr:col>
      <xdr:colOff>85725</xdr:colOff>
      <xdr:row>22</xdr:row>
      <xdr:rowOff>85725</xdr:rowOff>
    </xdr:to>
    <xdr:grpSp>
      <xdr:nvGrpSpPr>
        <xdr:cNvPr id="89" name="Group 85"/>
        <xdr:cNvGrpSpPr>
          <a:grpSpLocks/>
        </xdr:cNvGrpSpPr>
      </xdr:nvGrpSpPr>
      <xdr:grpSpPr>
        <a:xfrm>
          <a:off x="866775" y="2895600"/>
          <a:ext cx="419100" cy="409575"/>
          <a:chOff x="81" y="304"/>
          <a:chExt cx="44" cy="43"/>
        </a:xfrm>
        <a:solidFill>
          <a:srgbClr val="FFFFFF"/>
        </a:solidFill>
      </xdr:grpSpPr>
      <xdr:sp>
        <xdr:nvSpPr>
          <xdr:cNvPr id="90" name="Line 86"/>
          <xdr:cNvSpPr>
            <a:spLocks/>
          </xdr:cNvSpPr>
        </xdr:nvSpPr>
        <xdr:spPr>
          <a:xfrm>
            <a:off x="81" y="327"/>
            <a:ext cx="2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Line 87"/>
          <xdr:cNvSpPr>
            <a:spLocks/>
          </xdr:cNvSpPr>
        </xdr:nvSpPr>
        <xdr:spPr>
          <a:xfrm flipH="1">
            <a:off x="81" y="304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Drawing 1350"/>
          <xdr:cNvSpPr>
            <a:spLocks/>
          </xdr:cNvSpPr>
        </xdr:nvSpPr>
        <xdr:spPr>
          <a:xfrm>
            <a:off x="103" y="305"/>
            <a:ext cx="22" cy="42"/>
          </a:xfrm>
          <a:custGeom>
            <a:pathLst>
              <a:path h="16384" w="16384">
                <a:moveTo>
                  <a:pt x="16384" y="8602"/>
                </a:moveTo>
                <a:lnTo>
                  <a:pt x="0" y="0"/>
                </a:lnTo>
                <a:lnTo>
                  <a:pt x="0" y="16384"/>
                </a:lnTo>
                <a:lnTo>
                  <a:pt x="16384" y="860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Oval 89"/>
          <xdr:cNvSpPr>
            <a:spLocks/>
          </xdr:cNvSpPr>
        </xdr:nvSpPr>
        <xdr:spPr>
          <a:xfrm>
            <a:off x="91" y="311"/>
            <a:ext cx="26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Text 459"/>
          <xdr:cNvSpPr txBox="1">
            <a:spLocks noChangeArrowheads="1"/>
          </xdr:cNvSpPr>
        </xdr:nvSpPr>
        <xdr:spPr>
          <a:xfrm>
            <a:off x="96" y="310"/>
            <a:ext cx="18" cy="2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</a:p>
        </xdr:txBody>
      </xdr:sp>
    </xdr:grpSp>
    <xdr:clientData/>
  </xdr:twoCellAnchor>
  <xdr:twoCellAnchor>
    <xdr:from>
      <xdr:col>31</xdr:col>
      <xdr:colOff>161925</xdr:colOff>
      <xdr:row>2</xdr:row>
      <xdr:rowOff>285750</xdr:rowOff>
    </xdr:from>
    <xdr:to>
      <xdr:col>32</xdr:col>
      <xdr:colOff>38100</xdr:colOff>
      <xdr:row>3</xdr:row>
      <xdr:rowOff>28575</xdr:rowOff>
    </xdr:to>
    <xdr:sp>
      <xdr:nvSpPr>
        <xdr:cNvPr id="95" name="Oval 102"/>
        <xdr:cNvSpPr>
          <a:spLocks/>
        </xdr:cNvSpPr>
      </xdr:nvSpPr>
      <xdr:spPr>
        <a:xfrm>
          <a:off x="9963150" y="8382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438150</xdr:colOff>
      <xdr:row>7</xdr:row>
      <xdr:rowOff>57150</xdr:rowOff>
    </xdr:from>
    <xdr:to>
      <xdr:col>24</xdr:col>
      <xdr:colOff>476250</xdr:colOff>
      <xdr:row>9</xdr:row>
      <xdr:rowOff>19050</xdr:rowOff>
    </xdr:to>
    <xdr:sp>
      <xdr:nvSpPr>
        <xdr:cNvPr id="96" name="Arc 104"/>
        <xdr:cNvSpPr>
          <a:spLocks/>
        </xdr:cNvSpPr>
      </xdr:nvSpPr>
      <xdr:spPr>
        <a:xfrm flipV="1">
          <a:off x="7486650" y="2124075"/>
          <a:ext cx="381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523875</xdr:colOff>
      <xdr:row>5</xdr:row>
      <xdr:rowOff>133350</xdr:rowOff>
    </xdr:from>
    <xdr:to>
      <xdr:col>19</xdr:col>
      <xdr:colOff>0</xdr:colOff>
      <xdr:row>6</xdr:row>
      <xdr:rowOff>257175</xdr:rowOff>
    </xdr:to>
    <xdr:grpSp>
      <xdr:nvGrpSpPr>
        <xdr:cNvPr id="97" name="Group 105"/>
        <xdr:cNvGrpSpPr>
          <a:grpSpLocks/>
        </xdr:cNvGrpSpPr>
      </xdr:nvGrpSpPr>
      <xdr:grpSpPr>
        <a:xfrm>
          <a:off x="4657725" y="1600200"/>
          <a:ext cx="600075" cy="400050"/>
          <a:chOff x="884" y="147"/>
          <a:chExt cx="63" cy="42"/>
        </a:xfrm>
        <a:solidFill>
          <a:srgbClr val="FFFFFF"/>
        </a:solidFill>
      </xdr:grpSpPr>
      <xdr:sp>
        <xdr:nvSpPr>
          <xdr:cNvPr id="98" name="Line 106"/>
          <xdr:cNvSpPr>
            <a:spLocks/>
          </xdr:cNvSpPr>
        </xdr:nvSpPr>
        <xdr:spPr>
          <a:xfrm flipH="1">
            <a:off x="884" y="168"/>
            <a:ext cx="0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9" name="Drawing 1675"/>
          <xdr:cNvSpPr>
            <a:spLocks/>
          </xdr:cNvSpPr>
        </xdr:nvSpPr>
        <xdr:spPr>
          <a:xfrm>
            <a:off x="925" y="147"/>
            <a:ext cx="22" cy="42"/>
          </a:xfrm>
          <a:custGeom>
            <a:pathLst>
              <a:path h="16384" w="16384">
                <a:moveTo>
                  <a:pt x="16384" y="8602"/>
                </a:moveTo>
                <a:lnTo>
                  <a:pt x="0" y="0"/>
                </a:lnTo>
                <a:lnTo>
                  <a:pt x="0" y="16384"/>
                </a:lnTo>
                <a:lnTo>
                  <a:pt x="16384" y="860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0" name="Oval 108"/>
          <xdr:cNvSpPr>
            <a:spLocks/>
          </xdr:cNvSpPr>
        </xdr:nvSpPr>
        <xdr:spPr>
          <a:xfrm>
            <a:off x="913" y="153"/>
            <a:ext cx="26" cy="3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1" name="Text 1674"/>
          <xdr:cNvSpPr txBox="1">
            <a:spLocks noChangeArrowheads="1"/>
          </xdr:cNvSpPr>
        </xdr:nvSpPr>
        <xdr:spPr>
          <a:xfrm>
            <a:off x="918" y="152"/>
            <a:ext cx="18" cy="2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</a:t>
            </a:r>
          </a:p>
        </xdr:txBody>
      </xdr:sp>
      <xdr:sp>
        <xdr:nvSpPr>
          <xdr:cNvPr id="102" name="Line 110"/>
          <xdr:cNvSpPr>
            <a:spLocks/>
          </xdr:cNvSpPr>
        </xdr:nvSpPr>
        <xdr:spPr>
          <a:xfrm>
            <a:off x="884" y="168"/>
            <a:ext cx="2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17</xdr:col>
      <xdr:colOff>533400</xdr:colOff>
      <xdr:row>23</xdr:row>
      <xdr:rowOff>95250</xdr:rowOff>
    </xdr:from>
    <xdr:to>
      <xdr:col>19</xdr:col>
      <xdr:colOff>9525</xdr:colOff>
      <xdr:row>25</xdr:row>
      <xdr:rowOff>38100</xdr:rowOff>
    </xdr:to>
    <xdr:grpSp>
      <xdr:nvGrpSpPr>
        <xdr:cNvPr id="103" name="Group 111"/>
        <xdr:cNvGrpSpPr>
          <a:grpSpLocks/>
        </xdr:cNvGrpSpPr>
      </xdr:nvGrpSpPr>
      <xdr:grpSpPr>
        <a:xfrm>
          <a:off x="4667250" y="3590925"/>
          <a:ext cx="600075" cy="400050"/>
          <a:chOff x="884" y="305"/>
          <a:chExt cx="63" cy="42"/>
        </a:xfrm>
        <a:solidFill>
          <a:srgbClr val="FFFFFF"/>
        </a:solidFill>
      </xdr:grpSpPr>
      <xdr:sp>
        <xdr:nvSpPr>
          <xdr:cNvPr id="104" name="Drawing 1678"/>
          <xdr:cNvSpPr>
            <a:spLocks/>
          </xdr:cNvSpPr>
        </xdr:nvSpPr>
        <xdr:spPr>
          <a:xfrm>
            <a:off x="925" y="305"/>
            <a:ext cx="22" cy="42"/>
          </a:xfrm>
          <a:custGeom>
            <a:pathLst>
              <a:path h="16384" w="16384">
                <a:moveTo>
                  <a:pt x="16384" y="8602"/>
                </a:moveTo>
                <a:lnTo>
                  <a:pt x="0" y="0"/>
                </a:lnTo>
                <a:lnTo>
                  <a:pt x="0" y="16384"/>
                </a:lnTo>
                <a:lnTo>
                  <a:pt x="16384" y="860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5" name="Line 113"/>
          <xdr:cNvSpPr>
            <a:spLocks/>
          </xdr:cNvSpPr>
        </xdr:nvSpPr>
        <xdr:spPr>
          <a:xfrm flipH="1">
            <a:off x="884" y="308"/>
            <a:ext cx="0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6" name="Oval 114"/>
          <xdr:cNvSpPr>
            <a:spLocks/>
          </xdr:cNvSpPr>
        </xdr:nvSpPr>
        <xdr:spPr>
          <a:xfrm>
            <a:off x="913" y="311"/>
            <a:ext cx="26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7" name="Text 1679"/>
          <xdr:cNvSpPr txBox="1">
            <a:spLocks noChangeArrowheads="1"/>
          </xdr:cNvSpPr>
        </xdr:nvSpPr>
        <xdr:spPr>
          <a:xfrm>
            <a:off x="920" y="311"/>
            <a:ext cx="18" cy="2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</a:t>
            </a:r>
          </a:p>
        </xdr:txBody>
      </xdr:sp>
      <xdr:sp>
        <xdr:nvSpPr>
          <xdr:cNvPr id="108" name="Line 116"/>
          <xdr:cNvSpPr>
            <a:spLocks/>
          </xdr:cNvSpPr>
        </xdr:nvSpPr>
        <xdr:spPr>
          <a:xfrm>
            <a:off x="884" y="327"/>
            <a:ext cx="2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7</xdr:row>
      <xdr:rowOff>85725</xdr:rowOff>
    </xdr:from>
    <xdr:to>
      <xdr:col>3</xdr:col>
      <xdr:colOff>85725</xdr:colOff>
      <xdr:row>19</xdr:row>
      <xdr:rowOff>9525</xdr:rowOff>
    </xdr:to>
    <xdr:sp>
      <xdr:nvSpPr>
        <xdr:cNvPr id="109" name="Line 117"/>
        <xdr:cNvSpPr>
          <a:spLocks/>
        </xdr:cNvSpPr>
      </xdr:nvSpPr>
      <xdr:spPr>
        <a:xfrm>
          <a:off x="9048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85725</xdr:rowOff>
    </xdr:from>
    <xdr:to>
      <xdr:col>4</xdr:col>
      <xdr:colOff>66675</xdr:colOff>
      <xdr:row>19</xdr:row>
      <xdr:rowOff>9525</xdr:rowOff>
    </xdr:to>
    <xdr:sp>
      <xdr:nvSpPr>
        <xdr:cNvPr id="110" name="Line 118"/>
        <xdr:cNvSpPr>
          <a:spLocks/>
        </xdr:cNvSpPr>
      </xdr:nvSpPr>
      <xdr:spPr>
        <a:xfrm>
          <a:off x="10763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123825</xdr:colOff>
      <xdr:row>7</xdr:row>
      <xdr:rowOff>85725</xdr:rowOff>
    </xdr:from>
    <xdr:to>
      <xdr:col>5</xdr:col>
      <xdr:colOff>123825</xdr:colOff>
      <xdr:row>19</xdr:row>
      <xdr:rowOff>9525</xdr:rowOff>
    </xdr:to>
    <xdr:sp>
      <xdr:nvSpPr>
        <xdr:cNvPr id="111" name="Line 119"/>
        <xdr:cNvSpPr>
          <a:spLocks/>
        </xdr:cNvSpPr>
      </xdr:nvSpPr>
      <xdr:spPr>
        <a:xfrm>
          <a:off x="13239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85725</xdr:rowOff>
    </xdr:from>
    <xdr:to>
      <xdr:col>6</xdr:col>
      <xdr:colOff>104775</xdr:colOff>
      <xdr:row>19</xdr:row>
      <xdr:rowOff>9525</xdr:rowOff>
    </xdr:to>
    <xdr:sp>
      <xdr:nvSpPr>
        <xdr:cNvPr id="112" name="Line 120"/>
        <xdr:cNvSpPr>
          <a:spLocks/>
        </xdr:cNvSpPr>
      </xdr:nvSpPr>
      <xdr:spPr>
        <a:xfrm>
          <a:off x="14954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142875</xdr:colOff>
      <xdr:row>7</xdr:row>
      <xdr:rowOff>85725</xdr:rowOff>
    </xdr:from>
    <xdr:to>
      <xdr:col>4</xdr:col>
      <xdr:colOff>142875</xdr:colOff>
      <xdr:row>19</xdr:row>
      <xdr:rowOff>9525</xdr:rowOff>
    </xdr:to>
    <xdr:sp>
      <xdr:nvSpPr>
        <xdr:cNvPr id="113" name="Line 121"/>
        <xdr:cNvSpPr>
          <a:spLocks/>
        </xdr:cNvSpPr>
      </xdr:nvSpPr>
      <xdr:spPr>
        <a:xfrm>
          <a:off x="11525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161925</xdr:colOff>
      <xdr:row>23</xdr:row>
      <xdr:rowOff>28575</xdr:rowOff>
    </xdr:from>
    <xdr:to>
      <xdr:col>8</xdr:col>
      <xdr:colOff>0</xdr:colOff>
      <xdr:row>24</xdr:row>
      <xdr:rowOff>133350</xdr:rowOff>
    </xdr:to>
    <xdr:sp>
      <xdr:nvSpPr>
        <xdr:cNvPr id="114" name="Text 1810"/>
        <xdr:cNvSpPr txBox="1">
          <a:spLocks noChangeArrowheads="1"/>
        </xdr:cNvSpPr>
      </xdr:nvSpPr>
      <xdr:spPr>
        <a:xfrm>
          <a:off x="981075" y="3524250"/>
          <a:ext cx="7905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36</xdr:col>
      <xdr:colOff>209550</xdr:colOff>
      <xdr:row>22</xdr:row>
      <xdr:rowOff>247650</xdr:rowOff>
    </xdr:from>
    <xdr:to>
      <xdr:col>36</xdr:col>
      <xdr:colOff>276225</xdr:colOff>
      <xdr:row>23</xdr:row>
      <xdr:rowOff>38100</xdr:rowOff>
    </xdr:to>
    <xdr:sp>
      <xdr:nvSpPr>
        <xdr:cNvPr id="115" name="Oval 123"/>
        <xdr:cNvSpPr>
          <a:spLocks/>
        </xdr:cNvSpPr>
      </xdr:nvSpPr>
      <xdr:spPr>
        <a:xfrm>
          <a:off x="11534775" y="34671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66675</xdr:colOff>
      <xdr:row>41</xdr:row>
      <xdr:rowOff>247650</xdr:rowOff>
    </xdr:from>
    <xdr:to>
      <xdr:col>11</xdr:col>
      <xdr:colOff>104775</xdr:colOff>
      <xdr:row>43</xdr:row>
      <xdr:rowOff>104775</xdr:rowOff>
    </xdr:to>
    <xdr:sp>
      <xdr:nvSpPr>
        <xdr:cNvPr id="116" name="Text 1455"/>
        <xdr:cNvSpPr txBox="1">
          <a:spLocks noChangeArrowheads="1"/>
        </xdr:cNvSpPr>
      </xdr:nvSpPr>
      <xdr:spPr>
        <a:xfrm>
          <a:off x="1647825" y="7620000"/>
          <a:ext cx="1228725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SECTION   1-1</a:t>
          </a:r>
        </a:p>
      </xdr:txBody>
    </xdr:sp>
    <xdr:clientData/>
  </xdr:twoCellAnchor>
  <xdr:twoCellAnchor>
    <xdr:from>
      <xdr:col>10</xdr:col>
      <xdr:colOff>85725</xdr:colOff>
      <xdr:row>32</xdr:row>
      <xdr:rowOff>0</xdr:rowOff>
    </xdr:from>
    <xdr:to>
      <xdr:col>11</xdr:col>
      <xdr:colOff>104775</xdr:colOff>
      <xdr:row>33</xdr:row>
      <xdr:rowOff>0</xdr:rowOff>
    </xdr:to>
    <xdr:sp>
      <xdr:nvSpPr>
        <xdr:cNvPr id="117" name="Line 125"/>
        <xdr:cNvSpPr>
          <a:spLocks/>
        </xdr:cNvSpPr>
      </xdr:nvSpPr>
      <xdr:spPr>
        <a:xfrm flipV="1">
          <a:off x="2524125" y="5562600"/>
          <a:ext cx="352425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76200</xdr:colOff>
      <xdr:row>34</xdr:row>
      <xdr:rowOff>228600</xdr:rowOff>
    </xdr:from>
    <xdr:to>
      <xdr:col>11</xdr:col>
      <xdr:colOff>104775</xdr:colOff>
      <xdr:row>36</xdr:row>
      <xdr:rowOff>9525</xdr:rowOff>
    </xdr:to>
    <xdr:sp>
      <xdr:nvSpPr>
        <xdr:cNvPr id="118" name="Line 126"/>
        <xdr:cNvSpPr>
          <a:spLocks/>
        </xdr:cNvSpPr>
      </xdr:nvSpPr>
      <xdr:spPr>
        <a:xfrm>
          <a:off x="2514600" y="6124575"/>
          <a:ext cx="36195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0</xdr:rowOff>
    </xdr:from>
    <xdr:to>
      <xdr:col>8</xdr:col>
      <xdr:colOff>247650</xdr:colOff>
      <xdr:row>33</xdr:row>
      <xdr:rowOff>0</xdr:rowOff>
    </xdr:to>
    <xdr:sp>
      <xdr:nvSpPr>
        <xdr:cNvPr id="119" name="Line 127"/>
        <xdr:cNvSpPr>
          <a:spLocks/>
        </xdr:cNvSpPr>
      </xdr:nvSpPr>
      <xdr:spPr>
        <a:xfrm flipH="1" flipV="1">
          <a:off x="1676400" y="5562600"/>
          <a:ext cx="34290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34</xdr:row>
      <xdr:rowOff>228600</xdr:rowOff>
    </xdr:from>
    <xdr:to>
      <xdr:col>8</xdr:col>
      <xdr:colOff>247650</xdr:colOff>
      <xdr:row>36</xdr:row>
      <xdr:rowOff>0</xdr:rowOff>
    </xdr:to>
    <xdr:sp>
      <xdr:nvSpPr>
        <xdr:cNvPr id="120" name="Line 128"/>
        <xdr:cNvSpPr>
          <a:spLocks/>
        </xdr:cNvSpPr>
      </xdr:nvSpPr>
      <xdr:spPr>
        <a:xfrm flipV="1">
          <a:off x="1676400" y="6124575"/>
          <a:ext cx="342900" cy="104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66675</xdr:rowOff>
    </xdr:from>
    <xdr:to>
      <xdr:col>11</xdr:col>
      <xdr:colOff>247650</xdr:colOff>
      <xdr:row>28</xdr:row>
      <xdr:rowOff>66675</xdr:rowOff>
    </xdr:to>
    <xdr:sp>
      <xdr:nvSpPr>
        <xdr:cNvPr id="121" name="Line 129"/>
        <xdr:cNvSpPr>
          <a:spLocks/>
        </xdr:cNvSpPr>
      </xdr:nvSpPr>
      <xdr:spPr>
        <a:xfrm>
          <a:off x="1590675" y="48006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238125</xdr:colOff>
      <xdr:row>27</xdr:row>
      <xdr:rowOff>0</xdr:rowOff>
    </xdr:to>
    <xdr:sp>
      <xdr:nvSpPr>
        <xdr:cNvPr id="122" name="Line 130"/>
        <xdr:cNvSpPr>
          <a:spLocks/>
        </xdr:cNvSpPr>
      </xdr:nvSpPr>
      <xdr:spPr>
        <a:xfrm>
          <a:off x="1581150" y="4467225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95250</xdr:rowOff>
    </xdr:from>
    <xdr:to>
      <xdr:col>6</xdr:col>
      <xdr:colOff>0</xdr:colOff>
      <xdr:row>38</xdr:row>
      <xdr:rowOff>152400</xdr:rowOff>
    </xdr:to>
    <xdr:sp>
      <xdr:nvSpPr>
        <xdr:cNvPr id="123" name="Line 131"/>
        <xdr:cNvSpPr>
          <a:spLocks/>
        </xdr:cNvSpPr>
      </xdr:nvSpPr>
      <xdr:spPr>
        <a:xfrm>
          <a:off x="1390650" y="5095875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95250</xdr:rowOff>
    </xdr:from>
    <xdr:to>
      <xdr:col>3</xdr:col>
      <xdr:colOff>28575</xdr:colOff>
      <xdr:row>38</xdr:row>
      <xdr:rowOff>152400</xdr:rowOff>
    </xdr:to>
    <xdr:sp>
      <xdr:nvSpPr>
        <xdr:cNvPr id="124" name="Line 132"/>
        <xdr:cNvSpPr>
          <a:spLocks/>
        </xdr:cNvSpPr>
      </xdr:nvSpPr>
      <xdr:spPr>
        <a:xfrm>
          <a:off x="847725" y="5095875"/>
          <a:ext cx="0" cy="1628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0</xdr:rowOff>
    </xdr:from>
    <xdr:to>
      <xdr:col>11</xdr:col>
      <xdr:colOff>95250</xdr:colOff>
      <xdr:row>32</xdr:row>
      <xdr:rowOff>0</xdr:rowOff>
    </xdr:to>
    <xdr:sp>
      <xdr:nvSpPr>
        <xdr:cNvPr id="125" name="Line 133"/>
        <xdr:cNvSpPr>
          <a:spLocks/>
        </xdr:cNvSpPr>
      </xdr:nvSpPr>
      <xdr:spPr>
        <a:xfrm>
          <a:off x="2867025" y="5276850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0</xdr:rowOff>
    </xdr:from>
    <xdr:to>
      <xdr:col>7</xdr:col>
      <xdr:colOff>95250</xdr:colOff>
      <xdr:row>32</xdr:row>
      <xdr:rowOff>9525</xdr:rowOff>
    </xdr:to>
    <xdr:sp>
      <xdr:nvSpPr>
        <xdr:cNvPr id="126" name="Line 134"/>
        <xdr:cNvSpPr>
          <a:spLocks/>
        </xdr:cNvSpPr>
      </xdr:nvSpPr>
      <xdr:spPr>
        <a:xfrm>
          <a:off x="1676400" y="527685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0</xdr:rowOff>
    </xdr:from>
    <xdr:to>
      <xdr:col>7</xdr:col>
      <xdr:colOff>95250</xdr:colOff>
      <xdr:row>37</xdr:row>
      <xdr:rowOff>9525</xdr:rowOff>
    </xdr:to>
    <xdr:sp>
      <xdr:nvSpPr>
        <xdr:cNvPr id="127" name="Line 135"/>
        <xdr:cNvSpPr>
          <a:spLocks/>
        </xdr:cNvSpPr>
      </xdr:nvSpPr>
      <xdr:spPr>
        <a:xfrm>
          <a:off x="1676400" y="6229350"/>
          <a:ext cx="0" cy="295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9525</xdr:rowOff>
    </xdr:from>
    <xdr:to>
      <xdr:col>11</xdr:col>
      <xdr:colOff>95250</xdr:colOff>
      <xdr:row>37</xdr:row>
      <xdr:rowOff>9525</xdr:rowOff>
    </xdr:to>
    <xdr:sp>
      <xdr:nvSpPr>
        <xdr:cNvPr id="128" name="Line 136"/>
        <xdr:cNvSpPr>
          <a:spLocks/>
        </xdr:cNvSpPr>
      </xdr:nvSpPr>
      <xdr:spPr>
        <a:xfrm>
          <a:off x="2867025" y="6238875"/>
          <a:ext cx="0" cy="285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142875</xdr:colOff>
      <xdr:row>30</xdr:row>
      <xdr:rowOff>0</xdr:rowOff>
    </xdr:from>
    <xdr:to>
      <xdr:col>11</xdr:col>
      <xdr:colOff>47625</xdr:colOff>
      <xdr:row>30</xdr:row>
      <xdr:rowOff>0</xdr:rowOff>
    </xdr:to>
    <xdr:sp>
      <xdr:nvSpPr>
        <xdr:cNvPr id="129" name="Line 137"/>
        <xdr:cNvSpPr>
          <a:spLocks/>
        </xdr:cNvSpPr>
      </xdr:nvSpPr>
      <xdr:spPr>
        <a:xfrm>
          <a:off x="1724025" y="52197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152400</xdr:colOff>
      <xdr:row>38</xdr:row>
      <xdr:rowOff>0</xdr:rowOff>
    </xdr:from>
    <xdr:to>
      <xdr:col>11</xdr:col>
      <xdr:colOff>47625</xdr:colOff>
      <xdr:row>38</xdr:row>
      <xdr:rowOff>0</xdr:rowOff>
    </xdr:to>
    <xdr:sp>
      <xdr:nvSpPr>
        <xdr:cNvPr id="130" name="Line 138"/>
        <xdr:cNvSpPr>
          <a:spLocks/>
        </xdr:cNvSpPr>
      </xdr:nvSpPr>
      <xdr:spPr>
        <a:xfrm>
          <a:off x="1733550" y="657225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247650</xdr:colOff>
      <xdr:row>32</xdr:row>
      <xdr:rowOff>95250</xdr:rowOff>
    </xdr:from>
    <xdr:to>
      <xdr:col>8</xdr:col>
      <xdr:colOff>247650</xdr:colOff>
      <xdr:row>35</xdr:row>
      <xdr:rowOff>9525</xdr:rowOff>
    </xdr:to>
    <xdr:sp>
      <xdr:nvSpPr>
        <xdr:cNvPr id="131" name="Line 139"/>
        <xdr:cNvSpPr>
          <a:spLocks/>
        </xdr:cNvSpPr>
      </xdr:nvSpPr>
      <xdr:spPr>
        <a:xfrm>
          <a:off x="2019300" y="565785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85725</xdr:colOff>
      <xdr:row>33</xdr:row>
      <xdr:rowOff>0</xdr:rowOff>
    </xdr:from>
    <xdr:to>
      <xdr:col>10</xdr:col>
      <xdr:colOff>85725</xdr:colOff>
      <xdr:row>35</xdr:row>
      <xdr:rowOff>0</xdr:rowOff>
    </xdr:to>
    <xdr:sp>
      <xdr:nvSpPr>
        <xdr:cNvPr id="132" name="Line 140"/>
        <xdr:cNvSpPr>
          <a:spLocks/>
        </xdr:cNvSpPr>
      </xdr:nvSpPr>
      <xdr:spPr>
        <a:xfrm>
          <a:off x="2524125" y="56673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0</xdr:rowOff>
    </xdr:from>
    <xdr:to>
      <xdr:col>7</xdr:col>
      <xdr:colOff>152400</xdr:colOff>
      <xdr:row>31</xdr:row>
      <xdr:rowOff>0</xdr:rowOff>
    </xdr:to>
    <xdr:sp>
      <xdr:nvSpPr>
        <xdr:cNvPr id="133" name="Line 141"/>
        <xdr:cNvSpPr>
          <a:spLocks/>
        </xdr:cNvSpPr>
      </xdr:nvSpPr>
      <xdr:spPr>
        <a:xfrm flipV="1">
          <a:off x="1676400" y="5219700"/>
          <a:ext cx="5715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47625</xdr:colOff>
      <xdr:row>37</xdr:row>
      <xdr:rowOff>0</xdr:rowOff>
    </xdr:from>
    <xdr:to>
      <xdr:col>11</xdr:col>
      <xdr:colOff>104775</xdr:colOff>
      <xdr:row>38</xdr:row>
      <xdr:rowOff>0</xdr:rowOff>
    </xdr:to>
    <xdr:sp>
      <xdr:nvSpPr>
        <xdr:cNvPr id="134" name="Line 142"/>
        <xdr:cNvSpPr>
          <a:spLocks/>
        </xdr:cNvSpPr>
      </xdr:nvSpPr>
      <xdr:spPr>
        <a:xfrm flipV="1">
          <a:off x="2819400" y="6515100"/>
          <a:ext cx="5715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38100</xdr:colOff>
      <xdr:row>30</xdr:row>
      <xdr:rowOff>0</xdr:rowOff>
    </xdr:from>
    <xdr:to>
      <xdr:col>11</xdr:col>
      <xdr:colOff>95250</xdr:colOff>
      <xdr:row>31</xdr:row>
      <xdr:rowOff>0</xdr:rowOff>
    </xdr:to>
    <xdr:sp>
      <xdr:nvSpPr>
        <xdr:cNvPr id="135" name="Line 143"/>
        <xdr:cNvSpPr>
          <a:spLocks/>
        </xdr:cNvSpPr>
      </xdr:nvSpPr>
      <xdr:spPr>
        <a:xfrm flipH="1" flipV="1">
          <a:off x="2809875" y="5219700"/>
          <a:ext cx="57150" cy="571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0</xdr:rowOff>
    </xdr:from>
    <xdr:to>
      <xdr:col>7</xdr:col>
      <xdr:colOff>161925</xdr:colOff>
      <xdr:row>38</xdr:row>
      <xdr:rowOff>9525</xdr:rowOff>
    </xdr:to>
    <xdr:sp>
      <xdr:nvSpPr>
        <xdr:cNvPr id="136" name="Line 144"/>
        <xdr:cNvSpPr>
          <a:spLocks/>
        </xdr:cNvSpPr>
      </xdr:nvSpPr>
      <xdr:spPr>
        <a:xfrm flipH="1" flipV="1">
          <a:off x="1676400" y="6515100"/>
          <a:ext cx="666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36</xdr:row>
      <xdr:rowOff>0</xdr:rowOff>
    </xdr:to>
    <xdr:sp>
      <xdr:nvSpPr>
        <xdr:cNvPr id="137" name="Line 145"/>
        <xdr:cNvSpPr>
          <a:spLocks/>
        </xdr:cNvSpPr>
      </xdr:nvSpPr>
      <xdr:spPr>
        <a:xfrm>
          <a:off x="2105025" y="556260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36</xdr:row>
      <xdr:rowOff>0</xdr:rowOff>
    </xdr:to>
    <xdr:sp>
      <xdr:nvSpPr>
        <xdr:cNvPr id="138" name="Line 146"/>
        <xdr:cNvSpPr>
          <a:spLocks/>
        </xdr:cNvSpPr>
      </xdr:nvSpPr>
      <xdr:spPr>
        <a:xfrm>
          <a:off x="2438400" y="556260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57150</xdr:rowOff>
    </xdr:from>
    <xdr:to>
      <xdr:col>10</xdr:col>
      <xdr:colOff>314325</xdr:colOff>
      <xdr:row>31</xdr:row>
      <xdr:rowOff>57150</xdr:rowOff>
    </xdr:to>
    <xdr:sp>
      <xdr:nvSpPr>
        <xdr:cNvPr id="139" name="Line 147"/>
        <xdr:cNvSpPr>
          <a:spLocks/>
        </xdr:cNvSpPr>
      </xdr:nvSpPr>
      <xdr:spPr>
        <a:xfrm>
          <a:off x="1819275" y="533400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190500</xdr:rowOff>
    </xdr:from>
    <xdr:to>
      <xdr:col>9</xdr:col>
      <xdr:colOff>0</xdr:colOff>
      <xdr:row>32</xdr:row>
      <xdr:rowOff>0</xdr:rowOff>
    </xdr:to>
    <xdr:sp>
      <xdr:nvSpPr>
        <xdr:cNvPr id="140" name="Line 148"/>
        <xdr:cNvSpPr>
          <a:spLocks/>
        </xdr:cNvSpPr>
      </xdr:nvSpPr>
      <xdr:spPr>
        <a:xfrm>
          <a:off x="1819275" y="5467350"/>
          <a:ext cx="2857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180975</xdr:colOff>
      <xdr:row>31</xdr:row>
      <xdr:rowOff>114300</xdr:rowOff>
    </xdr:from>
    <xdr:to>
      <xdr:col>8</xdr:col>
      <xdr:colOff>66675</xdr:colOff>
      <xdr:row>31</xdr:row>
      <xdr:rowOff>200025</xdr:rowOff>
    </xdr:to>
    <xdr:sp>
      <xdr:nvSpPr>
        <xdr:cNvPr id="141" name="Arc 149"/>
        <xdr:cNvSpPr>
          <a:spLocks/>
        </xdr:cNvSpPr>
      </xdr:nvSpPr>
      <xdr:spPr>
        <a:xfrm flipH="1" flipV="1">
          <a:off x="1762125" y="5391150"/>
          <a:ext cx="7620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57150</xdr:colOff>
      <xdr:row>36</xdr:row>
      <xdr:rowOff>228600</xdr:rowOff>
    </xdr:from>
    <xdr:to>
      <xdr:col>10</xdr:col>
      <xdr:colOff>276225</xdr:colOff>
      <xdr:row>36</xdr:row>
      <xdr:rowOff>228600</xdr:rowOff>
    </xdr:to>
    <xdr:sp>
      <xdr:nvSpPr>
        <xdr:cNvPr id="142" name="Line 150"/>
        <xdr:cNvSpPr>
          <a:spLocks/>
        </xdr:cNvSpPr>
      </xdr:nvSpPr>
      <xdr:spPr>
        <a:xfrm flipV="1">
          <a:off x="1828800" y="6457950"/>
          <a:ext cx="885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57150</xdr:colOff>
      <xdr:row>35</xdr:row>
      <xdr:rowOff>95250</xdr:rowOff>
    </xdr:from>
    <xdr:to>
      <xdr:col>9</xdr:col>
      <xdr:colOff>0</xdr:colOff>
      <xdr:row>36</xdr:row>
      <xdr:rowOff>85725</xdr:rowOff>
    </xdr:to>
    <xdr:sp>
      <xdr:nvSpPr>
        <xdr:cNvPr id="143" name="Line 151"/>
        <xdr:cNvSpPr>
          <a:spLocks/>
        </xdr:cNvSpPr>
      </xdr:nvSpPr>
      <xdr:spPr>
        <a:xfrm flipH="1">
          <a:off x="1828800" y="6219825"/>
          <a:ext cx="276225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95250</xdr:rowOff>
    </xdr:from>
    <xdr:to>
      <xdr:col>10</xdr:col>
      <xdr:colOff>295275</xdr:colOff>
      <xdr:row>36</xdr:row>
      <xdr:rowOff>85725</xdr:rowOff>
    </xdr:to>
    <xdr:sp>
      <xdr:nvSpPr>
        <xdr:cNvPr id="144" name="Line 152"/>
        <xdr:cNvSpPr>
          <a:spLocks/>
        </xdr:cNvSpPr>
      </xdr:nvSpPr>
      <xdr:spPr>
        <a:xfrm>
          <a:off x="2438400" y="6219825"/>
          <a:ext cx="295275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200025</xdr:rowOff>
    </xdr:from>
    <xdr:to>
      <xdr:col>10</xdr:col>
      <xdr:colOff>304800</xdr:colOff>
      <xdr:row>32</xdr:row>
      <xdr:rowOff>0</xdr:rowOff>
    </xdr:to>
    <xdr:sp>
      <xdr:nvSpPr>
        <xdr:cNvPr id="145" name="Line 153"/>
        <xdr:cNvSpPr>
          <a:spLocks/>
        </xdr:cNvSpPr>
      </xdr:nvSpPr>
      <xdr:spPr>
        <a:xfrm flipV="1">
          <a:off x="2438400" y="547687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85725</xdr:rowOff>
    </xdr:from>
    <xdr:to>
      <xdr:col>8</xdr:col>
      <xdr:colOff>76200</xdr:colOff>
      <xdr:row>36</xdr:row>
      <xdr:rowOff>171450</xdr:rowOff>
    </xdr:to>
    <xdr:sp>
      <xdr:nvSpPr>
        <xdr:cNvPr id="146" name="Arc 154"/>
        <xdr:cNvSpPr>
          <a:spLocks/>
        </xdr:cNvSpPr>
      </xdr:nvSpPr>
      <xdr:spPr>
        <a:xfrm flipH="1">
          <a:off x="1762125" y="6315075"/>
          <a:ext cx="857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161925</xdr:rowOff>
    </xdr:from>
    <xdr:to>
      <xdr:col>8</xdr:col>
      <xdr:colOff>57150</xdr:colOff>
      <xdr:row>36</xdr:row>
      <xdr:rowOff>228600</xdr:rowOff>
    </xdr:to>
    <xdr:sp>
      <xdr:nvSpPr>
        <xdr:cNvPr id="147" name="Arc 155"/>
        <xdr:cNvSpPr>
          <a:spLocks/>
        </xdr:cNvSpPr>
      </xdr:nvSpPr>
      <xdr:spPr>
        <a:xfrm flipH="1" flipV="1">
          <a:off x="1762125" y="6391275"/>
          <a:ext cx="666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57150</xdr:rowOff>
    </xdr:from>
    <xdr:to>
      <xdr:col>11</xdr:col>
      <xdr:colOff>28575</xdr:colOff>
      <xdr:row>31</xdr:row>
      <xdr:rowOff>114300</xdr:rowOff>
    </xdr:to>
    <xdr:sp>
      <xdr:nvSpPr>
        <xdr:cNvPr id="148" name="Arc 156"/>
        <xdr:cNvSpPr>
          <a:spLocks/>
        </xdr:cNvSpPr>
      </xdr:nvSpPr>
      <xdr:spPr>
        <a:xfrm>
          <a:off x="2733675" y="5334000"/>
          <a:ext cx="66675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304800</xdr:colOff>
      <xdr:row>31</xdr:row>
      <xdr:rowOff>104775</xdr:rowOff>
    </xdr:from>
    <xdr:to>
      <xdr:col>11</xdr:col>
      <xdr:colOff>28575</xdr:colOff>
      <xdr:row>31</xdr:row>
      <xdr:rowOff>200025</xdr:rowOff>
    </xdr:to>
    <xdr:sp>
      <xdr:nvSpPr>
        <xdr:cNvPr id="149" name="Arc 157"/>
        <xdr:cNvSpPr>
          <a:spLocks/>
        </xdr:cNvSpPr>
      </xdr:nvSpPr>
      <xdr:spPr>
        <a:xfrm flipV="1">
          <a:off x="2743200" y="5381625"/>
          <a:ext cx="57150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276225</xdr:colOff>
      <xdr:row>36</xdr:row>
      <xdr:rowOff>161925</xdr:rowOff>
    </xdr:from>
    <xdr:to>
      <xdr:col>11</xdr:col>
      <xdr:colOff>9525</xdr:colOff>
      <xdr:row>36</xdr:row>
      <xdr:rowOff>228600</xdr:rowOff>
    </xdr:to>
    <xdr:sp>
      <xdr:nvSpPr>
        <xdr:cNvPr id="150" name="Arc 158"/>
        <xdr:cNvSpPr>
          <a:spLocks/>
        </xdr:cNvSpPr>
      </xdr:nvSpPr>
      <xdr:spPr>
        <a:xfrm flipV="1">
          <a:off x="2714625" y="6391275"/>
          <a:ext cx="666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104775</xdr:colOff>
      <xdr:row>27</xdr:row>
      <xdr:rowOff>238125</xdr:rowOff>
    </xdr:from>
    <xdr:to>
      <xdr:col>7</xdr:col>
      <xdr:colOff>104775</xdr:colOff>
      <xdr:row>28</xdr:row>
      <xdr:rowOff>161925</xdr:rowOff>
    </xdr:to>
    <xdr:sp>
      <xdr:nvSpPr>
        <xdr:cNvPr id="151" name="Line 159"/>
        <xdr:cNvSpPr>
          <a:spLocks/>
        </xdr:cNvSpPr>
      </xdr:nvSpPr>
      <xdr:spPr>
        <a:xfrm>
          <a:off x="1685925" y="47053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161925</xdr:rowOff>
    </xdr:from>
    <xdr:to>
      <xdr:col>7</xdr:col>
      <xdr:colOff>114300</xdr:colOff>
      <xdr:row>27</xdr:row>
      <xdr:rowOff>104775</xdr:rowOff>
    </xdr:to>
    <xdr:sp>
      <xdr:nvSpPr>
        <xdr:cNvPr id="152" name="Line 160"/>
        <xdr:cNvSpPr>
          <a:spLocks/>
        </xdr:cNvSpPr>
      </xdr:nvSpPr>
      <xdr:spPr>
        <a:xfrm>
          <a:off x="1695450" y="43624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95250</xdr:colOff>
      <xdr:row>27</xdr:row>
      <xdr:rowOff>219075</xdr:rowOff>
    </xdr:from>
    <xdr:to>
      <xdr:col>11</xdr:col>
      <xdr:colOff>95250</xdr:colOff>
      <xdr:row>28</xdr:row>
      <xdr:rowOff>152400</xdr:rowOff>
    </xdr:to>
    <xdr:sp>
      <xdr:nvSpPr>
        <xdr:cNvPr id="153" name="Line 161"/>
        <xdr:cNvSpPr>
          <a:spLocks/>
        </xdr:cNvSpPr>
      </xdr:nvSpPr>
      <xdr:spPr>
        <a:xfrm>
          <a:off x="2867025" y="46863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95250</xdr:colOff>
      <xdr:row>26</xdr:row>
      <xdr:rowOff>161925</xdr:rowOff>
    </xdr:from>
    <xdr:to>
      <xdr:col>11</xdr:col>
      <xdr:colOff>95250</xdr:colOff>
      <xdr:row>27</xdr:row>
      <xdr:rowOff>104775</xdr:rowOff>
    </xdr:to>
    <xdr:sp>
      <xdr:nvSpPr>
        <xdr:cNvPr id="154" name="Line 162"/>
        <xdr:cNvSpPr>
          <a:spLocks/>
        </xdr:cNvSpPr>
      </xdr:nvSpPr>
      <xdr:spPr>
        <a:xfrm>
          <a:off x="2867025" y="43624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228600</xdr:rowOff>
    </xdr:from>
    <xdr:to>
      <xdr:col>7</xdr:col>
      <xdr:colOff>152400</xdr:colOff>
      <xdr:row>27</xdr:row>
      <xdr:rowOff>28575</xdr:rowOff>
    </xdr:to>
    <xdr:sp>
      <xdr:nvSpPr>
        <xdr:cNvPr id="155" name="Oval 163"/>
        <xdr:cNvSpPr>
          <a:spLocks/>
        </xdr:cNvSpPr>
      </xdr:nvSpPr>
      <xdr:spPr>
        <a:xfrm>
          <a:off x="1666875" y="442912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66675</xdr:colOff>
      <xdr:row>26</xdr:row>
      <xdr:rowOff>228600</xdr:rowOff>
    </xdr:from>
    <xdr:to>
      <xdr:col>11</xdr:col>
      <xdr:colOff>133350</xdr:colOff>
      <xdr:row>27</xdr:row>
      <xdr:rowOff>28575</xdr:rowOff>
    </xdr:to>
    <xdr:sp>
      <xdr:nvSpPr>
        <xdr:cNvPr id="156" name="Oval 164"/>
        <xdr:cNvSpPr>
          <a:spLocks/>
        </xdr:cNvSpPr>
      </xdr:nvSpPr>
      <xdr:spPr>
        <a:xfrm>
          <a:off x="2838450" y="442912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66675</xdr:colOff>
      <xdr:row>28</xdr:row>
      <xdr:rowOff>28575</xdr:rowOff>
    </xdr:from>
    <xdr:to>
      <xdr:col>11</xdr:col>
      <xdr:colOff>133350</xdr:colOff>
      <xdr:row>28</xdr:row>
      <xdr:rowOff>95250</xdr:rowOff>
    </xdr:to>
    <xdr:sp>
      <xdr:nvSpPr>
        <xdr:cNvPr id="157" name="Oval 165"/>
        <xdr:cNvSpPr>
          <a:spLocks/>
        </xdr:cNvSpPr>
      </xdr:nvSpPr>
      <xdr:spPr>
        <a:xfrm>
          <a:off x="2838450" y="47625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133350</xdr:colOff>
      <xdr:row>28</xdr:row>
      <xdr:rowOff>95250</xdr:rowOff>
    </xdr:to>
    <xdr:sp>
      <xdr:nvSpPr>
        <xdr:cNvPr id="158" name="Oval 166"/>
        <xdr:cNvSpPr>
          <a:spLocks/>
        </xdr:cNvSpPr>
      </xdr:nvSpPr>
      <xdr:spPr>
        <a:xfrm>
          <a:off x="1647825" y="47625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0</xdr:rowOff>
    </xdr:from>
    <xdr:to>
      <xdr:col>3</xdr:col>
      <xdr:colOff>123825</xdr:colOff>
      <xdr:row>30</xdr:row>
      <xdr:rowOff>0</xdr:rowOff>
    </xdr:to>
    <xdr:sp>
      <xdr:nvSpPr>
        <xdr:cNvPr id="159" name="Line 167"/>
        <xdr:cNvSpPr>
          <a:spLocks/>
        </xdr:cNvSpPr>
      </xdr:nvSpPr>
      <xdr:spPr>
        <a:xfrm>
          <a:off x="742950" y="5219700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30</xdr:row>
      <xdr:rowOff>0</xdr:rowOff>
    </xdr:from>
    <xdr:to>
      <xdr:col>6</xdr:col>
      <xdr:colOff>123825</xdr:colOff>
      <xdr:row>30</xdr:row>
      <xdr:rowOff>0</xdr:rowOff>
    </xdr:to>
    <xdr:sp>
      <xdr:nvSpPr>
        <xdr:cNvPr id="160" name="Line 168"/>
        <xdr:cNvSpPr>
          <a:spLocks/>
        </xdr:cNvSpPr>
      </xdr:nvSpPr>
      <xdr:spPr>
        <a:xfrm>
          <a:off x="1295400" y="52197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0</xdr:rowOff>
    </xdr:from>
    <xdr:to>
      <xdr:col>3</xdr:col>
      <xdr:colOff>104775</xdr:colOff>
      <xdr:row>38</xdr:row>
      <xdr:rowOff>0</xdr:rowOff>
    </xdr:to>
    <xdr:sp>
      <xdr:nvSpPr>
        <xdr:cNvPr id="161" name="Line 169"/>
        <xdr:cNvSpPr>
          <a:spLocks/>
        </xdr:cNvSpPr>
      </xdr:nvSpPr>
      <xdr:spPr>
        <a:xfrm>
          <a:off x="742950" y="6572250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0</xdr:rowOff>
    </xdr:from>
    <xdr:to>
      <xdr:col>6</xdr:col>
      <xdr:colOff>133350</xdr:colOff>
      <xdr:row>38</xdr:row>
      <xdr:rowOff>0</xdr:rowOff>
    </xdr:to>
    <xdr:sp>
      <xdr:nvSpPr>
        <xdr:cNvPr id="162" name="Line 170"/>
        <xdr:cNvSpPr>
          <a:spLocks/>
        </xdr:cNvSpPr>
      </xdr:nvSpPr>
      <xdr:spPr>
        <a:xfrm>
          <a:off x="1295400" y="6572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104775</xdr:colOff>
      <xdr:row>29</xdr:row>
      <xdr:rowOff>180975</xdr:rowOff>
    </xdr:from>
    <xdr:to>
      <xdr:col>3</xdr:col>
      <xdr:colOff>57150</xdr:colOff>
      <xdr:row>30</xdr:row>
      <xdr:rowOff>28575</xdr:rowOff>
    </xdr:to>
    <xdr:sp>
      <xdr:nvSpPr>
        <xdr:cNvPr id="163" name="Oval 171"/>
        <xdr:cNvSpPr>
          <a:spLocks/>
        </xdr:cNvSpPr>
      </xdr:nvSpPr>
      <xdr:spPr>
        <a:xfrm>
          <a:off x="809625" y="51816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180975</xdr:rowOff>
    </xdr:from>
    <xdr:to>
      <xdr:col>6</xdr:col>
      <xdr:colOff>38100</xdr:colOff>
      <xdr:row>30</xdr:row>
      <xdr:rowOff>28575</xdr:rowOff>
    </xdr:to>
    <xdr:sp>
      <xdr:nvSpPr>
        <xdr:cNvPr id="164" name="Oval 172"/>
        <xdr:cNvSpPr>
          <a:spLocks/>
        </xdr:cNvSpPr>
      </xdr:nvSpPr>
      <xdr:spPr>
        <a:xfrm>
          <a:off x="1362075" y="51816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161925</xdr:colOff>
      <xdr:row>37</xdr:row>
      <xdr:rowOff>19050</xdr:rowOff>
    </xdr:from>
    <xdr:to>
      <xdr:col>6</xdr:col>
      <xdr:colOff>38100</xdr:colOff>
      <xdr:row>38</xdr:row>
      <xdr:rowOff>28575</xdr:rowOff>
    </xdr:to>
    <xdr:sp>
      <xdr:nvSpPr>
        <xdr:cNvPr id="165" name="Oval 173"/>
        <xdr:cNvSpPr>
          <a:spLocks/>
        </xdr:cNvSpPr>
      </xdr:nvSpPr>
      <xdr:spPr>
        <a:xfrm>
          <a:off x="1362075" y="65341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19050</xdr:rowOff>
    </xdr:from>
    <xdr:to>
      <xdr:col>3</xdr:col>
      <xdr:colOff>57150</xdr:colOff>
      <xdr:row>38</xdr:row>
      <xdr:rowOff>28575</xdr:rowOff>
    </xdr:to>
    <xdr:sp>
      <xdr:nvSpPr>
        <xdr:cNvPr id="166" name="Oval 174"/>
        <xdr:cNvSpPr>
          <a:spLocks/>
        </xdr:cNvSpPr>
      </xdr:nvSpPr>
      <xdr:spPr>
        <a:xfrm>
          <a:off x="809625" y="65341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57150</xdr:colOff>
      <xdr:row>31</xdr:row>
      <xdr:rowOff>76200</xdr:rowOff>
    </xdr:from>
    <xdr:to>
      <xdr:col>8</xdr:col>
      <xdr:colOff>85725</xdr:colOff>
      <xdr:row>31</xdr:row>
      <xdr:rowOff>123825</xdr:rowOff>
    </xdr:to>
    <xdr:sp>
      <xdr:nvSpPr>
        <xdr:cNvPr id="167" name="Oval 175"/>
        <xdr:cNvSpPr>
          <a:spLocks/>
        </xdr:cNvSpPr>
      </xdr:nvSpPr>
      <xdr:spPr>
        <a:xfrm>
          <a:off x="182880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152400</xdr:rowOff>
    </xdr:from>
    <xdr:to>
      <xdr:col>8</xdr:col>
      <xdr:colOff>76200</xdr:colOff>
      <xdr:row>36</xdr:row>
      <xdr:rowOff>200025</xdr:rowOff>
    </xdr:to>
    <xdr:sp>
      <xdr:nvSpPr>
        <xdr:cNvPr id="168" name="Oval 176"/>
        <xdr:cNvSpPr>
          <a:spLocks/>
        </xdr:cNvSpPr>
      </xdr:nvSpPr>
      <xdr:spPr>
        <a:xfrm>
          <a:off x="181927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276225</xdr:colOff>
      <xdr:row>31</xdr:row>
      <xdr:rowOff>76200</xdr:rowOff>
    </xdr:from>
    <xdr:to>
      <xdr:col>10</xdr:col>
      <xdr:colOff>304800</xdr:colOff>
      <xdr:row>31</xdr:row>
      <xdr:rowOff>123825</xdr:rowOff>
    </xdr:to>
    <xdr:sp>
      <xdr:nvSpPr>
        <xdr:cNvPr id="169" name="Oval 177"/>
        <xdr:cNvSpPr>
          <a:spLocks/>
        </xdr:cNvSpPr>
      </xdr:nvSpPr>
      <xdr:spPr>
        <a:xfrm>
          <a:off x="2714625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266700</xdr:colOff>
      <xdr:row>36</xdr:row>
      <xdr:rowOff>142875</xdr:rowOff>
    </xdr:from>
    <xdr:to>
      <xdr:col>10</xdr:col>
      <xdr:colOff>295275</xdr:colOff>
      <xdr:row>36</xdr:row>
      <xdr:rowOff>190500</xdr:rowOff>
    </xdr:to>
    <xdr:sp>
      <xdr:nvSpPr>
        <xdr:cNvPr id="170" name="Oval 178"/>
        <xdr:cNvSpPr>
          <a:spLocks/>
        </xdr:cNvSpPr>
      </xdr:nvSpPr>
      <xdr:spPr>
        <a:xfrm>
          <a:off x="2705100" y="637222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257175</xdr:colOff>
      <xdr:row>27</xdr:row>
      <xdr:rowOff>247650</xdr:rowOff>
    </xdr:from>
    <xdr:to>
      <xdr:col>8</xdr:col>
      <xdr:colOff>257175</xdr:colOff>
      <xdr:row>28</xdr:row>
      <xdr:rowOff>180975</xdr:rowOff>
    </xdr:to>
    <xdr:sp>
      <xdr:nvSpPr>
        <xdr:cNvPr id="171" name="Line 179"/>
        <xdr:cNvSpPr>
          <a:spLocks/>
        </xdr:cNvSpPr>
      </xdr:nvSpPr>
      <xdr:spPr>
        <a:xfrm>
          <a:off x="2028825" y="47148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95250</xdr:colOff>
      <xdr:row>27</xdr:row>
      <xdr:rowOff>257175</xdr:rowOff>
    </xdr:from>
    <xdr:to>
      <xdr:col>10</xdr:col>
      <xdr:colOff>95250</xdr:colOff>
      <xdr:row>28</xdr:row>
      <xdr:rowOff>171450</xdr:rowOff>
    </xdr:to>
    <xdr:sp>
      <xdr:nvSpPr>
        <xdr:cNvPr id="172" name="Line 180"/>
        <xdr:cNvSpPr>
          <a:spLocks/>
        </xdr:cNvSpPr>
      </xdr:nvSpPr>
      <xdr:spPr>
        <a:xfrm>
          <a:off x="2533650" y="4724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228600</xdr:colOff>
      <xdr:row>28</xdr:row>
      <xdr:rowOff>28575</xdr:rowOff>
    </xdr:from>
    <xdr:to>
      <xdr:col>8</xdr:col>
      <xdr:colOff>295275</xdr:colOff>
      <xdr:row>28</xdr:row>
      <xdr:rowOff>95250</xdr:rowOff>
    </xdr:to>
    <xdr:sp>
      <xdr:nvSpPr>
        <xdr:cNvPr id="173" name="Oval 181"/>
        <xdr:cNvSpPr>
          <a:spLocks/>
        </xdr:cNvSpPr>
      </xdr:nvSpPr>
      <xdr:spPr>
        <a:xfrm>
          <a:off x="2000250" y="47625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66675</xdr:colOff>
      <xdr:row>28</xdr:row>
      <xdr:rowOff>28575</xdr:rowOff>
    </xdr:from>
    <xdr:to>
      <xdr:col>10</xdr:col>
      <xdr:colOff>133350</xdr:colOff>
      <xdr:row>28</xdr:row>
      <xdr:rowOff>95250</xdr:rowOff>
    </xdr:to>
    <xdr:sp>
      <xdr:nvSpPr>
        <xdr:cNvPr id="174" name="Oval 182"/>
        <xdr:cNvSpPr>
          <a:spLocks/>
        </xdr:cNvSpPr>
      </xdr:nvSpPr>
      <xdr:spPr>
        <a:xfrm>
          <a:off x="2505075" y="47625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0</xdr:rowOff>
    </xdr:from>
    <xdr:to>
      <xdr:col>10</xdr:col>
      <xdr:colOff>66675</xdr:colOff>
      <xdr:row>27</xdr:row>
      <xdr:rowOff>19050</xdr:rowOff>
    </xdr:to>
    <xdr:sp>
      <xdr:nvSpPr>
        <xdr:cNvPr id="175" name="Text 1532"/>
        <xdr:cNvSpPr txBox="1">
          <a:spLocks noChangeArrowheads="1"/>
        </xdr:cNvSpPr>
      </xdr:nvSpPr>
      <xdr:spPr>
        <a:xfrm>
          <a:off x="2162175" y="4200525"/>
          <a:ext cx="3429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40</a:t>
          </a:r>
        </a:p>
      </xdr:txBody>
    </xdr:sp>
    <xdr:clientData/>
  </xdr:twoCellAnchor>
  <xdr:twoCellAnchor>
    <xdr:from>
      <xdr:col>1</xdr:col>
      <xdr:colOff>57150</xdr:colOff>
      <xdr:row>33</xdr:row>
      <xdr:rowOff>66675</xdr:rowOff>
    </xdr:from>
    <xdr:to>
      <xdr:col>2</xdr:col>
      <xdr:colOff>104775</xdr:colOff>
      <xdr:row>34</xdr:row>
      <xdr:rowOff>85725</xdr:rowOff>
    </xdr:to>
    <xdr:sp>
      <xdr:nvSpPr>
        <xdr:cNvPr id="176" name="Text 1533"/>
        <xdr:cNvSpPr txBox="1">
          <a:spLocks noChangeArrowheads="1"/>
        </xdr:cNvSpPr>
      </xdr:nvSpPr>
      <xdr:spPr>
        <a:xfrm>
          <a:off x="561975" y="5734050"/>
          <a:ext cx="2476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40</a:t>
          </a:r>
        </a:p>
      </xdr:txBody>
    </xdr:sp>
    <xdr:clientData/>
  </xdr:twoCellAnchor>
  <xdr:twoCellAnchor>
    <xdr:from>
      <xdr:col>5</xdr:col>
      <xdr:colOff>104775</xdr:colOff>
      <xdr:row>32</xdr:row>
      <xdr:rowOff>0</xdr:rowOff>
    </xdr:from>
    <xdr:to>
      <xdr:col>6</xdr:col>
      <xdr:colOff>142875</xdr:colOff>
      <xdr:row>32</xdr:row>
      <xdr:rowOff>0</xdr:rowOff>
    </xdr:to>
    <xdr:sp>
      <xdr:nvSpPr>
        <xdr:cNvPr id="177" name="Line 185"/>
        <xdr:cNvSpPr>
          <a:spLocks/>
        </xdr:cNvSpPr>
      </xdr:nvSpPr>
      <xdr:spPr>
        <a:xfrm>
          <a:off x="1304925" y="5562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0</xdr:rowOff>
    </xdr:from>
    <xdr:to>
      <xdr:col>6</xdr:col>
      <xdr:colOff>133350</xdr:colOff>
      <xdr:row>33</xdr:row>
      <xdr:rowOff>0</xdr:rowOff>
    </xdr:to>
    <xdr:sp>
      <xdr:nvSpPr>
        <xdr:cNvPr id="178" name="Line 186"/>
        <xdr:cNvSpPr>
          <a:spLocks/>
        </xdr:cNvSpPr>
      </xdr:nvSpPr>
      <xdr:spPr>
        <a:xfrm>
          <a:off x="1295400" y="56673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35</xdr:row>
      <xdr:rowOff>0</xdr:rowOff>
    </xdr:from>
    <xdr:to>
      <xdr:col>6</xdr:col>
      <xdr:colOff>133350</xdr:colOff>
      <xdr:row>35</xdr:row>
      <xdr:rowOff>0</xdr:rowOff>
    </xdr:to>
    <xdr:sp>
      <xdr:nvSpPr>
        <xdr:cNvPr id="179" name="Line 187"/>
        <xdr:cNvSpPr>
          <a:spLocks/>
        </xdr:cNvSpPr>
      </xdr:nvSpPr>
      <xdr:spPr>
        <a:xfrm>
          <a:off x="1295400" y="6124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95250</xdr:colOff>
      <xdr:row>36</xdr:row>
      <xdr:rowOff>0</xdr:rowOff>
    </xdr:from>
    <xdr:to>
      <xdr:col>6</xdr:col>
      <xdr:colOff>133350</xdr:colOff>
      <xdr:row>36</xdr:row>
      <xdr:rowOff>0</xdr:rowOff>
    </xdr:to>
    <xdr:sp>
      <xdr:nvSpPr>
        <xdr:cNvPr id="180" name="Line 188"/>
        <xdr:cNvSpPr>
          <a:spLocks/>
        </xdr:cNvSpPr>
      </xdr:nvSpPr>
      <xdr:spPr>
        <a:xfrm>
          <a:off x="1295400" y="62293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152400</xdr:colOff>
      <xdr:row>31</xdr:row>
      <xdr:rowOff>257175</xdr:rowOff>
    </xdr:from>
    <xdr:to>
      <xdr:col>6</xdr:col>
      <xdr:colOff>28575</xdr:colOff>
      <xdr:row>32</xdr:row>
      <xdr:rowOff>38100</xdr:rowOff>
    </xdr:to>
    <xdr:sp>
      <xdr:nvSpPr>
        <xdr:cNvPr id="181" name="Oval 189"/>
        <xdr:cNvSpPr>
          <a:spLocks/>
        </xdr:cNvSpPr>
      </xdr:nvSpPr>
      <xdr:spPr>
        <a:xfrm>
          <a:off x="1352550" y="553402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152400</xdr:colOff>
      <xdr:row>32</xdr:row>
      <xdr:rowOff>76200</xdr:rowOff>
    </xdr:from>
    <xdr:to>
      <xdr:col>6</xdr:col>
      <xdr:colOff>28575</xdr:colOff>
      <xdr:row>33</xdr:row>
      <xdr:rowOff>38100</xdr:rowOff>
    </xdr:to>
    <xdr:sp>
      <xdr:nvSpPr>
        <xdr:cNvPr id="182" name="Oval 190"/>
        <xdr:cNvSpPr>
          <a:spLocks/>
        </xdr:cNvSpPr>
      </xdr:nvSpPr>
      <xdr:spPr>
        <a:xfrm>
          <a:off x="1352550" y="56388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152400</xdr:colOff>
      <xdr:row>34</xdr:row>
      <xdr:rowOff>190500</xdr:rowOff>
    </xdr:from>
    <xdr:to>
      <xdr:col>6</xdr:col>
      <xdr:colOff>28575</xdr:colOff>
      <xdr:row>35</xdr:row>
      <xdr:rowOff>28575</xdr:rowOff>
    </xdr:to>
    <xdr:sp>
      <xdr:nvSpPr>
        <xdr:cNvPr id="183" name="Oval 191"/>
        <xdr:cNvSpPr>
          <a:spLocks/>
        </xdr:cNvSpPr>
      </xdr:nvSpPr>
      <xdr:spPr>
        <a:xfrm>
          <a:off x="1352550" y="60864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152400</xdr:colOff>
      <xdr:row>35</xdr:row>
      <xdr:rowOff>66675</xdr:rowOff>
    </xdr:from>
    <xdr:to>
      <xdr:col>6</xdr:col>
      <xdr:colOff>28575</xdr:colOff>
      <xdr:row>36</xdr:row>
      <xdr:rowOff>28575</xdr:rowOff>
    </xdr:to>
    <xdr:sp>
      <xdr:nvSpPr>
        <xdr:cNvPr id="184" name="Oval 192"/>
        <xdr:cNvSpPr>
          <a:spLocks/>
        </xdr:cNvSpPr>
      </xdr:nvSpPr>
      <xdr:spPr>
        <a:xfrm>
          <a:off x="1352550" y="61912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9525</xdr:rowOff>
    </xdr:from>
    <xdr:to>
      <xdr:col>8</xdr:col>
      <xdr:colOff>257175</xdr:colOff>
      <xdr:row>28</xdr:row>
      <xdr:rowOff>47625</xdr:rowOff>
    </xdr:to>
    <xdr:sp>
      <xdr:nvSpPr>
        <xdr:cNvPr id="185" name="Text 1567"/>
        <xdr:cNvSpPr txBox="1">
          <a:spLocks noChangeArrowheads="1"/>
        </xdr:cNvSpPr>
      </xdr:nvSpPr>
      <xdr:spPr>
        <a:xfrm>
          <a:off x="1733550" y="4476750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12</a:t>
          </a:r>
        </a:p>
      </xdr:txBody>
    </xdr:sp>
    <xdr:clientData/>
  </xdr:twoCellAnchor>
  <xdr:twoCellAnchor>
    <xdr:from>
      <xdr:col>10</xdr:col>
      <xdr:colOff>171450</xdr:colOff>
      <xdr:row>27</xdr:row>
      <xdr:rowOff>9525</xdr:rowOff>
    </xdr:from>
    <xdr:to>
      <xdr:col>11</xdr:col>
      <xdr:colOff>133350</xdr:colOff>
      <xdr:row>28</xdr:row>
      <xdr:rowOff>47625</xdr:rowOff>
    </xdr:to>
    <xdr:sp>
      <xdr:nvSpPr>
        <xdr:cNvPr id="186" name="Text 1568"/>
        <xdr:cNvSpPr txBox="1">
          <a:spLocks noChangeArrowheads="1"/>
        </xdr:cNvSpPr>
      </xdr:nvSpPr>
      <xdr:spPr>
        <a:xfrm>
          <a:off x="2609850" y="4476750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</a:t>
          </a:r>
        </a:p>
      </xdr:txBody>
    </xdr:sp>
    <xdr:clientData/>
  </xdr:twoCellAnchor>
  <xdr:twoCellAnchor>
    <xdr:from>
      <xdr:col>9</xdr:col>
      <xdr:colOff>123825</xdr:colOff>
      <xdr:row>27</xdr:row>
      <xdr:rowOff>9525</xdr:rowOff>
    </xdr:from>
    <xdr:to>
      <xdr:col>10</xdr:col>
      <xdr:colOff>85725</xdr:colOff>
      <xdr:row>28</xdr:row>
      <xdr:rowOff>47625</xdr:rowOff>
    </xdr:to>
    <xdr:sp>
      <xdr:nvSpPr>
        <xdr:cNvPr id="187" name="Text 1569"/>
        <xdr:cNvSpPr txBox="1">
          <a:spLocks noChangeArrowheads="1"/>
        </xdr:cNvSpPr>
      </xdr:nvSpPr>
      <xdr:spPr>
        <a:xfrm>
          <a:off x="2228850" y="4476750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16</a:t>
          </a:r>
        </a:p>
      </xdr:txBody>
    </xdr:sp>
    <xdr:clientData/>
  </xdr:twoCellAnchor>
  <xdr:twoCellAnchor>
    <xdr:from>
      <xdr:col>4</xdr:col>
      <xdr:colOff>28575</xdr:colOff>
      <xdr:row>30</xdr:row>
      <xdr:rowOff>28575</xdr:rowOff>
    </xdr:from>
    <xdr:to>
      <xdr:col>5</xdr:col>
      <xdr:colOff>133350</xdr:colOff>
      <xdr:row>31</xdr:row>
      <xdr:rowOff>276225</xdr:rowOff>
    </xdr:to>
    <xdr:sp>
      <xdr:nvSpPr>
        <xdr:cNvPr id="188" name="Text 1572"/>
        <xdr:cNvSpPr txBox="1">
          <a:spLocks noChangeArrowheads="1"/>
        </xdr:cNvSpPr>
      </xdr:nvSpPr>
      <xdr:spPr>
        <a:xfrm>
          <a:off x="1038225" y="5248275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</a:p>
      </xdr:txBody>
    </xdr:sp>
    <xdr:clientData/>
  </xdr:twoCellAnchor>
  <xdr:twoCellAnchor>
    <xdr:from>
      <xdr:col>4</xdr:col>
      <xdr:colOff>38100</xdr:colOff>
      <xdr:row>36</xdr:row>
      <xdr:rowOff>9525</xdr:rowOff>
    </xdr:from>
    <xdr:to>
      <xdr:col>5</xdr:col>
      <xdr:colOff>142875</xdr:colOff>
      <xdr:row>37</xdr:row>
      <xdr:rowOff>28575</xdr:rowOff>
    </xdr:to>
    <xdr:sp>
      <xdr:nvSpPr>
        <xdr:cNvPr id="189" name="Text 1573"/>
        <xdr:cNvSpPr txBox="1">
          <a:spLocks noChangeArrowheads="1"/>
        </xdr:cNvSpPr>
      </xdr:nvSpPr>
      <xdr:spPr>
        <a:xfrm>
          <a:off x="1047750" y="6238875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11</a:t>
          </a:r>
        </a:p>
      </xdr:txBody>
    </xdr:sp>
    <xdr:clientData/>
  </xdr:twoCellAnchor>
  <xdr:twoCellAnchor>
    <xdr:from>
      <xdr:col>4</xdr:col>
      <xdr:colOff>0</xdr:colOff>
      <xdr:row>33</xdr:row>
      <xdr:rowOff>66675</xdr:rowOff>
    </xdr:from>
    <xdr:to>
      <xdr:col>5</xdr:col>
      <xdr:colOff>104775</xdr:colOff>
      <xdr:row>34</xdr:row>
      <xdr:rowOff>85725</xdr:rowOff>
    </xdr:to>
    <xdr:sp>
      <xdr:nvSpPr>
        <xdr:cNvPr id="190" name="Text 1574"/>
        <xdr:cNvSpPr txBox="1">
          <a:spLocks noChangeArrowheads="1"/>
        </xdr:cNvSpPr>
      </xdr:nvSpPr>
      <xdr:spPr>
        <a:xfrm>
          <a:off x="1009650" y="5734050"/>
          <a:ext cx="2952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12</a:t>
          </a:r>
        </a:p>
      </xdr:txBody>
    </xdr:sp>
    <xdr:clientData/>
  </xdr:twoCellAnchor>
  <xdr:twoCellAnchor>
    <xdr:from>
      <xdr:col>4</xdr:col>
      <xdr:colOff>28575</xdr:colOff>
      <xdr:row>31</xdr:row>
      <xdr:rowOff>171450</xdr:rowOff>
    </xdr:from>
    <xdr:to>
      <xdr:col>5</xdr:col>
      <xdr:colOff>133350</xdr:colOff>
      <xdr:row>33</xdr:row>
      <xdr:rowOff>47625</xdr:rowOff>
    </xdr:to>
    <xdr:sp>
      <xdr:nvSpPr>
        <xdr:cNvPr id="191" name="Text 1575"/>
        <xdr:cNvSpPr txBox="1">
          <a:spLocks noChangeArrowheads="1"/>
        </xdr:cNvSpPr>
      </xdr:nvSpPr>
      <xdr:spPr>
        <a:xfrm>
          <a:off x="1038225" y="5448300"/>
          <a:ext cx="2952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</a:p>
      </xdr:txBody>
    </xdr:sp>
    <xdr:clientData/>
  </xdr:twoCellAnchor>
  <xdr:twoCellAnchor>
    <xdr:from>
      <xdr:col>4</xdr:col>
      <xdr:colOff>38100</xdr:colOff>
      <xdr:row>34</xdr:row>
      <xdr:rowOff>114300</xdr:rowOff>
    </xdr:from>
    <xdr:to>
      <xdr:col>5</xdr:col>
      <xdr:colOff>142875</xdr:colOff>
      <xdr:row>36</xdr:row>
      <xdr:rowOff>66675</xdr:rowOff>
    </xdr:to>
    <xdr:sp>
      <xdr:nvSpPr>
        <xdr:cNvPr id="192" name="Text 1576"/>
        <xdr:cNvSpPr txBox="1">
          <a:spLocks noChangeArrowheads="1"/>
        </xdr:cNvSpPr>
      </xdr:nvSpPr>
      <xdr:spPr>
        <a:xfrm>
          <a:off x="1047750" y="6010275"/>
          <a:ext cx="2952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</a:p>
      </xdr:txBody>
    </xdr:sp>
    <xdr:clientData/>
  </xdr:twoCellAnchor>
  <xdr:twoCellAnchor>
    <xdr:from>
      <xdr:col>7</xdr:col>
      <xdr:colOff>180975</xdr:colOff>
      <xdr:row>31</xdr:row>
      <xdr:rowOff>57150</xdr:rowOff>
    </xdr:from>
    <xdr:to>
      <xdr:col>8</xdr:col>
      <xdr:colOff>57150</xdr:colOff>
      <xdr:row>31</xdr:row>
      <xdr:rowOff>133350</xdr:rowOff>
    </xdr:to>
    <xdr:sp>
      <xdr:nvSpPr>
        <xdr:cNvPr id="193" name="Arc 201"/>
        <xdr:cNvSpPr>
          <a:spLocks/>
        </xdr:cNvSpPr>
      </xdr:nvSpPr>
      <xdr:spPr>
        <a:xfrm flipH="1">
          <a:off x="1762125" y="5334000"/>
          <a:ext cx="666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200025</xdr:rowOff>
    </xdr:from>
    <xdr:to>
      <xdr:col>13</xdr:col>
      <xdr:colOff>104775</xdr:colOff>
      <xdr:row>34</xdr:row>
      <xdr:rowOff>0</xdr:rowOff>
    </xdr:to>
    <xdr:grpSp>
      <xdr:nvGrpSpPr>
        <xdr:cNvPr id="194" name="Group 202"/>
        <xdr:cNvGrpSpPr>
          <a:grpSpLocks/>
        </xdr:cNvGrpSpPr>
      </xdr:nvGrpSpPr>
      <xdr:grpSpPr>
        <a:xfrm>
          <a:off x="2371725" y="5867400"/>
          <a:ext cx="1171575" cy="28575"/>
          <a:chOff x="249" y="625"/>
          <a:chExt cx="123" cy="3"/>
        </a:xfrm>
        <a:solidFill>
          <a:srgbClr val="FFFFFF"/>
        </a:solidFill>
      </xdr:grpSpPr>
      <xdr:sp>
        <xdr:nvSpPr>
          <xdr:cNvPr id="195" name="Line 203"/>
          <xdr:cNvSpPr>
            <a:spLocks/>
          </xdr:cNvSpPr>
        </xdr:nvSpPr>
        <xdr:spPr>
          <a:xfrm>
            <a:off x="249" y="628"/>
            <a:ext cx="12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96" name="Arc 204"/>
          <xdr:cNvSpPr>
            <a:spLocks/>
          </xdr:cNvSpPr>
        </xdr:nvSpPr>
        <xdr:spPr>
          <a:xfrm flipH="1">
            <a:off x="250" y="625"/>
            <a:ext cx="9" cy="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36</xdr:row>
      <xdr:rowOff>76200</xdr:rowOff>
    </xdr:from>
    <xdr:to>
      <xdr:col>11</xdr:col>
      <xdr:colOff>9525</xdr:colOff>
      <xdr:row>36</xdr:row>
      <xdr:rowOff>171450</xdr:rowOff>
    </xdr:to>
    <xdr:sp>
      <xdr:nvSpPr>
        <xdr:cNvPr id="197" name="Arc 205"/>
        <xdr:cNvSpPr>
          <a:spLocks/>
        </xdr:cNvSpPr>
      </xdr:nvSpPr>
      <xdr:spPr>
        <a:xfrm>
          <a:off x="2705100" y="6305550"/>
          <a:ext cx="76200" cy="952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152400</xdr:rowOff>
    </xdr:from>
    <xdr:to>
      <xdr:col>10</xdr:col>
      <xdr:colOff>76200</xdr:colOff>
      <xdr:row>36</xdr:row>
      <xdr:rowOff>200025</xdr:rowOff>
    </xdr:to>
    <xdr:sp>
      <xdr:nvSpPr>
        <xdr:cNvPr id="198" name="Oval 206"/>
        <xdr:cNvSpPr>
          <a:spLocks/>
        </xdr:cNvSpPr>
      </xdr:nvSpPr>
      <xdr:spPr>
        <a:xfrm>
          <a:off x="248602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33</xdr:row>
      <xdr:rowOff>38100</xdr:rowOff>
    </xdr:from>
    <xdr:to>
      <xdr:col>19</xdr:col>
      <xdr:colOff>247650</xdr:colOff>
      <xdr:row>35</xdr:row>
      <xdr:rowOff>0</xdr:rowOff>
    </xdr:to>
    <xdr:sp>
      <xdr:nvSpPr>
        <xdr:cNvPr id="199" name="Rectangle 208"/>
        <xdr:cNvSpPr>
          <a:spLocks/>
        </xdr:cNvSpPr>
      </xdr:nvSpPr>
      <xdr:spPr>
        <a:xfrm>
          <a:off x="3714750" y="5705475"/>
          <a:ext cx="1790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-2 Æ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4.5 mm. @ 5   STIRRUP</a:t>
          </a:r>
        </a:p>
      </xdr:txBody>
    </xdr:sp>
    <xdr:clientData/>
  </xdr:twoCellAnchor>
  <xdr:twoCellAnchor>
    <xdr:from>
      <xdr:col>31</xdr:col>
      <xdr:colOff>133350</xdr:colOff>
      <xdr:row>31</xdr:row>
      <xdr:rowOff>0</xdr:rowOff>
    </xdr:from>
    <xdr:to>
      <xdr:col>31</xdr:col>
      <xdr:colOff>133350</xdr:colOff>
      <xdr:row>36</xdr:row>
      <xdr:rowOff>276225</xdr:rowOff>
    </xdr:to>
    <xdr:sp>
      <xdr:nvSpPr>
        <xdr:cNvPr id="200" name="Line 209"/>
        <xdr:cNvSpPr>
          <a:spLocks/>
        </xdr:cNvSpPr>
      </xdr:nvSpPr>
      <xdr:spPr>
        <a:xfrm>
          <a:off x="9934575" y="5276850"/>
          <a:ext cx="0" cy="1228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36</xdr:row>
      <xdr:rowOff>276225</xdr:rowOff>
    </xdr:to>
    <xdr:sp>
      <xdr:nvSpPr>
        <xdr:cNvPr id="201" name="Line 210"/>
        <xdr:cNvSpPr>
          <a:spLocks/>
        </xdr:cNvSpPr>
      </xdr:nvSpPr>
      <xdr:spPr>
        <a:xfrm>
          <a:off x="8734425" y="5276850"/>
          <a:ext cx="0" cy="1228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57150</xdr:colOff>
      <xdr:row>30</xdr:row>
      <xdr:rowOff>0</xdr:rowOff>
    </xdr:from>
    <xdr:to>
      <xdr:col>31</xdr:col>
      <xdr:colOff>76200</xdr:colOff>
      <xdr:row>30</xdr:row>
      <xdr:rowOff>0</xdr:rowOff>
    </xdr:to>
    <xdr:sp>
      <xdr:nvSpPr>
        <xdr:cNvPr id="202" name="Line 211"/>
        <xdr:cNvSpPr>
          <a:spLocks/>
        </xdr:cNvSpPr>
      </xdr:nvSpPr>
      <xdr:spPr>
        <a:xfrm>
          <a:off x="8791575" y="521970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57150</xdr:colOff>
      <xdr:row>38</xdr:row>
      <xdr:rowOff>0</xdr:rowOff>
    </xdr:from>
    <xdr:to>
      <xdr:col>31</xdr:col>
      <xdr:colOff>76200</xdr:colOff>
      <xdr:row>38</xdr:row>
      <xdr:rowOff>0</xdr:rowOff>
    </xdr:to>
    <xdr:sp>
      <xdr:nvSpPr>
        <xdr:cNvPr id="203" name="Line 212"/>
        <xdr:cNvSpPr>
          <a:spLocks/>
        </xdr:cNvSpPr>
      </xdr:nvSpPr>
      <xdr:spPr>
        <a:xfrm>
          <a:off x="8791575" y="657225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19050</xdr:colOff>
      <xdr:row>33</xdr:row>
      <xdr:rowOff>0</xdr:rowOff>
    </xdr:from>
    <xdr:to>
      <xdr:col>29</xdr:col>
      <xdr:colOff>19050</xdr:colOff>
      <xdr:row>35</xdr:row>
      <xdr:rowOff>0</xdr:rowOff>
    </xdr:to>
    <xdr:sp>
      <xdr:nvSpPr>
        <xdr:cNvPr id="204" name="Line 213"/>
        <xdr:cNvSpPr>
          <a:spLocks/>
        </xdr:cNvSpPr>
      </xdr:nvSpPr>
      <xdr:spPr>
        <a:xfrm>
          <a:off x="9591675" y="56673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333375</xdr:colOff>
      <xdr:row>33</xdr:row>
      <xdr:rowOff>0</xdr:rowOff>
    </xdr:from>
    <xdr:to>
      <xdr:col>27</xdr:col>
      <xdr:colOff>333375</xdr:colOff>
      <xdr:row>35</xdr:row>
      <xdr:rowOff>0</xdr:rowOff>
    </xdr:to>
    <xdr:sp>
      <xdr:nvSpPr>
        <xdr:cNvPr id="205" name="Line 214"/>
        <xdr:cNvSpPr>
          <a:spLocks/>
        </xdr:cNvSpPr>
      </xdr:nvSpPr>
      <xdr:spPr>
        <a:xfrm>
          <a:off x="9067800" y="5667375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19050</xdr:colOff>
      <xdr:row>31</xdr:row>
      <xdr:rowOff>276225</xdr:rowOff>
    </xdr:from>
    <xdr:to>
      <xdr:col>31</xdr:col>
      <xdr:colOff>133350</xdr:colOff>
      <xdr:row>33</xdr:row>
      <xdr:rowOff>0</xdr:rowOff>
    </xdr:to>
    <xdr:sp>
      <xdr:nvSpPr>
        <xdr:cNvPr id="206" name="Line 215"/>
        <xdr:cNvSpPr>
          <a:spLocks/>
        </xdr:cNvSpPr>
      </xdr:nvSpPr>
      <xdr:spPr>
        <a:xfrm flipV="1">
          <a:off x="9591675" y="5553075"/>
          <a:ext cx="342900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9525</xdr:colOff>
      <xdr:row>34</xdr:row>
      <xdr:rowOff>228600</xdr:rowOff>
    </xdr:from>
    <xdr:to>
      <xdr:col>31</xdr:col>
      <xdr:colOff>133350</xdr:colOff>
      <xdr:row>36</xdr:row>
      <xdr:rowOff>0</xdr:rowOff>
    </xdr:to>
    <xdr:sp>
      <xdr:nvSpPr>
        <xdr:cNvPr id="207" name="Line 216"/>
        <xdr:cNvSpPr>
          <a:spLocks/>
        </xdr:cNvSpPr>
      </xdr:nvSpPr>
      <xdr:spPr>
        <a:xfrm>
          <a:off x="9582150" y="6124575"/>
          <a:ext cx="352425" cy="104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276225</xdr:rowOff>
    </xdr:from>
    <xdr:to>
      <xdr:col>27</xdr:col>
      <xdr:colOff>333375</xdr:colOff>
      <xdr:row>33</xdr:row>
      <xdr:rowOff>0</xdr:rowOff>
    </xdr:to>
    <xdr:sp>
      <xdr:nvSpPr>
        <xdr:cNvPr id="208" name="Line 217"/>
        <xdr:cNvSpPr>
          <a:spLocks/>
        </xdr:cNvSpPr>
      </xdr:nvSpPr>
      <xdr:spPr>
        <a:xfrm flipH="1" flipV="1">
          <a:off x="8734425" y="5553075"/>
          <a:ext cx="333375" cy="1143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228600</xdr:rowOff>
    </xdr:from>
    <xdr:to>
      <xdr:col>27</xdr:col>
      <xdr:colOff>342900</xdr:colOff>
      <xdr:row>36</xdr:row>
      <xdr:rowOff>0</xdr:rowOff>
    </xdr:to>
    <xdr:sp>
      <xdr:nvSpPr>
        <xdr:cNvPr id="209" name="Line 218"/>
        <xdr:cNvSpPr>
          <a:spLocks/>
        </xdr:cNvSpPr>
      </xdr:nvSpPr>
      <xdr:spPr>
        <a:xfrm flipV="1">
          <a:off x="8734425" y="6124575"/>
          <a:ext cx="342900" cy="104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209550</xdr:rowOff>
    </xdr:from>
    <xdr:to>
      <xdr:col>27</xdr:col>
      <xdr:colOff>66675</xdr:colOff>
      <xdr:row>31</xdr:row>
      <xdr:rowOff>0</xdr:rowOff>
    </xdr:to>
    <xdr:sp>
      <xdr:nvSpPr>
        <xdr:cNvPr id="210" name="Line 219"/>
        <xdr:cNvSpPr>
          <a:spLocks/>
        </xdr:cNvSpPr>
      </xdr:nvSpPr>
      <xdr:spPr>
        <a:xfrm flipV="1">
          <a:off x="8734425" y="5210175"/>
          <a:ext cx="666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76200</xdr:colOff>
      <xdr:row>36</xdr:row>
      <xdr:rowOff>276225</xdr:rowOff>
    </xdr:from>
    <xdr:to>
      <xdr:col>31</xdr:col>
      <xdr:colOff>133350</xdr:colOff>
      <xdr:row>38</xdr:row>
      <xdr:rowOff>0</xdr:rowOff>
    </xdr:to>
    <xdr:sp>
      <xdr:nvSpPr>
        <xdr:cNvPr id="211" name="Line 220"/>
        <xdr:cNvSpPr>
          <a:spLocks/>
        </xdr:cNvSpPr>
      </xdr:nvSpPr>
      <xdr:spPr>
        <a:xfrm flipV="1">
          <a:off x="9877425" y="6505575"/>
          <a:ext cx="5715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66675</xdr:colOff>
      <xdr:row>29</xdr:row>
      <xdr:rowOff>209550</xdr:rowOff>
    </xdr:from>
    <xdr:to>
      <xdr:col>31</xdr:col>
      <xdr:colOff>133350</xdr:colOff>
      <xdr:row>31</xdr:row>
      <xdr:rowOff>0</xdr:rowOff>
    </xdr:to>
    <xdr:sp>
      <xdr:nvSpPr>
        <xdr:cNvPr id="212" name="Line 221"/>
        <xdr:cNvSpPr>
          <a:spLocks/>
        </xdr:cNvSpPr>
      </xdr:nvSpPr>
      <xdr:spPr>
        <a:xfrm flipH="1" flipV="1">
          <a:off x="9867900" y="5210175"/>
          <a:ext cx="66675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36</xdr:row>
      <xdr:rowOff>276225</xdr:rowOff>
    </xdr:from>
    <xdr:to>
      <xdr:col>27</xdr:col>
      <xdr:colOff>57150</xdr:colOff>
      <xdr:row>38</xdr:row>
      <xdr:rowOff>0</xdr:rowOff>
    </xdr:to>
    <xdr:sp>
      <xdr:nvSpPr>
        <xdr:cNvPr id="213" name="Line 222"/>
        <xdr:cNvSpPr>
          <a:spLocks/>
        </xdr:cNvSpPr>
      </xdr:nvSpPr>
      <xdr:spPr>
        <a:xfrm flipH="1" flipV="1">
          <a:off x="8734425" y="6505575"/>
          <a:ext cx="57150" cy="66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142875</xdr:colOff>
      <xdr:row>31</xdr:row>
      <xdr:rowOff>57150</xdr:rowOff>
    </xdr:from>
    <xdr:to>
      <xdr:col>31</xdr:col>
      <xdr:colOff>9525</xdr:colOff>
      <xdr:row>31</xdr:row>
      <xdr:rowOff>57150</xdr:rowOff>
    </xdr:to>
    <xdr:sp>
      <xdr:nvSpPr>
        <xdr:cNvPr id="214" name="Line 223"/>
        <xdr:cNvSpPr>
          <a:spLocks/>
        </xdr:cNvSpPr>
      </xdr:nvSpPr>
      <xdr:spPr>
        <a:xfrm>
          <a:off x="8877300" y="533400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133350</xdr:colOff>
      <xdr:row>36</xdr:row>
      <xdr:rowOff>228600</xdr:rowOff>
    </xdr:from>
    <xdr:to>
      <xdr:col>31</xdr:col>
      <xdr:colOff>0</xdr:colOff>
      <xdr:row>36</xdr:row>
      <xdr:rowOff>228600</xdr:rowOff>
    </xdr:to>
    <xdr:sp>
      <xdr:nvSpPr>
        <xdr:cNvPr id="215" name="Line 224"/>
        <xdr:cNvSpPr>
          <a:spLocks/>
        </xdr:cNvSpPr>
      </xdr:nvSpPr>
      <xdr:spPr>
        <a:xfrm>
          <a:off x="8867775" y="6457950"/>
          <a:ext cx="933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85725</xdr:colOff>
      <xdr:row>31</xdr:row>
      <xdr:rowOff>123825</xdr:rowOff>
    </xdr:from>
    <xdr:to>
      <xdr:col>27</xdr:col>
      <xdr:colOff>85725</xdr:colOff>
      <xdr:row>36</xdr:row>
      <xdr:rowOff>180975</xdr:rowOff>
    </xdr:to>
    <xdr:sp>
      <xdr:nvSpPr>
        <xdr:cNvPr id="216" name="Line 225"/>
        <xdr:cNvSpPr>
          <a:spLocks/>
        </xdr:cNvSpPr>
      </xdr:nvSpPr>
      <xdr:spPr>
        <a:xfrm>
          <a:off x="8820150" y="5400675"/>
          <a:ext cx="0" cy="1009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66675</xdr:colOff>
      <xdr:row>31</xdr:row>
      <xdr:rowOff>114300</xdr:rowOff>
    </xdr:from>
    <xdr:to>
      <xdr:col>31</xdr:col>
      <xdr:colOff>66675</xdr:colOff>
      <xdr:row>36</xdr:row>
      <xdr:rowOff>161925</xdr:rowOff>
    </xdr:to>
    <xdr:sp>
      <xdr:nvSpPr>
        <xdr:cNvPr id="217" name="Line 226"/>
        <xdr:cNvSpPr>
          <a:spLocks/>
        </xdr:cNvSpPr>
      </xdr:nvSpPr>
      <xdr:spPr>
        <a:xfrm>
          <a:off x="9867900" y="5391150"/>
          <a:ext cx="0" cy="1000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85725</xdr:colOff>
      <xdr:row>31</xdr:row>
      <xdr:rowOff>57150</xdr:rowOff>
    </xdr:from>
    <xdr:to>
      <xdr:col>27</xdr:col>
      <xdr:colOff>142875</xdr:colOff>
      <xdr:row>31</xdr:row>
      <xdr:rowOff>133350</xdr:rowOff>
    </xdr:to>
    <xdr:sp>
      <xdr:nvSpPr>
        <xdr:cNvPr id="218" name="Arc 227"/>
        <xdr:cNvSpPr>
          <a:spLocks/>
        </xdr:cNvSpPr>
      </xdr:nvSpPr>
      <xdr:spPr>
        <a:xfrm flipH="1">
          <a:off x="8820150" y="5334000"/>
          <a:ext cx="5715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57150</xdr:rowOff>
    </xdr:from>
    <xdr:to>
      <xdr:col>31</xdr:col>
      <xdr:colOff>66675</xdr:colOff>
      <xdr:row>31</xdr:row>
      <xdr:rowOff>123825</xdr:rowOff>
    </xdr:to>
    <xdr:sp>
      <xdr:nvSpPr>
        <xdr:cNvPr id="219" name="Arc 228"/>
        <xdr:cNvSpPr>
          <a:spLocks/>
        </xdr:cNvSpPr>
      </xdr:nvSpPr>
      <xdr:spPr>
        <a:xfrm>
          <a:off x="9801225" y="5334000"/>
          <a:ext cx="666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85725</xdr:colOff>
      <xdr:row>36</xdr:row>
      <xdr:rowOff>142875</xdr:rowOff>
    </xdr:from>
    <xdr:to>
      <xdr:col>27</xdr:col>
      <xdr:colOff>133350</xdr:colOff>
      <xdr:row>36</xdr:row>
      <xdr:rowOff>228600</xdr:rowOff>
    </xdr:to>
    <xdr:sp>
      <xdr:nvSpPr>
        <xdr:cNvPr id="220" name="Arc 229"/>
        <xdr:cNvSpPr>
          <a:spLocks/>
        </xdr:cNvSpPr>
      </xdr:nvSpPr>
      <xdr:spPr>
        <a:xfrm flipH="1" flipV="1">
          <a:off x="8820150" y="6372225"/>
          <a:ext cx="47625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95250</xdr:colOff>
      <xdr:row>36</xdr:row>
      <xdr:rowOff>152400</xdr:rowOff>
    </xdr:from>
    <xdr:to>
      <xdr:col>31</xdr:col>
      <xdr:colOff>66675</xdr:colOff>
      <xdr:row>36</xdr:row>
      <xdr:rowOff>228600</xdr:rowOff>
    </xdr:to>
    <xdr:sp>
      <xdr:nvSpPr>
        <xdr:cNvPr id="221" name="Arc 230"/>
        <xdr:cNvSpPr>
          <a:spLocks/>
        </xdr:cNvSpPr>
      </xdr:nvSpPr>
      <xdr:spPr>
        <a:xfrm flipV="1">
          <a:off x="9791700" y="63817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457200</xdr:colOff>
      <xdr:row>28</xdr:row>
      <xdr:rowOff>180975</xdr:rowOff>
    </xdr:from>
    <xdr:to>
      <xdr:col>32</xdr:col>
      <xdr:colOff>66675</xdr:colOff>
      <xdr:row>28</xdr:row>
      <xdr:rowOff>180975</xdr:rowOff>
    </xdr:to>
    <xdr:sp>
      <xdr:nvSpPr>
        <xdr:cNvPr id="222" name="Line 231"/>
        <xdr:cNvSpPr>
          <a:spLocks/>
        </xdr:cNvSpPr>
      </xdr:nvSpPr>
      <xdr:spPr>
        <a:xfrm>
          <a:off x="8629650" y="491490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0</xdr:colOff>
      <xdr:row>28</xdr:row>
      <xdr:rowOff>95250</xdr:rowOff>
    </xdr:from>
    <xdr:to>
      <xdr:col>27</xdr:col>
      <xdr:colOff>0</xdr:colOff>
      <xdr:row>29</xdr:row>
      <xdr:rowOff>38100</xdr:rowOff>
    </xdr:to>
    <xdr:sp>
      <xdr:nvSpPr>
        <xdr:cNvPr id="223" name="Line 232"/>
        <xdr:cNvSpPr>
          <a:spLocks/>
        </xdr:cNvSpPr>
      </xdr:nvSpPr>
      <xdr:spPr>
        <a:xfrm>
          <a:off x="8734425" y="482917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133350</xdr:colOff>
      <xdr:row>28</xdr:row>
      <xdr:rowOff>95250</xdr:rowOff>
    </xdr:from>
    <xdr:to>
      <xdr:col>31</xdr:col>
      <xdr:colOff>133350</xdr:colOff>
      <xdr:row>29</xdr:row>
      <xdr:rowOff>38100</xdr:rowOff>
    </xdr:to>
    <xdr:sp>
      <xdr:nvSpPr>
        <xdr:cNvPr id="224" name="Line 233"/>
        <xdr:cNvSpPr>
          <a:spLocks/>
        </xdr:cNvSpPr>
      </xdr:nvSpPr>
      <xdr:spPr>
        <a:xfrm>
          <a:off x="9934575" y="482917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533400</xdr:colOff>
      <xdr:row>28</xdr:row>
      <xdr:rowOff>142875</xdr:rowOff>
    </xdr:from>
    <xdr:to>
      <xdr:col>27</xdr:col>
      <xdr:colOff>38100</xdr:colOff>
      <xdr:row>28</xdr:row>
      <xdr:rowOff>209550</xdr:rowOff>
    </xdr:to>
    <xdr:sp>
      <xdr:nvSpPr>
        <xdr:cNvPr id="225" name="Oval 234"/>
        <xdr:cNvSpPr>
          <a:spLocks/>
        </xdr:cNvSpPr>
      </xdr:nvSpPr>
      <xdr:spPr>
        <a:xfrm>
          <a:off x="8705850" y="48768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104775</xdr:colOff>
      <xdr:row>28</xdr:row>
      <xdr:rowOff>142875</xdr:rowOff>
    </xdr:from>
    <xdr:to>
      <xdr:col>31</xdr:col>
      <xdr:colOff>171450</xdr:colOff>
      <xdr:row>28</xdr:row>
      <xdr:rowOff>209550</xdr:rowOff>
    </xdr:to>
    <xdr:sp>
      <xdr:nvSpPr>
        <xdr:cNvPr id="226" name="Oval 235"/>
        <xdr:cNvSpPr>
          <a:spLocks/>
        </xdr:cNvSpPr>
      </xdr:nvSpPr>
      <xdr:spPr>
        <a:xfrm>
          <a:off x="9906000" y="48768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219075</xdr:colOff>
      <xdr:row>29</xdr:row>
      <xdr:rowOff>85725</xdr:rowOff>
    </xdr:from>
    <xdr:to>
      <xdr:col>26</xdr:col>
      <xdr:colOff>219075</xdr:colOff>
      <xdr:row>38</xdr:row>
      <xdr:rowOff>142875</xdr:rowOff>
    </xdr:to>
    <xdr:sp>
      <xdr:nvSpPr>
        <xdr:cNvPr id="227" name="Line 236"/>
        <xdr:cNvSpPr>
          <a:spLocks/>
        </xdr:cNvSpPr>
      </xdr:nvSpPr>
      <xdr:spPr>
        <a:xfrm>
          <a:off x="8391525" y="5086350"/>
          <a:ext cx="0" cy="1628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123825</xdr:colOff>
      <xdr:row>30</xdr:row>
      <xdr:rowOff>0</xdr:rowOff>
    </xdr:from>
    <xdr:to>
      <xdr:col>26</xdr:col>
      <xdr:colOff>342900</xdr:colOff>
      <xdr:row>30</xdr:row>
      <xdr:rowOff>0</xdr:rowOff>
    </xdr:to>
    <xdr:sp>
      <xdr:nvSpPr>
        <xdr:cNvPr id="228" name="Line 237"/>
        <xdr:cNvSpPr>
          <a:spLocks/>
        </xdr:cNvSpPr>
      </xdr:nvSpPr>
      <xdr:spPr>
        <a:xfrm>
          <a:off x="8296275" y="5219700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180975</xdr:colOff>
      <xdr:row>29</xdr:row>
      <xdr:rowOff>180975</xdr:rowOff>
    </xdr:from>
    <xdr:to>
      <xdr:col>26</xdr:col>
      <xdr:colOff>247650</xdr:colOff>
      <xdr:row>30</xdr:row>
      <xdr:rowOff>28575</xdr:rowOff>
    </xdr:to>
    <xdr:sp>
      <xdr:nvSpPr>
        <xdr:cNvPr id="229" name="Oval 238"/>
        <xdr:cNvSpPr>
          <a:spLocks/>
        </xdr:cNvSpPr>
      </xdr:nvSpPr>
      <xdr:spPr>
        <a:xfrm>
          <a:off x="8353425" y="51816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190500</xdr:colOff>
      <xdr:row>37</xdr:row>
      <xdr:rowOff>19050</xdr:rowOff>
    </xdr:from>
    <xdr:to>
      <xdr:col>26</xdr:col>
      <xdr:colOff>257175</xdr:colOff>
      <xdr:row>38</xdr:row>
      <xdr:rowOff>28575</xdr:rowOff>
    </xdr:to>
    <xdr:sp>
      <xdr:nvSpPr>
        <xdr:cNvPr id="230" name="Oval 239"/>
        <xdr:cNvSpPr>
          <a:spLocks/>
        </xdr:cNvSpPr>
      </xdr:nvSpPr>
      <xdr:spPr>
        <a:xfrm>
          <a:off x="8362950" y="65341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123825</xdr:colOff>
      <xdr:row>38</xdr:row>
      <xdr:rowOff>0</xdr:rowOff>
    </xdr:from>
    <xdr:to>
      <xdr:col>26</xdr:col>
      <xdr:colOff>342900</xdr:colOff>
      <xdr:row>38</xdr:row>
      <xdr:rowOff>0</xdr:rowOff>
    </xdr:to>
    <xdr:sp>
      <xdr:nvSpPr>
        <xdr:cNvPr id="231" name="Line 240"/>
        <xdr:cNvSpPr>
          <a:spLocks/>
        </xdr:cNvSpPr>
      </xdr:nvSpPr>
      <xdr:spPr>
        <a:xfrm>
          <a:off x="8296275" y="6572250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552450</xdr:colOff>
      <xdr:row>40</xdr:row>
      <xdr:rowOff>257175</xdr:rowOff>
    </xdr:from>
    <xdr:to>
      <xdr:col>31</xdr:col>
      <xdr:colOff>152400</xdr:colOff>
      <xdr:row>42</xdr:row>
      <xdr:rowOff>0</xdr:rowOff>
    </xdr:to>
    <xdr:sp>
      <xdr:nvSpPr>
        <xdr:cNvPr id="232" name="Text 1680"/>
        <xdr:cNvSpPr txBox="1">
          <a:spLocks noChangeArrowheads="1"/>
        </xdr:cNvSpPr>
      </xdr:nvSpPr>
      <xdr:spPr>
        <a:xfrm>
          <a:off x="8724900" y="7362825"/>
          <a:ext cx="1228725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SECTION   2 - 2</a:t>
          </a:r>
        </a:p>
      </xdr:txBody>
    </xdr:sp>
    <xdr:clientData/>
  </xdr:twoCellAnchor>
  <xdr:twoCellAnchor>
    <xdr:from>
      <xdr:col>31</xdr:col>
      <xdr:colOff>28575</xdr:colOff>
      <xdr:row>33</xdr:row>
      <xdr:rowOff>200025</xdr:rowOff>
    </xdr:from>
    <xdr:to>
      <xdr:col>33</xdr:col>
      <xdr:colOff>304800</xdr:colOff>
      <xdr:row>34</xdr:row>
      <xdr:rowOff>0</xdr:rowOff>
    </xdr:to>
    <xdr:grpSp>
      <xdr:nvGrpSpPr>
        <xdr:cNvPr id="233" name="Group 242"/>
        <xdr:cNvGrpSpPr>
          <a:grpSpLocks/>
        </xdr:cNvGrpSpPr>
      </xdr:nvGrpSpPr>
      <xdr:grpSpPr>
        <a:xfrm>
          <a:off x="9829800" y="5867400"/>
          <a:ext cx="800100" cy="28575"/>
          <a:chOff x="991" y="625"/>
          <a:chExt cx="117" cy="3"/>
        </a:xfrm>
        <a:solidFill>
          <a:srgbClr val="FFFFFF"/>
        </a:solidFill>
      </xdr:grpSpPr>
      <xdr:sp>
        <xdr:nvSpPr>
          <xdr:cNvPr id="234" name="Line 243"/>
          <xdr:cNvSpPr>
            <a:spLocks/>
          </xdr:cNvSpPr>
        </xdr:nvSpPr>
        <xdr:spPr>
          <a:xfrm>
            <a:off x="991" y="628"/>
            <a:ext cx="11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35" name="Arc 244"/>
          <xdr:cNvSpPr>
            <a:spLocks/>
          </xdr:cNvSpPr>
        </xdr:nvSpPr>
        <xdr:spPr>
          <a:xfrm flipH="1">
            <a:off x="991" y="625"/>
            <a:ext cx="8" cy="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27</xdr:col>
      <xdr:colOff>476250</xdr:colOff>
      <xdr:row>27</xdr:row>
      <xdr:rowOff>180975</xdr:rowOff>
    </xdr:from>
    <xdr:to>
      <xdr:col>28</xdr:col>
      <xdr:colOff>257175</xdr:colOff>
      <xdr:row>28</xdr:row>
      <xdr:rowOff>209550</xdr:rowOff>
    </xdr:to>
    <xdr:sp>
      <xdr:nvSpPr>
        <xdr:cNvPr id="236" name="Text 1782"/>
        <xdr:cNvSpPr txBox="1">
          <a:spLocks noChangeArrowheads="1"/>
        </xdr:cNvSpPr>
      </xdr:nvSpPr>
      <xdr:spPr>
        <a:xfrm>
          <a:off x="9210675" y="4648200"/>
          <a:ext cx="3429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40</a:t>
          </a:r>
        </a:p>
      </xdr:txBody>
    </xdr:sp>
    <xdr:clientData/>
  </xdr:twoCellAnchor>
  <xdr:twoCellAnchor>
    <xdr:from>
      <xdr:col>25</xdr:col>
      <xdr:colOff>514350</xdr:colOff>
      <xdr:row>33</xdr:row>
      <xdr:rowOff>57150</xdr:rowOff>
    </xdr:from>
    <xdr:to>
      <xdr:col>26</xdr:col>
      <xdr:colOff>200025</xdr:colOff>
      <xdr:row>34</xdr:row>
      <xdr:rowOff>76200</xdr:rowOff>
    </xdr:to>
    <xdr:sp>
      <xdr:nvSpPr>
        <xdr:cNvPr id="237" name="Text 1791"/>
        <xdr:cNvSpPr txBox="1">
          <a:spLocks noChangeArrowheads="1"/>
        </xdr:cNvSpPr>
      </xdr:nvSpPr>
      <xdr:spPr>
        <a:xfrm>
          <a:off x="8124825" y="5724525"/>
          <a:ext cx="2476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40</a:t>
          </a:r>
        </a:p>
      </xdr:txBody>
    </xdr:sp>
    <xdr:clientData/>
  </xdr:twoCellAnchor>
  <xdr:twoCellAnchor>
    <xdr:from>
      <xdr:col>34</xdr:col>
      <xdr:colOff>9525</xdr:colOff>
      <xdr:row>33</xdr:row>
      <xdr:rowOff>66675</xdr:rowOff>
    </xdr:from>
    <xdr:to>
      <xdr:col>43</xdr:col>
      <xdr:colOff>219075</xdr:colOff>
      <xdr:row>34</xdr:row>
      <xdr:rowOff>219075</xdr:rowOff>
    </xdr:to>
    <xdr:sp>
      <xdr:nvSpPr>
        <xdr:cNvPr id="238" name="Rectangle 247"/>
        <xdr:cNvSpPr>
          <a:spLocks/>
        </xdr:cNvSpPr>
      </xdr:nvSpPr>
      <xdr:spPr>
        <a:xfrm>
          <a:off x="10668000" y="5734050"/>
          <a:ext cx="2276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</a:t>
          </a:r>
          <a:r>
            <a:rPr lang="en-US" cap="none" sz="850" b="1" i="0" u="none" baseline="0">
              <a:solidFill>
                <a:srgbClr val="000000"/>
              </a:solidFill>
            </a:rPr>
            <a:t> - 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  <a:r>
            <a:rPr lang="en-US" cap="none" sz="850" b="1" i="0" u="none" baseline="0">
              <a:solidFill>
                <a:srgbClr val="000000"/>
              </a:solidFill>
            </a:rPr>
            <a:t> Æ</a:t>
          </a: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9 mm. @ 10   STIRRUP</a:t>
          </a:r>
        </a:p>
      </xdr:txBody>
    </xdr:sp>
    <xdr:clientData/>
  </xdr:twoCellAnchor>
  <xdr:twoCellAnchor>
    <xdr:from>
      <xdr:col>18</xdr:col>
      <xdr:colOff>85725</xdr:colOff>
      <xdr:row>11</xdr:row>
      <xdr:rowOff>0</xdr:rowOff>
    </xdr:from>
    <xdr:to>
      <xdr:col>18</xdr:col>
      <xdr:colOff>390525</xdr:colOff>
      <xdr:row>16</xdr:row>
      <xdr:rowOff>0</xdr:rowOff>
    </xdr:to>
    <xdr:grpSp>
      <xdr:nvGrpSpPr>
        <xdr:cNvPr id="239" name="Group 249"/>
        <xdr:cNvGrpSpPr>
          <a:grpSpLocks/>
        </xdr:cNvGrpSpPr>
      </xdr:nvGrpSpPr>
      <xdr:grpSpPr>
        <a:xfrm>
          <a:off x="4781550" y="2247900"/>
          <a:ext cx="304800" cy="438150"/>
          <a:chOff x="229" y="1171"/>
          <a:chExt cx="32" cy="46"/>
        </a:xfrm>
        <a:solidFill>
          <a:srgbClr val="FFFFFF"/>
        </a:solidFill>
      </xdr:grpSpPr>
      <xdr:sp>
        <xdr:nvSpPr>
          <xdr:cNvPr id="240" name="Line 250"/>
          <xdr:cNvSpPr>
            <a:spLocks/>
          </xdr:cNvSpPr>
        </xdr:nvSpPr>
        <xdr:spPr>
          <a:xfrm>
            <a:off x="229" y="1171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1" name="Line 251"/>
          <xdr:cNvSpPr>
            <a:spLocks/>
          </xdr:cNvSpPr>
        </xdr:nvSpPr>
        <xdr:spPr>
          <a:xfrm>
            <a:off x="229" y="117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2" name="Line 252"/>
          <xdr:cNvSpPr>
            <a:spLocks/>
          </xdr:cNvSpPr>
        </xdr:nvSpPr>
        <xdr:spPr>
          <a:xfrm>
            <a:off x="229" y="12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3" name="Line 253"/>
          <xdr:cNvSpPr>
            <a:spLocks/>
          </xdr:cNvSpPr>
        </xdr:nvSpPr>
        <xdr:spPr>
          <a:xfrm>
            <a:off x="261" y="1177"/>
            <a:ext cx="0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4" name="Line 254"/>
          <xdr:cNvSpPr>
            <a:spLocks/>
          </xdr:cNvSpPr>
        </xdr:nvSpPr>
        <xdr:spPr>
          <a:xfrm>
            <a:off x="229" y="1171"/>
            <a:ext cx="3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45" name="Line 255"/>
          <xdr:cNvSpPr>
            <a:spLocks/>
          </xdr:cNvSpPr>
        </xdr:nvSpPr>
        <xdr:spPr>
          <a:xfrm flipV="1">
            <a:off x="230" y="1211"/>
            <a:ext cx="3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11</xdr:row>
      <xdr:rowOff>0</xdr:rowOff>
    </xdr:from>
    <xdr:to>
      <xdr:col>22</xdr:col>
      <xdr:colOff>9525</xdr:colOff>
      <xdr:row>11</xdr:row>
      <xdr:rowOff>0</xdr:rowOff>
    </xdr:to>
    <xdr:sp>
      <xdr:nvSpPr>
        <xdr:cNvPr id="246" name="Line 256"/>
        <xdr:cNvSpPr>
          <a:spLocks/>
        </xdr:cNvSpPr>
      </xdr:nvSpPr>
      <xdr:spPr>
        <a:xfrm flipV="1">
          <a:off x="4800600" y="22479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390525</xdr:colOff>
      <xdr:row>12</xdr:row>
      <xdr:rowOff>0</xdr:rowOff>
    </xdr:from>
    <xdr:to>
      <xdr:col>22</xdr:col>
      <xdr:colOff>19050</xdr:colOff>
      <xdr:row>12</xdr:row>
      <xdr:rowOff>0</xdr:rowOff>
    </xdr:to>
    <xdr:sp>
      <xdr:nvSpPr>
        <xdr:cNvPr id="247" name="Line 257"/>
        <xdr:cNvSpPr>
          <a:spLocks/>
        </xdr:cNvSpPr>
      </xdr:nvSpPr>
      <xdr:spPr>
        <a:xfrm flipV="1">
          <a:off x="5086350" y="230505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409575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248" name="Line 258"/>
        <xdr:cNvSpPr>
          <a:spLocks/>
        </xdr:cNvSpPr>
      </xdr:nvSpPr>
      <xdr:spPr>
        <a:xfrm flipV="1">
          <a:off x="5105400" y="26289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95250</xdr:colOff>
      <xdr:row>16</xdr:row>
      <xdr:rowOff>0</xdr:rowOff>
    </xdr:from>
    <xdr:to>
      <xdr:col>22</xdr:col>
      <xdr:colOff>19050</xdr:colOff>
      <xdr:row>16</xdr:row>
      <xdr:rowOff>0</xdr:rowOff>
    </xdr:to>
    <xdr:sp>
      <xdr:nvSpPr>
        <xdr:cNvPr id="249" name="Line 259"/>
        <xdr:cNvSpPr>
          <a:spLocks/>
        </xdr:cNvSpPr>
      </xdr:nvSpPr>
      <xdr:spPr>
        <a:xfrm flipV="1">
          <a:off x="4791075" y="26860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</xdr:colOff>
      <xdr:row>5</xdr:row>
      <xdr:rowOff>0</xdr:rowOff>
    </xdr:from>
    <xdr:to>
      <xdr:col>18</xdr:col>
      <xdr:colOff>466725</xdr:colOff>
      <xdr:row>5</xdr:row>
      <xdr:rowOff>0</xdr:rowOff>
    </xdr:to>
    <xdr:sp>
      <xdr:nvSpPr>
        <xdr:cNvPr id="250" name="Line 260"/>
        <xdr:cNvSpPr>
          <a:spLocks/>
        </xdr:cNvSpPr>
      </xdr:nvSpPr>
      <xdr:spPr>
        <a:xfrm>
          <a:off x="600075" y="146685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114300</xdr:rowOff>
    </xdr:to>
    <xdr:sp>
      <xdr:nvSpPr>
        <xdr:cNvPr id="251" name="Line 261"/>
        <xdr:cNvSpPr>
          <a:spLocks/>
        </xdr:cNvSpPr>
      </xdr:nvSpPr>
      <xdr:spPr>
        <a:xfrm flipH="1">
          <a:off x="704850" y="13430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180975</xdr:rowOff>
    </xdr:from>
    <xdr:to>
      <xdr:col>17</xdr:col>
      <xdr:colOff>142875</xdr:colOff>
      <xdr:row>5</xdr:row>
      <xdr:rowOff>114300</xdr:rowOff>
    </xdr:to>
    <xdr:sp>
      <xdr:nvSpPr>
        <xdr:cNvPr id="252" name="Line 262"/>
        <xdr:cNvSpPr>
          <a:spLocks/>
        </xdr:cNvSpPr>
      </xdr:nvSpPr>
      <xdr:spPr>
        <a:xfrm>
          <a:off x="427672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161925</xdr:colOff>
      <xdr:row>4</xdr:row>
      <xdr:rowOff>228600</xdr:rowOff>
    </xdr:from>
    <xdr:to>
      <xdr:col>2</xdr:col>
      <xdr:colOff>28575</xdr:colOff>
      <xdr:row>5</xdr:row>
      <xdr:rowOff>28575</xdr:rowOff>
    </xdr:to>
    <xdr:sp>
      <xdr:nvSpPr>
        <xdr:cNvPr id="253" name="Oval 263"/>
        <xdr:cNvSpPr>
          <a:spLocks/>
        </xdr:cNvSpPr>
      </xdr:nvSpPr>
      <xdr:spPr>
        <a:xfrm>
          <a:off x="666750" y="14287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114300</xdr:colOff>
      <xdr:row>4</xdr:row>
      <xdr:rowOff>238125</xdr:rowOff>
    </xdr:from>
    <xdr:to>
      <xdr:col>17</xdr:col>
      <xdr:colOff>180975</xdr:colOff>
      <xdr:row>5</xdr:row>
      <xdr:rowOff>38100</xdr:rowOff>
    </xdr:to>
    <xdr:sp>
      <xdr:nvSpPr>
        <xdr:cNvPr id="254" name="Oval 264"/>
        <xdr:cNvSpPr>
          <a:spLocks/>
        </xdr:cNvSpPr>
      </xdr:nvSpPr>
      <xdr:spPr>
        <a:xfrm>
          <a:off x="4248150" y="14382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152400</xdr:colOff>
      <xdr:row>10</xdr:row>
      <xdr:rowOff>28575</xdr:rowOff>
    </xdr:from>
    <xdr:to>
      <xdr:col>17</xdr:col>
      <xdr:colOff>152400</xdr:colOff>
      <xdr:row>16</xdr:row>
      <xdr:rowOff>28575</xdr:rowOff>
    </xdr:to>
    <xdr:sp>
      <xdr:nvSpPr>
        <xdr:cNvPr id="255" name="Line 265"/>
        <xdr:cNvSpPr>
          <a:spLocks/>
        </xdr:cNvSpPr>
      </xdr:nvSpPr>
      <xdr:spPr>
        <a:xfrm flipV="1">
          <a:off x="4286250" y="22383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17</xdr:col>
      <xdr:colOff>152400</xdr:colOff>
      <xdr:row>11</xdr:row>
      <xdr:rowOff>0</xdr:rowOff>
    </xdr:to>
    <xdr:sp>
      <xdr:nvSpPr>
        <xdr:cNvPr id="256" name="Line 266"/>
        <xdr:cNvSpPr>
          <a:spLocks/>
        </xdr:cNvSpPr>
      </xdr:nvSpPr>
      <xdr:spPr>
        <a:xfrm flipV="1">
          <a:off x="714375" y="22479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0</xdr:rowOff>
    </xdr:from>
    <xdr:to>
      <xdr:col>17</xdr:col>
      <xdr:colOff>152400</xdr:colOff>
      <xdr:row>12</xdr:row>
      <xdr:rowOff>0</xdr:rowOff>
    </xdr:to>
    <xdr:sp>
      <xdr:nvSpPr>
        <xdr:cNvPr id="257" name="Line 267"/>
        <xdr:cNvSpPr>
          <a:spLocks/>
        </xdr:cNvSpPr>
      </xdr:nvSpPr>
      <xdr:spPr>
        <a:xfrm flipV="1">
          <a:off x="714375" y="23050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17</xdr:col>
      <xdr:colOff>152400</xdr:colOff>
      <xdr:row>15</xdr:row>
      <xdr:rowOff>0</xdr:rowOff>
    </xdr:to>
    <xdr:sp>
      <xdr:nvSpPr>
        <xdr:cNvPr id="258" name="Line 268"/>
        <xdr:cNvSpPr>
          <a:spLocks/>
        </xdr:cNvSpPr>
      </xdr:nvSpPr>
      <xdr:spPr>
        <a:xfrm flipV="1">
          <a:off x="714375" y="26289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17</xdr:col>
      <xdr:colOff>142875</xdr:colOff>
      <xdr:row>16</xdr:row>
      <xdr:rowOff>0</xdr:rowOff>
    </xdr:to>
    <xdr:sp>
      <xdr:nvSpPr>
        <xdr:cNvPr id="259" name="Line 269"/>
        <xdr:cNvSpPr>
          <a:spLocks/>
        </xdr:cNvSpPr>
      </xdr:nvSpPr>
      <xdr:spPr>
        <a:xfrm flipV="1">
          <a:off x="704850" y="26860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>
      <xdr:nvSpPr>
        <xdr:cNvPr id="260" name="Line 270"/>
        <xdr:cNvSpPr>
          <a:spLocks/>
        </xdr:cNvSpPr>
      </xdr:nvSpPr>
      <xdr:spPr>
        <a:xfrm>
          <a:off x="704850" y="2066925"/>
          <a:ext cx="5953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95250</xdr:colOff>
      <xdr:row>4</xdr:row>
      <xdr:rowOff>180975</xdr:rowOff>
    </xdr:from>
    <xdr:to>
      <xdr:col>18</xdr:col>
      <xdr:colOff>95250</xdr:colOff>
      <xdr:row>5</xdr:row>
      <xdr:rowOff>114300</xdr:rowOff>
    </xdr:to>
    <xdr:sp>
      <xdr:nvSpPr>
        <xdr:cNvPr id="261" name="Line 271"/>
        <xdr:cNvSpPr>
          <a:spLocks/>
        </xdr:cNvSpPr>
      </xdr:nvSpPr>
      <xdr:spPr>
        <a:xfrm>
          <a:off x="479107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66675</xdr:colOff>
      <xdr:row>4</xdr:row>
      <xdr:rowOff>238125</xdr:rowOff>
    </xdr:from>
    <xdr:to>
      <xdr:col>18</xdr:col>
      <xdr:colOff>133350</xdr:colOff>
      <xdr:row>5</xdr:row>
      <xdr:rowOff>38100</xdr:rowOff>
    </xdr:to>
    <xdr:sp>
      <xdr:nvSpPr>
        <xdr:cNvPr id="262" name="Oval 272"/>
        <xdr:cNvSpPr>
          <a:spLocks/>
        </xdr:cNvSpPr>
      </xdr:nvSpPr>
      <xdr:spPr>
        <a:xfrm>
          <a:off x="4762500" y="14382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228600</xdr:colOff>
      <xdr:row>13</xdr:row>
      <xdr:rowOff>0</xdr:rowOff>
    </xdr:from>
    <xdr:to>
      <xdr:col>19</xdr:col>
      <xdr:colOff>9525</xdr:colOff>
      <xdr:row>13</xdr:row>
      <xdr:rowOff>0</xdr:rowOff>
    </xdr:to>
    <xdr:sp>
      <xdr:nvSpPr>
        <xdr:cNvPr id="263" name="Line 273"/>
        <xdr:cNvSpPr>
          <a:spLocks/>
        </xdr:cNvSpPr>
      </xdr:nvSpPr>
      <xdr:spPr>
        <a:xfrm>
          <a:off x="4362450" y="2390775"/>
          <a:ext cx="904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0</xdr:rowOff>
    </xdr:from>
    <xdr:to>
      <xdr:col>19</xdr:col>
      <xdr:colOff>9525</xdr:colOff>
      <xdr:row>14</xdr:row>
      <xdr:rowOff>0</xdr:rowOff>
    </xdr:to>
    <xdr:sp>
      <xdr:nvSpPr>
        <xdr:cNvPr id="264" name="Line 274"/>
        <xdr:cNvSpPr>
          <a:spLocks/>
        </xdr:cNvSpPr>
      </xdr:nvSpPr>
      <xdr:spPr>
        <a:xfrm>
          <a:off x="4362450" y="2543175"/>
          <a:ext cx="9048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5</xdr:col>
      <xdr:colOff>161925</xdr:colOff>
      <xdr:row>11</xdr:row>
      <xdr:rowOff>0</xdr:rowOff>
    </xdr:to>
    <xdr:sp>
      <xdr:nvSpPr>
        <xdr:cNvPr id="265" name="Line 275"/>
        <xdr:cNvSpPr>
          <a:spLocks/>
        </xdr:cNvSpPr>
      </xdr:nvSpPr>
      <xdr:spPr>
        <a:xfrm flipH="1">
          <a:off x="1362075" y="2105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161925</xdr:colOff>
      <xdr:row>6</xdr:row>
      <xdr:rowOff>180975</xdr:rowOff>
    </xdr:from>
    <xdr:to>
      <xdr:col>6</xdr:col>
      <xdr:colOff>152400</xdr:colOff>
      <xdr:row>17</xdr:row>
      <xdr:rowOff>9525</xdr:rowOff>
    </xdr:to>
    <xdr:sp>
      <xdr:nvSpPr>
        <xdr:cNvPr id="266" name="Freeform 276"/>
        <xdr:cNvSpPr>
          <a:spLocks/>
        </xdr:cNvSpPr>
      </xdr:nvSpPr>
      <xdr:spPr>
        <a:xfrm flipV="1">
          <a:off x="1362075" y="1924050"/>
          <a:ext cx="180975" cy="819150"/>
        </a:xfrm>
        <a:custGeom>
          <a:pathLst>
            <a:path h="89" w="35">
              <a:moveTo>
                <a:pt x="0" y="0"/>
              </a:moveTo>
              <a:lnTo>
                <a:pt x="0" y="89"/>
              </a:lnTo>
              <a:lnTo>
                <a:pt x="35" y="89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428625</xdr:colOff>
      <xdr:row>12</xdr:row>
      <xdr:rowOff>76200</xdr:rowOff>
    </xdr:from>
    <xdr:to>
      <xdr:col>19</xdr:col>
      <xdr:colOff>495300</xdr:colOff>
      <xdr:row>21</xdr:row>
      <xdr:rowOff>114300</xdr:rowOff>
    </xdr:to>
    <xdr:sp>
      <xdr:nvSpPr>
        <xdr:cNvPr id="267" name="Freeform 277"/>
        <xdr:cNvSpPr>
          <a:spLocks/>
        </xdr:cNvSpPr>
      </xdr:nvSpPr>
      <xdr:spPr>
        <a:xfrm>
          <a:off x="5124450" y="2381250"/>
          <a:ext cx="628650" cy="685800"/>
        </a:xfrm>
        <a:custGeom>
          <a:pathLst>
            <a:path h="75" w="66">
              <a:moveTo>
                <a:pt x="0" y="0"/>
              </a:moveTo>
              <a:lnTo>
                <a:pt x="33" y="75"/>
              </a:lnTo>
              <a:lnTo>
                <a:pt x="66" y="75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485775</xdr:colOff>
      <xdr:row>13</xdr:row>
      <xdr:rowOff>133350</xdr:rowOff>
    </xdr:from>
    <xdr:to>
      <xdr:col>18</xdr:col>
      <xdr:colOff>533400</xdr:colOff>
      <xdr:row>14</xdr:row>
      <xdr:rowOff>76200</xdr:rowOff>
    </xdr:to>
    <xdr:sp>
      <xdr:nvSpPr>
        <xdr:cNvPr id="268" name="Line 278"/>
        <xdr:cNvSpPr>
          <a:spLocks/>
        </xdr:cNvSpPr>
      </xdr:nvSpPr>
      <xdr:spPr>
        <a:xfrm flipH="1" flipV="1">
          <a:off x="5181600" y="2524125"/>
          <a:ext cx="47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9525</xdr:colOff>
      <xdr:row>21</xdr:row>
      <xdr:rowOff>95250</xdr:rowOff>
    </xdr:from>
    <xdr:to>
      <xdr:col>23</xdr:col>
      <xdr:colOff>152400</xdr:colOff>
      <xdr:row>21</xdr:row>
      <xdr:rowOff>171450</xdr:rowOff>
    </xdr:to>
    <xdr:sp>
      <xdr:nvSpPr>
        <xdr:cNvPr id="269" name="Freeform 279"/>
        <xdr:cNvSpPr>
          <a:spLocks/>
        </xdr:cNvSpPr>
      </xdr:nvSpPr>
      <xdr:spPr>
        <a:xfrm>
          <a:off x="6667500" y="3048000"/>
          <a:ext cx="266700" cy="76200"/>
        </a:xfrm>
        <a:custGeom>
          <a:pathLst>
            <a:path h="56" w="251">
              <a:moveTo>
                <a:pt x="251" y="47"/>
              </a:moveTo>
              <a:lnTo>
                <a:pt x="150" y="0"/>
              </a:lnTo>
              <a:lnTo>
                <a:pt x="0" y="0"/>
              </a:lnTo>
              <a:lnTo>
                <a:pt x="0" y="56"/>
              </a:lnTo>
              <a:lnTo>
                <a:pt x="151" y="56"/>
              </a:lnTo>
              <a:lnTo>
                <a:pt x="250" y="11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85725</xdr:colOff>
      <xdr:row>31</xdr:row>
      <xdr:rowOff>95250</xdr:rowOff>
    </xdr:from>
    <xdr:to>
      <xdr:col>9</xdr:col>
      <xdr:colOff>161925</xdr:colOff>
      <xdr:row>31</xdr:row>
      <xdr:rowOff>190500</xdr:rowOff>
    </xdr:to>
    <xdr:sp>
      <xdr:nvSpPr>
        <xdr:cNvPr id="270" name="Oval 281" descr="ลายเส้นบางทแยงมุมลง"/>
        <xdr:cNvSpPr>
          <a:spLocks/>
        </xdr:cNvSpPr>
      </xdr:nvSpPr>
      <xdr:spPr>
        <a:xfrm>
          <a:off x="2190750" y="5372100"/>
          <a:ext cx="76200" cy="95250"/>
        </a:xfrm>
        <a:prstGeom prst="ellips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180975</xdr:colOff>
      <xdr:row>36</xdr:row>
      <xdr:rowOff>85725</xdr:rowOff>
    </xdr:from>
    <xdr:to>
      <xdr:col>9</xdr:col>
      <xdr:colOff>257175</xdr:colOff>
      <xdr:row>36</xdr:row>
      <xdr:rowOff>180975</xdr:rowOff>
    </xdr:to>
    <xdr:sp>
      <xdr:nvSpPr>
        <xdr:cNvPr id="271" name="Oval 283" descr="ลายเส้นบางทแยงมุมลง"/>
        <xdr:cNvSpPr>
          <a:spLocks/>
        </xdr:cNvSpPr>
      </xdr:nvSpPr>
      <xdr:spPr>
        <a:xfrm>
          <a:off x="2286000" y="6315075"/>
          <a:ext cx="76200" cy="95250"/>
        </a:xfrm>
        <a:prstGeom prst="ellips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95250</xdr:colOff>
      <xdr:row>33</xdr:row>
      <xdr:rowOff>114300</xdr:rowOff>
    </xdr:from>
    <xdr:to>
      <xdr:col>31</xdr:col>
      <xdr:colOff>66675</xdr:colOff>
      <xdr:row>33</xdr:row>
      <xdr:rowOff>114300</xdr:rowOff>
    </xdr:to>
    <xdr:sp>
      <xdr:nvSpPr>
        <xdr:cNvPr id="272" name="Line 284"/>
        <xdr:cNvSpPr>
          <a:spLocks/>
        </xdr:cNvSpPr>
      </xdr:nvSpPr>
      <xdr:spPr>
        <a:xfrm>
          <a:off x="8829675" y="5781675"/>
          <a:ext cx="1038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85725</xdr:colOff>
      <xdr:row>34</xdr:row>
      <xdr:rowOff>123825</xdr:rowOff>
    </xdr:from>
    <xdr:to>
      <xdr:col>31</xdr:col>
      <xdr:colOff>57150</xdr:colOff>
      <xdr:row>34</xdr:row>
      <xdr:rowOff>123825</xdr:rowOff>
    </xdr:to>
    <xdr:sp>
      <xdr:nvSpPr>
        <xdr:cNvPr id="273" name="Line 285"/>
        <xdr:cNvSpPr>
          <a:spLocks/>
        </xdr:cNvSpPr>
      </xdr:nvSpPr>
      <xdr:spPr>
        <a:xfrm>
          <a:off x="8820150" y="6019800"/>
          <a:ext cx="10382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104775</xdr:rowOff>
    </xdr:from>
    <xdr:to>
      <xdr:col>19</xdr:col>
      <xdr:colOff>200025</xdr:colOff>
      <xdr:row>36</xdr:row>
      <xdr:rowOff>85725</xdr:rowOff>
    </xdr:to>
    <xdr:sp>
      <xdr:nvSpPr>
        <xdr:cNvPr id="274" name="Text Box 286"/>
        <xdr:cNvSpPr txBox="1">
          <a:spLocks noChangeArrowheads="1"/>
        </xdr:cNvSpPr>
      </xdr:nvSpPr>
      <xdr:spPr>
        <a:xfrm>
          <a:off x="3705225" y="6000750"/>
          <a:ext cx="1752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 DB.25 mm.x 5.00 m.</a:t>
          </a:r>
        </a:p>
      </xdr:txBody>
    </xdr:sp>
    <xdr:clientData/>
  </xdr:twoCellAnchor>
  <xdr:twoCellAnchor>
    <xdr:from>
      <xdr:col>34</xdr:col>
      <xdr:colOff>57150</xdr:colOff>
      <xdr:row>31</xdr:row>
      <xdr:rowOff>0</xdr:rowOff>
    </xdr:from>
    <xdr:to>
      <xdr:col>36</xdr:col>
      <xdr:colOff>304800</xdr:colOff>
      <xdr:row>32</xdr:row>
      <xdr:rowOff>28575</xdr:rowOff>
    </xdr:to>
    <xdr:sp>
      <xdr:nvSpPr>
        <xdr:cNvPr id="275" name="Text Box 287"/>
        <xdr:cNvSpPr txBox="1">
          <a:spLocks noChangeArrowheads="1"/>
        </xdr:cNvSpPr>
      </xdr:nvSpPr>
      <xdr:spPr>
        <a:xfrm>
          <a:off x="10715625" y="527685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 RB.9 mm.</a:t>
          </a:r>
        </a:p>
      </xdr:txBody>
    </xdr:sp>
    <xdr:clientData/>
  </xdr:twoCellAnchor>
  <xdr:twoCellAnchor>
    <xdr:from>
      <xdr:col>28</xdr:col>
      <xdr:colOff>219075</xdr:colOff>
      <xdr:row>31</xdr:row>
      <xdr:rowOff>161925</xdr:rowOff>
    </xdr:from>
    <xdr:to>
      <xdr:col>33</xdr:col>
      <xdr:colOff>266700</xdr:colOff>
      <xdr:row>34</xdr:row>
      <xdr:rowOff>133350</xdr:rowOff>
    </xdr:to>
    <xdr:sp>
      <xdr:nvSpPr>
        <xdr:cNvPr id="276" name="Freeform 288"/>
        <xdr:cNvSpPr>
          <a:spLocks/>
        </xdr:cNvSpPr>
      </xdr:nvSpPr>
      <xdr:spPr>
        <a:xfrm>
          <a:off x="9515475" y="5438775"/>
          <a:ext cx="1076325" cy="590550"/>
        </a:xfrm>
        <a:custGeom>
          <a:pathLst>
            <a:path h="10" w="100">
              <a:moveTo>
                <a:pt x="0" y="10"/>
              </a:moveTo>
              <a:lnTo>
                <a:pt x="53" y="0"/>
              </a:lnTo>
              <a:lnTo>
                <a:pt x="10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219075</xdr:colOff>
      <xdr:row>31</xdr:row>
      <xdr:rowOff>142875</xdr:rowOff>
    </xdr:from>
    <xdr:to>
      <xdr:col>37</xdr:col>
      <xdr:colOff>152400</xdr:colOff>
      <xdr:row>31</xdr:row>
      <xdr:rowOff>219075</xdr:rowOff>
    </xdr:to>
    <xdr:sp>
      <xdr:nvSpPr>
        <xdr:cNvPr id="277" name="Freeform 289"/>
        <xdr:cNvSpPr>
          <a:spLocks/>
        </xdr:cNvSpPr>
      </xdr:nvSpPr>
      <xdr:spPr>
        <a:xfrm>
          <a:off x="11544300" y="5419725"/>
          <a:ext cx="266700" cy="76200"/>
        </a:xfrm>
        <a:custGeom>
          <a:pathLst>
            <a:path h="56" w="251">
              <a:moveTo>
                <a:pt x="251" y="47"/>
              </a:moveTo>
              <a:lnTo>
                <a:pt x="150" y="0"/>
              </a:lnTo>
              <a:lnTo>
                <a:pt x="0" y="0"/>
              </a:lnTo>
              <a:lnTo>
                <a:pt x="0" y="56"/>
              </a:lnTo>
              <a:lnTo>
                <a:pt x="151" y="56"/>
              </a:lnTo>
              <a:lnTo>
                <a:pt x="250" y="11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57150</xdr:colOff>
      <xdr:row>33</xdr:row>
      <xdr:rowOff>19050</xdr:rowOff>
    </xdr:from>
    <xdr:to>
      <xdr:col>31</xdr:col>
      <xdr:colOff>47625</xdr:colOff>
      <xdr:row>33</xdr:row>
      <xdr:rowOff>114300</xdr:rowOff>
    </xdr:to>
    <xdr:sp>
      <xdr:nvSpPr>
        <xdr:cNvPr id="278" name="Line 290"/>
        <xdr:cNvSpPr>
          <a:spLocks/>
        </xdr:cNvSpPr>
      </xdr:nvSpPr>
      <xdr:spPr>
        <a:xfrm flipH="1">
          <a:off x="9753600" y="5686425"/>
          <a:ext cx="95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238125</xdr:colOff>
      <xdr:row>35</xdr:row>
      <xdr:rowOff>47625</xdr:rowOff>
    </xdr:from>
    <xdr:to>
      <xdr:col>13</xdr:col>
      <xdr:colOff>47625</xdr:colOff>
      <xdr:row>36</xdr:row>
      <xdr:rowOff>114300</xdr:rowOff>
    </xdr:to>
    <xdr:sp>
      <xdr:nvSpPr>
        <xdr:cNvPr id="279" name="Freeform 291"/>
        <xdr:cNvSpPr>
          <a:spLocks/>
        </xdr:cNvSpPr>
      </xdr:nvSpPr>
      <xdr:spPr>
        <a:xfrm>
          <a:off x="2676525" y="6172200"/>
          <a:ext cx="809625" cy="171450"/>
        </a:xfrm>
        <a:custGeom>
          <a:pathLst>
            <a:path h="10" w="100">
              <a:moveTo>
                <a:pt x="0" y="10"/>
              </a:moveTo>
              <a:lnTo>
                <a:pt x="53" y="0"/>
              </a:lnTo>
              <a:lnTo>
                <a:pt x="10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266700</xdr:colOff>
      <xdr:row>36</xdr:row>
      <xdr:rowOff>152400</xdr:rowOff>
    </xdr:from>
    <xdr:to>
      <xdr:col>8</xdr:col>
      <xdr:colOff>295275</xdr:colOff>
      <xdr:row>36</xdr:row>
      <xdr:rowOff>200025</xdr:rowOff>
    </xdr:to>
    <xdr:sp>
      <xdr:nvSpPr>
        <xdr:cNvPr id="280" name="Oval 292"/>
        <xdr:cNvSpPr>
          <a:spLocks/>
        </xdr:cNvSpPr>
      </xdr:nvSpPr>
      <xdr:spPr>
        <a:xfrm>
          <a:off x="2038350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152400</xdr:rowOff>
    </xdr:from>
    <xdr:to>
      <xdr:col>9</xdr:col>
      <xdr:colOff>304800</xdr:colOff>
      <xdr:row>36</xdr:row>
      <xdr:rowOff>200025</xdr:rowOff>
    </xdr:to>
    <xdr:sp>
      <xdr:nvSpPr>
        <xdr:cNvPr id="281" name="Oval 293"/>
        <xdr:cNvSpPr>
          <a:spLocks/>
        </xdr:cNvSpPr>
      </xdr:nvSpPr>
      <xdr:spPr>
        <a:xfrm>
          <a:off x="2381250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38100</xdr:colOff>
      <xdr:row>31</xdr:row>
      <xdr:rowOff>276225</xdr:rowOff>
    </xdr:from>
    <xdr:to>
      <xdr:col>15</xdr:col>
      <xdr:colOff>66675</xdr:colOff>
      <xdr:row>32</xdr:row>
      <xdr:rowOff>38100</xdr:rowOff>
    </xdr:to>
    <xdr:sp>
      <xdr:nvSpPr>
        <xdr:cNvPr id="282" name="Oval 294"/>
        <xdr:cNvSpPr>
          <a:spLocks/>
        </xdr:cNvSpPr>
      </xdr:nvSpPr>
      <xdr:spPr>
        <a:xfrm>
          <a:off x="3771900" y="5553075"/>
          <a:ext cx="28575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114300</xdr:colOff>
      <xdr:row>31</xdr:row>
      <xdr:rowOff>142875</xdr:rowOff>
    </xdr:from>
    <xdr:to>
      <xdr:col>19</xdr:col>
      <xdr:colOff>333375</xdr:colOff>
      <xdr:row>33</xdr:row>
      <xdr:rowOff>133350</xdr:rowOff>
    </xdr:to>
    <xdr:sp>
      <xdr:nvSpPr>
        <xdr:cNvPr id="283" name="Text Box 295"/>
        <xdr:cNvSpPr txBox="1">
          <a:spLocks noChangeArrowheads="1"/>
        </xdr:cNvSpPr>
      </xdr:nvSpPr>
      <xdr:spPr>
        <a:xfrm>
          <a:off x="3848100" y="5419725"/>
          <a:ext cx="174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PC.STRAND  ( SEE TABLE )</a:t>
          </a:r>
        </a:p>
      </xdr:txBody>
    </xdr:sp>
    <xdr:clientData/>
  </xdr:twoCellAnchor>
  <xdr:twoCellAnchor>
    <xdr:from>
      <xdr:col>27</xdr:col>
      <xdr:colOff>142875</xdr:colOff>
      <xdr:row>36</xdr:row>
      <xdr:rowOff>161925</xdr:rowOff>
    </xdr:from>
    <xdr:to>
      <xdr:col>27</xdr:col>
      <xdr:colOff>171450</xdr:colOff>
      <xdr:row>36</xdr:row>
      <xdr:rowOff>209550</xdr:rowOff>
    </xdr:to>
    <xdr:sp>
      <xdr:nvSpPr>
        <xdr:cNvPr id="284" name="Oval 296"/>
        <xdr:cNvSpPr>
          <a:spLocks/>
        </xdr:cNvSpPr>
      </xdr:nvSpPr>
      <xdr:spPr>
        <a:xfrm>
          <a:off x="8877300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66675</xdr:colOff>
      <xdr:row>36</xdr:row>
      <xdr:rowOff>152400</xdr:rowOff>
    </xdr:from>
    <xdr:to>
      <xdr:col>30</xdr:col>
      <xdr:colOff>95250</xdr:colOff>
      <xdr:row>36</xdr:row>
      <xdr:rowOff>200025</xdr:rowOff>
    </xdr:to>
    <xdr:sp>
      <xdr:nvSpPr>
        <xdr:cNvPr id="285" name="Oval 297"/>
        <xdr:cNvSpPr>
          <a:spLocks/>
        </xdr:cNvSpPr>
      </xdr:nvSpPr>
      <xdr:spPr>
        <a:xfrm>
          <a:off x="976312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247650</xdr:colOff>
      <xdr:row>36</xdr:row>
      <xdr:rowOff>161925</xdr:rowOff>
    </xdr:from>
    <xdr:to>
      <xdr:col>29</xdr:col>
      <xdr:colOff>0</xdr:colOff>
      <xdr:row>36</xdr:row>
      <xdr:rowOff>209550</xdr:rowOff>
    </xdr:to>
    <xdr:sp>
      <xdr:nvSpPr>
        <xdr:cNvPr id="286" name="Oval 298"/>
        <xdr:cNvSpPr>
          <a:spLocks/>
        </xdr:cNvSpPr>
      </xdr:nvSpPr>
      <xdr:spPr>
        <a:xfrm>
          <a:off x="9544050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142875</xdr:colOff>
      <xdr:row>36</xdr:row>
      <xdr:rowOff>161925</xdr:rowOff>
    </xdr:from>
    <xdr:to>
      <xdr:col>28</xdr:col>
      <xdr:colOff>171450</xdr:colOff>
      <xdr:row>36</xdr:row>
      <xdr:rowOff>209550</xdr:rowOff>
    </xdr:to>
    <xdr:sp>
      <xdr:nvSpPr>
        <xdr:cNvPr id="287" name="Oval 299"/>
        <xdr:cNvSpPr>
          <a:spLocks/>
        </xdr:cNvSpPr>
      </xdr:nvSpPr>
      <xdr:spPr>
        <a:xfrm>
          <a:off x="9439275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361950</xdr:colOff>
      <xdr:row>36</xdr:row>
      <xdr:rowOff>161925</xdr:rowOff>
    </xdr:from>
    <xdr:to>
      <xdr:col>27</xdr:col>
      <xdr:colOff>390525</xdr:colOff>
      <xdr:row>36</xdr:row>
      <xdr:rowOff>209550</xdr:rowOff>
    </xdr:to>
    <xdr:sp>
      <xdr:nvSpPr>
        <xdr:cNvPr id="288" name="Oval 300"/>
        <xdr:cNvSpPr>
          <a:spLocks/>
        </xdr:cNvSpPr>
      </xdr:nvSpPr>
      <xdr:spPr>
        <a:xfrm>
          <a:off x="9096375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142875</xdr:colOff>
      <xdr:row>31</xdr:row>
      <xdr:rowOff>76200</xdr:rowOff>
    </xdr:from>
    <xdr:to>
      <xdr:col>27</xdr:col>
      <xdr:colOff>171450</xdr:colOff>
      <xdr:row>31</xdr:row>
      <xdr:rowOff>123825</xdr:rowOff>
    </xdr:to>
    <xdr:sp>
      <xdr:nvSpPr>
        <xdr:cNvPr id="289" name="Oval 301"/>
        <xdr:cNvSpPr>
          <a:spLocks/>
        </xdr:cNvSpPr>
      </xdr:nvSpPr>
      <xdr:spPr>
        <a:xfrm>
          <a:off x="887730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66675</xdr:colOff>
      <xdr:row>31</xdr:row>
      <xdr:rowOff>76200</xdr:rowOff>
    </xdr:from>
    <xdr:to>
      <xdr:col>30</xdr:col>
      <xdr:colOff>95250</xdr:colOff>
      <xdr:row>31</xdr:row>
      <xdr:rowOff>123825</xdr:rowOff>
    </xdr:to>
    <xdr:sp>
      <xdr:nvSpPr>
        <xdr:cNvPr id="290" name="Oval 302"/>
        <xdr:cNvSpPr>
          <a:spLocks/>
        </xdr:cNvSpPr>
      </xdr:nvSpPr>
      <xdr:spPr>
        <a:xfrm>
          <a:off x="9763125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85725</xdr:rowOff>
    </xdr:from>
    <xdr:to>
      <xdr:col>9</xdr:col>
      <xdr:colOff>9525</xdr:colOff>
      <xdr:row>19</xdr:row>
      <xdr:rowOff>9525</xdr:rowOff>
    </xdr:to>
    <xdr:sp>
      <xdr:nvSpPr>
        <xdr:cNvPr id="291" name="Line 304"/>
        <xdr:cNvSpPr>
          <a:spLocks/>
        </xdr:cNvSpPr>
      </xdr:nvSpPr>
      <xdr:spPr>
        <a:xfrm>
          <a:off x="211455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95250</xdr:colOff>
      <xdr:row>7</xdr:row>
      <xdr:rowOff>85725</xdr:rowOff>
    </xdr:from>
    <xdr:to>
      <xdr:col>10</xdr:col>
      <xdr:colOff>95250</xdr:colOff>
      <xdr:row>19</xdr:row>
      <xdr:rowOff>9525</xdr:rowOff>
    </xdr:to>
    <xdr:sp>
      <xdr:nvSpPr>
        <xdr:cNvPr id="292" name="Line 305"/>
        <xdr:cNvSpPr>
          <a:spLocks/>
        </xdr:cNvSpPr>
      </xdr:nvSpPr>
      <xdr:spPr>
        <a:xfrm>
          <a:off x="253365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228600</xdr:colOff>
      <xdr:row>7</xdr:row>
      <xdr:rowOff>85725</xdr:rowOff>
    </xdr:from>
    <xdr:to>
      <xdr:col>10</xdr:col>
      <xdr:colOff>228600</xdr:colOff>
      <xdr:row>19</xdr:row>
      <xdr:rowOff>19050</xdr:rowOff>
    </xdr:to>
    <xdr:sp>
      <xdr:nvSpPr>
        <xdr:cNvPr id="293" name="Line 306"/>
        <xdr:cNvSpPr>
          <a:spLocks/>
        </xdr:cNvSpPr>
      </xdr:nvSpPr>
      <xdr:spPr>
        <a:xfrm>
          <a:off x="26670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85725</xdr:rowOff>
    </xdr:from>
    <xdr:to>
      <xdr:col>11</xdr:col>
      <xdr:colOff>28575</xdr:colOff>
      <xdr:row>19</xdr:row>
      <xdr:rowOff>19050</xdr:rowOff>
    </xdr:to>
    <xdr:sp>
      <xdr:nvSpPr>
        <xdr:cNvPr id="294" name="Line 307"/>
        <xdr:cNvSpPr>
          <a:spLocks/>
        </xdr:cNvSpPr>
      </xdr:nvSpPr>
      <xdr:spPr>
        <a:xfrm>
          <a:off x="280035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85725</xdr:rowOff>
    </xdr:from>
    <xdr:to>
      <xdr:col>7</xdr:col>
      <xdr:colOff>123825</xdr:colOff>
      <xdr:row>19</xdr:row>
      <xdr:rowOff>9525</xdr:rowOff>
    </xdr:to>
    <xdr:sp>
      <xdr:nvSpPr>
        <xdr:cNvPr id="295" name="Line 308"/>
        <xdr:cNvSpPr>
          <a:spLocks/>
        </xdr:cNvSpPr>
      </xdr:nvSpPr>
      <xdr:spPr>
        <a:xfrm>
          <a:off x="17049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7</xdr:row>
      <xdr:rowOff>85725</xdr:rowOff>
    </xdr:from>
    <xdr:to>
      <xdr:col>13</xdr:col>
      <xdr:colOff>19050</xdr:colOff>
      <xdr:row>19</xdr:row>
      <xdr:rowOff>19050</xdr:rowOff>
    </xdr:to>
    <xdr:sp>
      <xdr:nvSpPr>
        <xdr:cNvPr id="296" name="Line 309"/>
        <xdr:cNvSpPr>
          <a:spLocks/>
        </xdr:cNvSpPr>
      </xdr:nvSpPr>
      <xdr:spPr>
        <a:xfrm>
          <a:off x="345757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285750</xdr:colOff>
      <xdr:row>7</xdr:row>
      <xdr:rowOff>85725</xdr:rowOff>
    </xdr:from>
    <xdr:to>
      <xdr:col>9</xdr:col>
      <xdr:colOff>285750</xdr:colOff>
      <xdr:row>19</xdr:row>
      <xdr:rowOff>19050</xdr:rowOff>
    </xdr:to>
    <xdr:sp>
      <xdr:nvSpPr>
        <xdr:cNvPr id="297" name="Line 310"/>
        <xdr:cNvSpPr>
          <a:spLocks/>
        </xdr:cNvSpPr>
      </xdr:nvSpPr>
      <xdr:spPr>
        <a:xfrm>
          <a:off x="239077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85725</xdr:rowOff>
    </xdr:from>
    <xdr:to>
      <xdr:col>8</xdr:col>
      <xdr:colOff>57150</xdr:colOff>
      <xdr:row>19</xdr:row>
      <xdr:rowOff>19050</xdr:rowOff>
    </xdr:to>
    <xdr:sp>
      <xdr:nvSpPr>
        <xdr:cNvPr id="298" name="Line 311"/>
        <xdr:cNvSpPr>
          <a:spLocks/>
        </xdr:cNvSpPr>
      </xdr:nvSpPr>
      <xdr:spPr>
        <a:xfrm>
          <a:off x="18288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323850</xdr:colOff>
      <xdr:row>7</xdr:row>
      <xdr:rowOff>85725</xdr:rowOff>
    </xdr:from>
    <xdr:to>
      <xdr:col>11</xdr:col>
      <xdr:colOff>323850</xdr:colOff>
      <xdr:row>19</xdr:row>
      <xdr:rowOff>19050</xdr:rowOff>
    </xdr:to>
    <xdr:sp>
      <xdr:nvSpPr>
        <xdr:cNvPr id="299" name="Line 312"/>
        <xdr:cNvSpPr>
          <a:spLocks/>
        </xdr:cNvSpPr>
      </xdr:nvSpPr>
      <xdr:spPr>
        <a:xfrm>
          <a:off x="30956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161925</xdr:colOff>
      <xdr:row>7</xdr:row>
      <xdr:rowOff>85725</xdr:rowOff>
    </xdr:from>
    <xdr:to>
      <xdr:col>11</xdr:col>
      <xdr:colOff>161925</xdr:colOff>
      <xdr:row>19</xdr:row>
      <xdr:rowOff>19050</xdr:rowOff>
    </xdr:to>
    <xdr:sp>
      <xdr:nvSpPr>
        <xdr:cNvPr id="300" name="Line 313"/>
        <xdr:cNvSpPr>
          <a:spLocks/>
        </xdr:cNvSpPr>
      </xdr:nvSpPr>
      <xdr:spPr>
        <a:xfrm>
          <a:off x="29337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85725</xdr:rowOff>
    </xdr:from>
    <xdr:to>
      <xdr:col>16</xdr:col>
      <xdr:colOff>0</xdr:colOff>
      <xdr:row>19</xdr:row>
      <xdr:rowOff>19050</xdr:rowOff>
    </xdr:to>
    <xdr:sp>
      <xdr:nvSpPr>
        <xdr:cNvPr id="301" name="Line 314"/>
        <xdr:cNvSpPr>
          <a:spLocks/>
        </xdr:cNvSpPr>
      </xdr:nvSpPr>
      <xdr:spPr>
        <a:xfrm>
          <a:off x="38576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200025</xdr:colOff>
      <xdr:row>7</xdr:row>
      <xdr:rowOff>85725</xdr:rowOff>
    </xdr:from>
    <xdr:to>
      <xdr:col>8</xdr:col>
      <xdr:colOff>200025</xdr:colOff>
      <xdr:row>19</xdr:row>
      <xdr:rowOff>9525</xdr:rowOff>
    </xdr:to>
    <xdr:sp>
      <xdr:nvSpPr>
        <xdr:cNvPr id="302" name="Line 315"/>
        <xdr:cNvSpPr>
          <a:spLocks/>
        </xdr:cNvSpPr>
      </xdr:nvSpPr>
      <xdr:spPr>
        <a:xfrm>
          <a:off x="19716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85725</xdr:rowOff>
    </xdr:from>
    <xdr:to>
      <xdr:col>9</xdr:col>
      <xdr:colOff>152400</xdr:colOff>
      <xdr:row>19</xdr:row>
      <xdr:rowOff>9525</xdr:rowOff>
    </xdr:to>
    <xdr:sp>
      <xdr:nvSpPr>
        <xdr:cNvPr id="303" name="Line 316"/>
        <xdr:cNvSpPr>
          <a:spLocks/>
        </xdr:cNvSpPr>
      </xdr:nvSpPr>
      <xdr:spPr>
        <a:xfrm>
          <a:off x="22574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76200</xdr:rowOff>
    </xdr:from>
    <xdr:to>
      <xdr:col>4</xdr:col>
      <xdr:colOff>57150</xdr:colOff>
      <xdr:row>6</xdr:row>
      <xdr:rowOff>76200</xdr:rowOff>
    </xdr:to>
    <xdr:sp>
      <xdr:nvSpPr>
        <xdr:cNvPr id="304" name="Line 317"/>
        <xdr:cNvSpPr>
          <a:spLocks/>
        </xdr:cNvSpPr>
      </xdr:nvSpPr>
      <xdr:spPr>
        <a:xfrm>
          <a:off x="866775" y="1819275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76200</xdr:rowOff>
    </xdr:from>
    <xdr:to>
      <xdr:col>3</xdr:col>
      <xdr:colOff>47625</xdr:colOff>
      <xdr:row>6</xdr:row>
      <xdr:rowOff>295275</xdr:rowOff>
    </xdr:to>
    <xdr:sp>
      <xdr:nvSpPr>
        <xdr:cNvPr id="305" name="Line 318"/>
        <xdr:cNvSpPr>
          <a:spLocks/>
        </xdr:cNvSpPr>
      </xdr:nvSpPr>
      <xdr:spPr>
        <a:xfrm flipH="1">
          <a:off x="866775" y="1819275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142875</xdr:rowOff>
    </xdr:from>
    <xdr:to>
      <xdr:col>5</xdr:col>
      <xdr:colOff>85725</xdr:colOff>
      <xdr:row>6</xdr:row>
      <xdr:rowOff>266700</xdr:rowOff>
    </xdr:to>
    <xdr:sp>
      <xdr:nvSpPr>
        <xdr:cNvPr id="306" name="Drawing 1350"/>
        <xdr:cNvSpPr>
          <a:spLocks/>
        </xdr:cNvSpPr>
      </xdr:nvSpPr>
      <xdr:spPr>
        <a:xfrm>
          <a:off x="1076325" y="1609725"/>
          <a:ext cx="209550" cy="400050"/>
        </a:xfrm>
        <a:custGeom>
          <a:pathLst>
            <a:path h="16384" w="16384">
              <a:moveTo>
                <a:pt x="16384" y="8602"/>
              </a:moveTo>
              <a:lnTo>
                <a:pt x="0" y="0"/>
              </a:lnTo>
              <a:lnTo>
                <a:pt x="0" y="16384"/>
              </a:lnTo>
              <a:lnTo>
                <a:pt x="16384" y="860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142875</xdr:colOff>
      <xdr:row>5</xdr:row>
      <xdr:rowOff>200025</xdr:rowOff>
    </xdr:from>
    <xdr:to>
      <xdr:col>5</xdr:col>
      <xdr:colOff>9525</xdr:colOff>
      <xdr:row>6</xdr:row>
      <xdr:rowOff>219075</xdr:rowOff>
    </xdr:to>
    <xdr:sp>
      <xdr:nvSpPr>
        <xdr:cNvPr id="307" name="Oval 320"/>
        <xdr:cNvSpPr>
          <a:spLocks/>
        </xdr:cNvSpPr>
      </xdr:nvSpPr>
      <xdr:spPr>
        <a:xfrm>
          <a:off x="962025" y="1666875"/>
          <a:ext cx="2476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190500</xdr:rowOff>
    </xdr:from>
    <xdr:to>
      <xdr:col>4</xdr:col>
      <xdr:colOff>171450</xdr:colOff>
      <xdr:row>6</xdr:row>
      <xdr:rowOff>180975</xdr:rowOff>
    </xdr:to>
    <xdr:sp>
      <xdr:nvSpPr>
        <xdr:cNvPr id="308" name="Text 459"/>
        <xdr:cNvSpPr txBox="1">
          <a:spLocks noChangeArrowheads="1"/>
        </xdr:cNvSpPr>
      </xdr:nvSpPr>
      <xdr:spPr>
        <a:xfrm>
          <a:off x="1009650" y="1657350"/>
          <a:ext cx="1714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1</a:t>
          </a:r>
        </a:p>
      </xdr:txBody>
    </xdr:sp>
    <xdr:clientData/>
  </xdr:twoCellAnchor>
  <xdr:twoCellAnchor>
    <xdr:from>
      <xdr:col>7</xdr:col>
      <xdr:colOff>0</xdr:colOff>
      <xdr:row>37</xdr:row>
      <xdr:rowOff>9525</xdr:rowOff>
    </xdr:from>
    <xdr:to>
      <xdr:col>11</xdr:col>
      <xdr:colOff>266700</xdr:colOff>
      <xdr:row>40</xdr:row>
      <xdr:rowOff>219075</xdr:rowOff>
    </xdr:to>
    <xdr:grpSp>
      <xdr:nvGrpSpPr>
        <xdr:cNvPr id="309" name="Group 322"/>
        <xdr:cNvGrpSpPr>
          <a:grpSpLocks/>
        </xdr:cNvGrpSpPr>
      </xdr:nvGrpSpPr>
      <xdr:grpSpPr>
        <a:xfrm>
          <a:off x="1581150" y="6524625"/>
          <a:ext cx="1457325" cy="800100"/>
          <a:chOff x="324" y="719"/>
          <a:chExt cx="153" cy="84"/>
        </a:xfrm>
        <a:solidFill>
          <a:srgbClr val="FFFFFF"/>
        </a:solidFill>
      </xdr:grpSpPr>
      <xdr:sp>
        <xdr:nvSpPr>
          <xdr:cNvPr id="310" name="Line 323"/>
          <xdr:cNvSpPr>
            <a:spLocks/>
          </xdr:cNvSpPr>
        </xdr:nvSpPr>
        <xdr:spPr>
          <a:xfrm>
            <a:off x="324" y="766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1" name="Line 324"/>
          <xdr:cNvSpPr>
            <a:spLocks/>
          </xdr:cNvSpPr>
        </xdr:nvSpPr>
        <xdr:spPr>
          <a:xfrm>
            <a:off x="335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2" name="Line 325"/>
          <xdr:cNvSpPr>
            <a:spLocks/>
          </xdr:cNvSpPr>
        </xdr:nvSpPr>
        <xdr:spPr>
          <a:xfrm>
            <a:off x="459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3" name="Oval 326"/>
          <xdr:cNvSpPr>
            <a:spLocks/>
          </xdr:cNvSpPr>
        </xdr:nvSpPr>
        <xdr:spPr>
          <a:xfrm>
            <a:off x="332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4" name="Oval 327"/>
          <xdr:cNvSpPr>
            <a:spLocks/>
          </xdr:cNvSpPr>
        </xdr:nvSpPr>
        <xdr:spPr>
          <a:xfrm>
            <a:off x="456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5" name="Line 328"/>
          <xdr:cNvSpPr>
            <a:spLocks/>
          </xdr:cNvSpPr>
        </xdr:nvSpPr>
        <xdr:spPr>
          <a:xfrm>
            <a:off x="444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6" name="Oval 329"/>
          <xdr:cNvSpPr>
            <a:spLocks/>
          </xdr:cNvSpPr>
        </xdr:nvSpPr>
        <xdr:spPr>
          <a:xfrm>
            <a:off x="347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7" name="Oval 330"/>
          <xdr:cNvSpPr>
            <a:spLocks/>
          </xdr:cNvSpPr>
        </xdr:nvSpPr>
        <xdr:spPr>
          <a:xfrm>
            <a:off x="441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8" name="Line 331"/>
          <xdr:cNvSpPr>
            <a:spLocks/>
          </xdr:cNvSpPr>
        </xdr:nvSpPr>
        <xdr:spPr>
          <a:xfrm>
            <a:off x="350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9" name="Line 332"/>
          <xdr:cNvSpPr>
            <a:spLocks/>
          </xdr:cNvSpPr>
        </xdr:nvSpPr>
        <xdr:spPr>
          <a:xfrm>
            <a:off x="362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0" name="Line 333"/>
          <xdr:cNvSpPr>
            <a:spLocks/>
          </xdr:cNvSpPr>
        </xdr:nvSpPr>
        <xdr:spPr>
          <a:xfrm>
            <a:off x="385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1" name="Line 334"/>
          <xdr:cNvSpPr>
            <a:spLocks/>
          </xdr:cNvSpPr>
        </xdr:nvSpPr>
        <xdr:spPr>
          <a:xfrm>
            <a:off x="408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2" name="Line 335"/>
          <xdr:cNvSpPr>
            <a:spLocks/>
          </xdr:cNvSpPr>
        </xdr:nvSpPr>
        <xdr:spPr>
          <a:xfrm>
            <a:off x="433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3" name="Oval 336"/>
          <xdr:cNvSpPr>
            <a:spLocks/>
          </xdr:cNvSpPr>
        </xdr:nvSpPr>
        <xdr:spPr>
          <a:xfrm>
            <a:off x="382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4" name="Oval 337"/>
          <xdr:cNvSpPr>
            <a:spLocks/>
          </xdr:cNvSpPr>
        </xdr:nvSpPr>
        <xdr:spPr>
          <a:xfrm>
            <a:off x="358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5" name="Oval 338"/>
          <xdr:cNvSpPr>
            <a:spLocks/>
          </xdr:cNvSpPr>
        </xdr:nvSpPr>
        <xdr:spPr>
          <a:xfrm>
            <a:off x="417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6" name="Oval 339"/>
          <xdr:cNvSpPr>
            <a:spLocks/>
          </xdr:cNvSpPr>
        </xdr:nvSpPr>
        <xdr:spPr>
          <a:xfrm>
            <a:off x="405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27" name="Text 1716"/>
          <xdr:cNvSpPr txBox="1">
            <a:spLocks noChangeArrowheads="1"/>
          </xdr:cNvSpPr>
        </xdr:nvSpPr>
        <xdr:spPr>
          <a:xfrm>
            <a:off x="330" y="731"/>
            <a:ext cx="25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328" name="Text 1717"/>
          <xdr:cNvSpPr txBox="1">
            <a:spLocks noChangeArrowheads="1"/>
          </xdr:cNvSpPr>
        </xdr:nvSpPr>
        <xdr:spPr>
          <a:xfrm>
            <a:off x="337" y="770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29" name="Text 1718"/>
          <xdr:cNvSpPr txBox="1">
            <a:spLocks noChangeArrowheads="1"/>
          </xdr:cNvSpPr>
        </xdr:nvSpPr>
        <xdr:spPr>
          <a:xfrm>
            <a:off x="355" y="731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30" name="Text 1719"/>
          <xdr:cNvSpPr txBox="1">
            <a:spLocks noChangeArrowheads="1"/>
          </xdr:cNvSpPr>
        </xdr:nvSpPr>
        <xdr:spPr>
          <a:xfrm>
            <a:off x="414" y="732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31" name="Text 1720"/>
          <xdr:cNvSpPr txBox="1">
            <a:spLocks noChangeArrowheads="1"/>
          </xdr:cNvSpPr>
        </xdr:nvSpPr>
        <xdr:spPr>
          <a:xfrm>
            <a:off x="367" y="770"/>
            <a:ext cx="30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32" name="Text 1722"/>
          <xdr:cNvSpPr txBox="1">
            <a:spLocks noChangeArrowheads="1"/>
          </xdr:cNvSpPr>
        </xdr:nvSpPr>
        <xdr:spPr>
          <a:xfrm>
            <a:off x="446" y="731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333" name="Line 346"/>
          <xdr:cNvSpPr>
            <a:spLocks/>
          </xdr:cNvSpPr>
        </xdr:nvSpPr>
        <xdr:spPr>
          <a:xfrm>
            <a:off x="373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4" name="Line 347"/>
          <xdr:cNvSpPr>
            <a:spLocks/>
          </xdr:cNvSpPr>
        </xdr:nvSpPr>
        <xdr:spPr>
          <a:xfrm>
            <a:off x="421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5" name="Oval 348"/>
          <xdr:cNvSpPr>
            <a:spLocks/>
          </xdr:cNvSpPr>
        </xdr:nvSpPr>
        <xdr:spPr>
          <a:xfrm>
            <a:off x="370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6" name="Oval 349"/>
          <xdr:cNvSpPr>
            <a:spLocks/>
          </xdr:cNvSpPr>
        </xdr:nvSpPr>
        <xdr:spPr>
          <a:xfrm>
            <a:off x="430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37" name="Text 1822"/>
          <xdr:cNvSpPr txBox="1">
            <a:spLocks noChangeArrowheads="1"/>
          </xdr:cNvSpPr>
        </xdr:nvSpPr>
        <xdr:spPr>
          <a:xfrm>
            <a:off x="425" y="771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38" name="Text 1823"/>
          <xdr:cNvSpPr txBox="1">
            <a:spLocks noChangeArrowheads="1"/>
          </xdr:cNvSpPr>
        </xdr:nvSpPr>
        <xdr:spPr>
          <a:xfrm>
            <a:off x="397" y="771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39" name="Line 352"/>
          <xdr:cNvSpPr>
            <a:spLocks/>
          </xdr:cNvSpPr>
        </xdr:nvSpPr>
        <xdr:spPr>
          <a:xfrm>
            <a:off x="397" y="758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0" name="Oval 353"/>
          <xdr:cNvSpPr>
            <a:spLocks/>
          </xdr:cNvSpPr>
        </xdr:nvSpPr>
        <xdr:spPr>
          <a:xfrm>
            <a:off x="394" y="76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1" name="Text 1822"/>
          <xdr:cNvSpPr txBox="1">
            <a:spLocks noChangeArrowheads="1"/>
          </xdr:cNvSpPr>
        </xdr:nvSpPr>
        <xdr:spPr>
          <a:xfrm>
            <a:off x="369" y="719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  <xdr:sp>
        <xdr:nvSpPr>
          <xdr:cNvPr id="342" name="Text 1822"/>
          <xdr:cNvSpPr txBox="1">
            <a:spLocks noChangeArrowheads="1"/>
          </xdr:cNvSpPr>
        </xdr:nvSpPr>
        <xdr:spPr>
          <a:xfrm>
            <a:off x="395" y="719"/>
            <a:ext cx="34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3.75</a:t>
            </a:r>
          </a:p>
        </xdr:txBody>
      </xdr:sp>
    </xdr:grpSp>
    <xdr:clientData/>
  </xdr:twoCellAnchor>
  <xdr:twoCellAnchor>
    <xdr:from>
      <xdr:col>8</xdr:col>
      <xdr:colOff>152400</xdr:colOff>
      <xdr:row>40</xdr:row>
      <xdr:rowOff>190500</xdr:rowOff>
    </xdr:from>
    <xdr:to>
      <xdr:col>10</xdr:col>
      <xdr:colOff>314325</xdr:colOff>
      <xdr:row>41</xdr:row>
      <xdr:rowOff>190500</xdr:rowOff>
    </xdr:to>
    <xdr:sp>
      <xdr:nvSpPr>
        <xdr:cNvPr id="343" name="Text Box 356"/>
        <xdr:cNvSpPr txBox="1">
          <a:spLocks noChangeArrowheads="1"/>
        </xdr:cNvSpPr>
      </xdr:nvSpPr>
      <xdr:spPr>
        <a:xfrm>
          <a:off x="1924050" y="7296150"/>
          <a:ext cx="828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FORE  DAM</a:t>
          </a:r>
        </a:p>
      </xdr:txBody>
    </xdr:sp>
    <xdr:clientData/>
  </xdr:twoCellAnchor>
  <xdr:twoCellAnchor>
    <xdr:from>
      <xdr:col>8</xdr:col>
      <xdr:colOff>161925</xdr:colOff>
      <xdr:row>28</xdr:row>
      <xdr:rowOff>171450</xdr:rowOff>
    </xdr:from>
    <xdr:to>
      <xdr:col>10</xdr:col>
      <xdr:colOff>219075</xdr:colOff>
      <xdr:row>29</xdr:row>
      <xdr:rowOff>171450</xdr:rowOff>
    </xdr:to>
    <xdr:sp>
      <xdr:nvSpPr>
        <xdr:cNvPr id="344" name="Text Box 357"/>
        <xdr:cNvSpPr txBox="1">
          <a:spLocks noChangeArrowheads="1"/>
        </xdr:cNvSpPr>
      </xdr:nvSpPr>
      <xdr:spPr>
        <a:xfrm>
          <a:off x="1933575" y="4905375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BACK DAM</a:t>
          </a:r>
        </a:p>
      </xdr:txBody>
    </xdr:sp>
    <xdr:clientData/>
  </xdr:twoCellAnchor>
  <xdr:twoCellAnchor>
    <xdr:from>
      <xdr:col>11</xdr:col>
      <xdr:colOff>323850</xdr:colOff>
      <xdr:row>36</xdr:row>
      <xdr:rowOff>95250</xdr:rowOff>
    </xdr:from>
    <xdr:to>
      <xdr:col>12</xdr:col>
      <xdr:colOff>285750</xdr:colOff>
      <xdr:row>38</xdr:row>
      <xdr:rowOff>57150</xdr:rowOff>
    </xdr:to>
    <xdr:sp>
      <xdr:nvSpPr>
        <xdr:cNvPr id="345" name="Text 1723"/>
        <xdr:cNvSpPr txBox="1">
          <a:spLocks noChangeArrowheads="1"/>
        </xdr:cNvSpPr>
      </xdr:nvSpPr>
      <xdr:spPr>
        <a:xfrm>
          <a:off x="3095625" y="6324600"/>
          <a:ext cx="29527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4.0</a:t>
          </a:r>
        </a:p>
      </xdr:txBody>
    </xdr:sp>
    <xdr:clientData/>
  </xdr:twoCellAnchor>
  <xdr:twoCellAnchor>
    <xdr:from>
      <xdr:col>11</xdr:col>
      <xdr:colOff>161925</xdr:colOff>
      <xdr:row>36</xdr:row>
      <xdr:rowOff>76200</xdr:rowOff>
    </xdr:from>
    <xdr:to>
      <xdr:col>11</xdr:col>
      <xdr:colOff>304800</xdr:colOff>
      <xdr:row>38</xdr:row>
      <xdr:rowOff>85725</xdr:rowOff>
    </xdr:to>
    <xdr:grpSp>
      <xdr:nvGrpSpPr>
        <xdr:cNvPr id="346" name="Group 359"/>
        <xdr:cNvGrpSpPr>
          <a:grpSpLocks/>
        </xdr:cNvGrpSpPr>
      </xdr:nvGrpSpPr>
      <xdr:grpSpPr>
        <a:xfrm>
          <a:off x="2933700" y="6305550"/>
          <a:ext cx="142875" cy="352425"/>
          <a:chOff x="344" y="698"/>
          <a:chExt cx="15" cy="37"/>
        </a:xfrm>
        <a:solidFill>
          <a:srgbClr val="FFFFFF"/>
        </a:solidFill>
      </xdr:grpSpPr>
      <xdr:sp>
        <xdr:nvSpPr>
          <xdr:cNvPr id="347" name="Line 360"/>
          <xdr:cNvSpPr>
            <a:spLocks/>
          </xdr:cNvSpPr>
        </xdr:nvSpPr>
        <xdr:spPr>
          <a:xfrm>
            <a:off x="351" y="698"/>
            <a:ext cx="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8" name="Line 361"/>
          <xdr:cNvSpPr>
            <a:spLocks/>
          </xdr:cNvSpPr>
        </xdr:nvSpPr>
        <xdr:spPr>
          <a:xfrm>
            <a:off x="344" y="709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49" name="Line 362"/>
          <xdr:cNvSpPr>
            <a:spLocks/>
          </xdr:cNvSpPr>
        </xdr:nvSpPr>
        <xdr:spPr>
          <a:xfrm>
            <a:off x="344" y="726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0" name="Oval 363"/>
          <xdr:cNvSpPr>
            <a:spLocks/>
          </xdr:cNvSpPr>
        </xdr:nvSpPr>
        <xdr:spPr>
          <a:xfrm>
            <a:off x="348" y="706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1" name="Oval 364"/>
          <xdr:cNvSpPr>
            <a:spLocks/>
          </xdr:cNvSpPr>
        </xdr:nvSpPr>
        <xdr:spPr>
          <a:xfrm>
            <a:off x="348" y="723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18</xdr:col>
      <xdr:colOff>381000</xdr:colOff>
      <xdr:row>4</xdr:row>
      <xdr:rowOff>180975</xdr:rowOff>
    </xdr:from>
    <xdr:to>
      <xdr:col>18</xdr:col>
      <xdr:colOff>381000</xdr:colOff>
      <xdr:row>5</xdr:row>
      <xdr:rowOff>114300</xdr:rowOff>
    </xdr:to>
    <xdr:sp>
      <xdr:nvSpPr>
        <xdr:cNvPr id="352" name="Line 365"/>
        <xdr:cNvSpPr>
          <a:spLocks/>
        </xdr:cNvSpPr>
      </xdr:nvSpPr>
      <xdr:spPr>
        <a:xfrm>
          <a:off x="5076825" y="13811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352425</xdr:colOff>
      <xdr:row>4</xdr:row>
      <xdr:rowOff>238125</xdr:rowOff>
    </xdr:from>
    <xdr:to>
      <xdr:col>18</xdr:col>
      <xdr:colOff>419100</xdr:colOff>
      <xdr:row>5</xdr:row>
      <xdr:rowOff>38100</xdr:rowOff>
    </xdr:to>
    <xdr:sp>
      <xdr:nvSpPr>
        <xdr:cNvPr id="353" name="Oval 366"/>
        <xdr:cNvSpPr>
          <a:spLocks/>
        </xdr:cNvSpPr>
      </xdr:nvSpPr>
      <xdr:spPr>
        <a:xfrm>
          <a:off x="5048250" y="14382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114300</xdr:colOff>
      <xdr:row>7</xdr:row>
      <xdr:rowOff>85725</xdr:rowOff>
    </xdr:from>
    <xdr:to>
      <xdr:col>34</xdr:col>
      <xdr:colOff>114300</xdr:colOff>
      <xdr:row>19</xdr:row>
      <xdr:rowOff>9525</xdr:rowOff>
    </xdr:to>
    <xdr:sp>
      <xdr:nvSpPr>
        <xdr:cNvPr id="354" name="Line 367"/>
        <xdr:cNvSpPr>
          <a:spLocks/>
        </xdr:cNvSpPr>
      </xdr:nvSpPr>
      <xdr:spPr>
        <a:xfrm>
          <a:off x="107727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200025</xdr:colOff>
      <xdr:row>7</xdr:row>
      <xdr:rowOff>85725</xdr:rowOff>
    </xdr:from>
    <xdr:to>
      <xdr:col>35</xdr:col>
      <xdr:colOff>200025</xdr:colOff>
      <xdr:row>19</xdr:row>
      <xdr:rowOff>9525</xdr:rowOff>
    </xdr:to>
    <xdr:sp>
      <xdr:nvSpPr>
        <xdr:cNvPr id="355" name="Line 368"/>
        <xdr:cNvSpPr>
          <a:spLocks/>
        </xdr:cNvSpPr>
      </xdr:nvSpPr>
      <xdr:spPr>
        <a:xfrm>
          <a:off x="111918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19050</xdr:colOff>
      <xdr:row>8</xdr:row>
      <xdr:rowOff>0</xdr:rowOff>
    </xdr:from>
    <xdr:to>
      <xdr:col>40</xdr:col>
      <xdr:colOff>19050</xdr:colOff>
      <xdr:row>19</xdr:row>
      <xdr:rowOff>19050</xdr:rowOff>
    </xdr:to>
    <xdr:sp>
      <xdr:nvSpPr>
        <xdr:cNvPr id="356" name="Line 369"/>
        <xdr:cNvSpPr>
          <a:spLocks/>
        </xdr:cNvSpPr>
      </xdr:nvSpPr>
      <xdr:spPr>
        <a:xfrm>
          <a:off x="12249150" y="2162175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85725</xdr:rowOff>
    </xdr:from>
    <xdr:to>
      <xdr:col>36</xdr:col>
      <xdr:colOff>0</xdr:colOff>
      <xdr:row>19</xdr:row>
      <xdr:rowOff>19050</xdr:rowOff>
    </xdr:to>
    <xdr:sp>
      <xdr:nvSpPr>
        <xdr:cNvPr id="357" name="Line 370"/>
        <xdr:cNvSpPr>
          <a:spLocks/>
        </xdr:cNvSpPr>
      </xdr:nvSpPr>
      <xdr:spPr>
        <a:xfrm>
          <a:off x="113252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57150</xdr:colOff>
      <xdr:row>7</xdr:row>
      <xdr:rowOff>85725</xdr:rowOff>
    </xdr:from>
    <xdr:to>
      <xdr:col>39</xdr:col>
      <xdr:colOff>57150</xdr:colOff>
      <xdr:row>19</xdr:row>
      <xdr:rowOff>19050</xdr:rowOff>
    </xdr:to>
    <xdr:sp>
      <xdr:nvSpPr>
        <xdr:cNvPr id="358" name="Line 371"/>
        <xdr:cNvSpPr>
          <a:spLocks/>
        </xdr:cNvSpPr>
      </xdr:nvSpPr>
      <xdr:spPr>
        <a:xfrm>
          <a:off x="1209675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133350</xdr:colOff>
      <xdr:row>7</xdr:row>
      <xdr:rowOff>85725</xdr:rowOff>
    </xdr:from>
    <xdr:to>
      <xdr:col>36</xdr:col>
      <xdr:colOff>133350</xdr:colOff>
      <xdr:row>19</xdr:row>
      <xdr:rowOff>19050</xdr:rowOff>
    </xdr:to>
    <xdr:sp>
      <xdr:nvSpPr>
        <xdr:cNvPr id="359" name="Line 372"/>
        <xdr:cNvSpPr>
          <a:spLocks/>
        </xdr:cNvSpPr>
      </xdr:nvSpPr>
      <xdr:spPr>
        <a:xfrm>
          <a:off x="1145857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38100</xdr:colOff>
      <xdr:row>8</xdr:row>
      <xdr:rowOff>0</xdr:rowOff>
    </xdr:from>
    <xdr:to>
      <xdr:col>33</xdr:col>
      <xdr:colOff>38100</xdr:colOff>
      <xdr:row>19</xdr:row>
      <xdr:rowOff>19050</xdr:rowOff>
    </xdr:to>
    <xdr:sp>
      <xdr:nvSpPr>
        <xdr:cNvPr id="360" name="Line 373"/>
        <xdr:cNvSpPr>
          <a:spLocks/>
        </xdr:cNvSpPr>
      </xdr:nvSpPr>
      <xdr:spPr>
        <a:xfrm>
          <a:off x="10363200" y="2162175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0</xdr:colOff>
      <xdr:row>7</xdr:row>
      <xdr:rowOff>85725</xdr:rowOff>
    </xdr:from>
    <xdr:to>
      <xdr:col>32</xdr:col>
      <xdr:colOff>0</xdr:colOff>
      <xdr:row>19</xdr:row>
      <xdr:rowOff>9525</xdr:rowOff>
    </xdr:to>
    <xdr:sp>
      <xdr:nvSpPr>
        <xdr:cNvPr id="361" name="Line 374"/>
        <xdr:cNvSpPr>
          <a:spLocks/>
        </xdr:cNvSpPr>
      </xdr:nvSpPr>
      <xdr:spPr>
        <a:xfrm>
          <a:off x="999172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104775</xdr:colOff>
      <xdr:row>7</xdr:row>
      <xdr:rowOff>85725</xdr:rowOff>
    </xdr:from>
    <xdr:to>
      <xdr:col>40</xdr:col>
      <xdr:colOff>104775</xdr:colOff>
      <xdr:row>19</xdr:row>
      <xdr:rowOff>9525</xdr:rowOff>
    </xdr:to>
    <xdr:sp>
      <xdr:nvSpPr>
        <xdr:cNvPr id="362" name="Line 375"/>
        <xdr:cNvSpPr>
          <a:spLocks/>
        </xdr:cNvSpPr>
      </xdr:nvSpPr>
      <xdr:spPr>
        <a:xfrm>
          <a:off x="12334875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38100</xdr:colOff>
      <xdr:row>7</xdr:row>
      <xdr:rowOff>85725</xdr:rowOff>
    </xdr:from>
    <xdr:to>
      <xdr:col>38</xdr:col>
      <xdr:colOff>38100</xdr:colOff>
      <xdr:row>19</xdr:row>
      <xdr:rowOff>19050</xdr:rowOff>
    </xdr:to>
    <xdr:sp>
      <xdr:nvSpPr>
        <xdr:cNvPr id="363" name="Line 376"/>
        <xdr:cNvSpPr>
          <a:spLocks/>
        </xdr:cNvSpPr>
      </xdr:nvSpPr>
      <xdr:spPr>
        <a:xfrm>
          <a:off x="118872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57150</xdr:colOff>
      <xdr:row>7</xdr:row>
      <xdr:rowOff>85725</xdr:rowOff>
    </xdr:from>
    <xdr:to>
      <xdr:col>35</xdr:col>
      <xdr:colOff>57150</xdr:colOff>
      <xdr:row>19</xdr:row>
      <xdr:rowOff>19050</xdr:rowOff>
    </xdr:to>
    <xdr:sp>
      <xdr:nvSpPr>
        <xdr:cNvPr id="364" name="Line 377"/>
        <xdr:cNvSpPr>
          <a:spLocks/>
        </xdr:cNvSpPr>
      </xdr:nvSpPr>
      <xdr:spPr>
        <a:xfrm>
          <a:off x="1104900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161925</xdr:colOff>
      <xdr:row>7</xdr:row>
      <xdr:rowOff>85725</xdr:rowOff>
    </xdr:from>
    <xdr:to>
      <xdr:col>33</xdr:col>
      <xdr:colOff>161925</xdr:colOff>
      <xdr:row>19</xdr:row>
      <xdr:rowOff>19050</xdr:rowOff>
    </xdr:to>
    <xdr:sp>
      <xdr:nvSpPr>
        <xdr:cNvPr id="365" name="Line 378"/>
        <xdr:cNvSpPr>
          <a:spLocks/>
        </xdr:cNvSpPr>
      </xdr:nvSpPr>
      <xdr:spPr>
        <a:xfrm>
          <a:off x="104870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247650</xdr:colOff>
      <xdr:row>7</xdr:row>
      <xdr:rowOff>85725</xdr:rowOff>
    </xdr:from>
    <xdr:to>
      <xdr:col>32</xdr:col>
      <xdr:colOff>247650</xdr:colOff>
      <xdr:row>19</xdr:row>
      <xdr:rowOff>19050</xdr:rowOff>
    </xdr:to>
    <xdr:sp>
      <xdr:nvSpPr>
        <xdr:cNvPr id="366" name="Line 379"/>
        <xdr:cNvSpPr>
          <a:spLocks/>
        </xdr:cNvSpPr>
      </xdr:nvSpPr>
      <xdr:spPr>
        <a:xfrm>
          <a:off x="1023937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95250</xdr:colOff>
      <xdr:row>7</xdr:row>
      <xdr:rowOff>85725</xdr:rowOff>
    </xdr:from>
    <xdr:to>
      <xdr:col>37</xdr:col>
      <xdr:colOff>95250</xdr:colOff>
      <xdr:row>19</xdr:row>
      <xdr:rowOff>19050</xdr:rowOff>
    </xdr:to>
    <xdr:sp>
      <xdr:nvSpPr>
        <xdr:cNvPr id="367" name="Line 380"/>
        <xdr:cNvSpPr>
          <a:spLocks/>
        </xdr:cNvSpPr>
      </xdr:nvSpPr>
      <xdr:spPr>
        <a:xfrm>
          <a:off x="1175385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266700</xdr:colOff>
      <xdr:row>7</xdr:row>
      <xdr:rowOff>85725</xdr:rowOff>
    </xdr:from>
    <xdr:to>
      <xdr:col>36</xdr:col>
      <xdr:colOff>266700</xdr:colOff>
      <xdr:row>19</xdr:row>
      <xdr:rowOff>19050</xdr:rowOff>
    </xdr:to>
    <xdr:sp>
      <xdr:nvSpPr>
        <xdr:cNvPr id="368" name="Line 381"/>
        <xdr:cNvSpPr>
          <a:spLocks/>
        </xdr:cNvSpPr>
      </xdr:nvSpPr>
      <xdr:spPr>
        <a:xfrm>
          <a:off x="115919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161925</xdr:colOff>
      <xdr:row>7</xdr:row>
      <xdr:rowOff>85725</xdr:rowOff>
    </xdr:from>
    <xdr:to>
      <xdr:col>38</xdr:col>
      <xdr:colOff>161925</xdr:colOff>
      <xdr:row>19</xdr:row>
      <xdr:rowOff>19050</xdr:rowOff>
    </xdr:to>
    <xdr:sp>
      <xdr:nvSpPr>
        <xdr:cNvPr id="369" name="Line 382"/>
        <xdr:cNvSpPr>
          <a:spLocks/>
        </xdr:cNvSpPr>
      </xdr:nvSpPr>
      <xdr:spPr>
        <a:xfrm>
          <a:off x="120110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133350</xdr:colOff>
      <xdr:row>7</xdr:row>
      <xdr:rowOff>85725</xdr:rowOff>
    </xdr:from>
    <xdr:to>
      <xdr:col>39</xdr:col>
      <xdr:colOff>133350</xdr:colOff>
      <xdr:row>19</xdr:row>
      <xdr:rowOff>19050</xdr:rowOff>
    </xdr:to>
    <xdr:sp>
      <xdr:nvSpPr>
        <xdr:cNvPr id="370" name="Line 383"/>
        <xdr:cNvSpPr>
          <a:spLocks/>
        </xdr:cNvSpPr>
      </xdr:nvSpPr>
      <xdr:spPr>
        <a:xfrm>
          <a:off x="12172950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123825</xdr:colOff>
      <xdr:row>7</xdr:row>
      <xdr:rowOff>85725</xdr:rowOff>
    </xdr:from>
    <xdr:to>
      <xdr:col>32</xdr:col>
      <xdr:colOff>123825</xdr:colOff>
      <xdr:row>19</xdr:row>
      <xdr:rowOff>9525</xdr:rowOff>
    </xdr:to>
    <xdr:sp>
      <xdr:nvSpPr>
        <xdr:cNvPr id="371" name="Line 384"/>
        <xdr:cNvSpPr>
          <a:spLocks/>
        </xdr:cNvSpPr>
      </xdr:nvSpPr>
      <xdr:spPr>
        <a:xfrm>
          <a:off x="1011555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304800</xdr:colOff>
      <xdr:row>7</xdr:row>
      <xdr:rowOff>85725</xdr:rowOff>
    </xdr:from>
    <xdr:to>
      <xdr:col>33</xdr:col>
      <xdr:colOff>304800</xdr:colOff>
      <xdr:row>19</xdr:row>
      <xdr:rowOff>9525</xdr:rowOff>
    </xdr:to>
    <xdr:sp>
      <xdr:nvSpPr>
        <xdr:cNvPr id="372" name="Line 385"/>
        <xdr:cNvSpPr>
          <a:spLocks/>
        </xdr:cNvSpPr>
      </xdr:nvSpPr>
      <xdr:spPr>
        <a:xfrm>
          <a:off x="1062990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257175</xdr:colOff>
      <xdr:row>7</xdr:row>
      <xdr:rowOff>85725</xdr:rowOff>
    </xdr:from>
    <xdr:to>
      <xdr:col>34</xdr:col>
      <xdr:colOff>257175</xdr:colOff>
      <xdr:row>19</xdr:row>
      <xdr:rowOff>9525</xdr:rowOff>
    </xdr:to>
    <xdr:sp>
      <xdr:nvSpPr>
        <xdr:cNvPr id="373" name="Line 386"/>
        <xdr:cNvSpPr>
          <a:spLocks/>
        </xdr:cNvSpPr>
      </xdr:nvSpPr>
      <xdr:spPr>
        <a:xfrm>
          <a:off x="10915650" y="2152650"/>
          <a:ext cx="0" cy="638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7</xdr:row>
      <xdr:rowOff>0</xdr:rowOff>
    </xdr:from>
    <xdr:to>
      <xdr:col>42</xdr:col>
      <xdr:colOff>104775</xdr:colOff>
      <xdr:row>7</xdr:row>
      <xdr:rowOff>0</xdr:rowOff>
    </xdr:to>
    <xdr:sp>
      <xdr:nvSpPr>
        <xdr:cNvPr id="374" name="Line 387"/>
        <xdr:cNvSpPr>
          <a:spLocks/>
        </xdr:cNvSpPr>
      </xdr:nvSpPr>
      <xdr:spPr>
        <a:xfrm>
          <a:off x="9696450" y="2066925"/>
          <a:ext cx="3019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8</xdr:row>
      <xdr:rowOff>0</xdr:rowOff>
    </xdr:from>
    <xdr:to>
      <xdr:col>41</xdr:col>
      <xdr:colOff>0</xdr:colOff>
      <xdr:row>8</xdr:row>
      <xdr:rowOff>0</xdr:rowOff>
    </xdr:to>
    <xdr:sp>
      <xdr:nvSpPr>
        <xdr:cNvPr id="375" name="Line 388"/>
        <xdr:cNvSpPr>
          <a:spLocks/>
        </xdr:cNvSpPr>
      </xdr:nvSpPr>
      <xdr:spPr>
        <a:xfrm>
          <a:off x="9696450" y="2162175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9525</xdr:colOff>
      <xdr:row>11</xdr:row>
      <xdr:rowOff>0</xdr:rowOff>
    </xdr:from>
    <xdr:to>
      <xdr:col>41</xdr:col>
      <xdr:colOff>9525</xdr:colOff>
      <xdr:row>11</xdr:row>
      <xdr:rowOff>0</xdr:rowOff>
    </xdr:to>
    <xdr:sp>
      <xdr:nvSpPr>
        <xdr:cNvPr id="376" name="Line 389"/>
        <xdr:cNvSpPr>
          <a:spLocks/>
        </xdr:cNvSpPr>
      </xdr:nvSpPr>
      <xdr:spPr>
        <a:xfrm>
          <a:off x="9705975" y="22479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9525</xdr:colOff>
      <xdr:row>19</xdr:row>
      <xdr:rowOff>0</xdr:rowOff>
    </xdr:from>
    <xdr:to>
      <xdr:col>41</xdr:col>
      <xdr:colOff>0</xdr:colOff>
      <xdr:row>19</xdr:row>
      <xdr:rowOff>0</xdr:rowOff>
    </xdr:to>
    <xdr:sp>
      <xdr:nvSpPr>
        <xdr:cNvPr id="377" name="Line 390"/>
        <xdr:cNvSpPr>
          <a:spLocks/>
        </xdr:cNvSpPr>
      </xdr:nvSpPr>
      <xdr:spPr>
        <a:xfrm>
          <a:off x="9705975" y="2781300"/>
          <a:ext cx="2714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43</xdr:col>
      <xdr:colOff>0</xdr:colOff>
      <xdr:row>12</xdr:row>
      <xdr:rowOff>0</xdr:rowOff>
    </xdr:to>
    <xdr:sp>
      <xdr:nvSpPr>
        <xdr:cNvPr id="378" name="Line 391"/>
        <xdr:cNvSpPr>
          <a:spLocks/>
        </xdr:cNvSpPr>
      </xdr:nvSpPr>
      <xdr:spPr>
        <a:xfrm>
          <a:off x="9696450" y="230505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0</xdr:rowOff>
    </xdr:from>
    <xdr:to>
      <xdr:col>43</xdr:col>
      <xdr:colOff>0</xdr:colOff>
      <xdr:row>20</xdr:row>
      <xdr:rowOff>0</xdr:rowOff>
    </xdr:to>
    <xdr:sp>
      <xdr:nvSpPr>
        <xdr:cNvPr id="379" name="Line 392"/>
        <xdr:cNvSpPr>
          <a:spLocks/>
        </xdr:cNvSpPr>
      </xdr:nvSpPr>
      <xdr:spPr>
        <a:xfrm>
          <a:off x="9705975" y="2867025"/>
          <a:ext cx="3019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9525</xdr:colOff>
      <xdr:row>16</xdr:row>
      <xdr:rowOff>0</xdr:rowOff>
    </xdr:from>
    <xdr:to>
      <xdr:col>41</xdr:col>
      <xdr:colOff>9525</xdr:colOff>
      <xdr:row>16</xdr:row>
      <xdr:rowOff>0</xdr:rowOff>
    </xdr:to>
    <xdr:sp>
      <xdr:nvSpPr>
        <xdr:cNvPr id="380" name="Line 393"/>
        <xdr:cNvSpPr>
          <a:spLocks/>
        </xdr:cNvSpPr>
      </xdr:nvSpPr>
      <xdr:spPr>
        <a:xfrm>
          <a:off x="9705975" y="26860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43</xdr:col>
      <xdr:colOff>0</xdr:colOff>
      <xdr:row>15</xdr:row>
      <xdr:rowOff>0</xdr:rowOff>
    </xdr:to>
    <xdr:sp>
      <xdr:nvSpPr>
        <xdr:cNvPr id="381" name="Line 394"/>
        <xdr:cNvSpPr>
          <a:spLocks/>
        </xdr:cNvSpPr>
      </xdr:nvSpPr>
      <xdr:spPr>
        <a:xfrm>
          <a:off x="9696450" y="2628900"/>
          <a:ext cx="3028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0</xdr:colOff>
      <xdr:row>7</xdr:row>
      <xdr:rowOff>0</xdr:rowOff>
    </xdr:from>
    <xdr:to>
      <xdr:col>41</xdr:col>
      <xdr:colOff>0</xdr:colOff>
      <xdr:row>11</xdr:row>
      <xdr:rowOff>0</xdr:rowOff>
    </xdr:to>
    <xdr:sp>
      <xdr:nvSpPr>
        <xdr:cNvPr id="382" name="Line 395"/>
        <xdr:cNvSpPr>
          <a:spLocks/>
        </xdr:cNvSpPr>
      </xdr:nvSpPr>
      <xdr:spPr>
        <a:xfrm>
          <a:off x="12420600" y="2066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9525</xdr:colOff>
      <xdr:row>11</xdr:row>
      <xdr:rowOff>0</xdr:rowOff>
    </xdr:from>
    <xdr:to>
      <xdr:col>43</xdr:col>
      <xdr:colOff>0</xdr:colOff>
      <xdr:row>12</xdr:row>
      <xdr:rowOff>0</xdr:rowOff>
    </xdr:to>
    <xdr:sp>
      <xdr:nvSpPr>
        <xdr:cNvPr id="383" name="Line 396"/>
        <xdr:cNvSpPr>
          <a:spLocks/>
        </xdr:cNvSpPr>
      </xdr:nvSpPr>
      <xdr:spPr>
        <a:xfrm>
          <a:off x="12430125" y="2247900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0</xdr:rowOff>
    </xdr:from>
    <xdr:to>
      <xdr:col>41</xdr:col>
      <xdr:colOff>0</xdr:colOff>
      <xdr:row>20</xdr:row>
      <xdr:rowOff>0</xdr:rowOff>
    </xdr:to>
    <xdr:sp>
      <xdr:nvSpPr>
        <xdr:cNvPr id="384" name="Line 397"/>
        <xdr:cNvSpPr>
          <a:spLocks/>
        </xdr:cNvSpPr>
      </xdr:nvSpPr>
      <xdr:spPr>
        <a:xfrm>
          <a:off x="12420600" y="26860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0</xdr:colOff>
      <xdr:row>15</xdr:row>
      <xdr:rowOff>0</xdr:rowOff>
    </xdr:from>
    <xdr:to>
      <xdr:col>43</xdr:col>
      <xdr:colOff>0</xdr:colOff>
      <xdr:row>16</xdr:row>
      <xdr:rowOff>9525</xdr:rowOff>
    </xdr:to>
    <xdr:sp>
      <xdr:nvSpPr>
        <xdr:cNvPr id="385" name="Line 398"/>
        <xdr:cNvSpPr>
          <a:spLocks/>
        </xdr:cNvSpPr>
      </xdr:nvSpPr>
      <xdr:spPr>
        <a:xfrm flipV="1">
          <a:off x="12420600" y="2628900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0</xdr:colOff>
      <xdr:row>7</xdr:row>
      <xdr:rowOff>0</xdr:rowOff>
    </xdr:from>
    <xdr:to>
      <xdr:col>43</xdr:col>
      <xdr:colOff>0</xdr:colOff>
      <xdr:row>20</xdr:row>
      <xdr:rowOff>0</xdr:rowOff>
    </xdr:to>
    <xdr:sp>
      <xdr:nvSpPr>
        <xdr:cNvPr id="386" name="Line 399"/>
        <xdr:cNvSpPr>
          <a:spLocks/>
        </xdr:cNvSpPr>
      </xdr:nvSpPr>
      <xdr:spPr>
        <a:xfrm>
          <a:off x="12725400" y="2066925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47</xdr:col>
      <xdr:colOff>9525</xdr:colOff>
      <xdr:row>6</xdr:row>
      <xdr:rowOff>180975</xdr:rowOff>
    </xdr:from>
    <xdr:to>
      <xdr:col>52</xdr:col>
      <xdr:colOff>219075</xdr:colOff>
      <xdr:row>6</xdr:row>
      <xdr:rowOff>180975</xdr:rowOff>
    </xdr:to>
    <xdr:sp>
      <xdr:nvSpPr>
        <xdr:cNvPr id="387" name="Line 400"/>
        <xdr:cNvSpPr>
          <a:spLocks/>
        </xdr:cNvSpPr>
      </xdr:nvSpPr>
      <xdr:spPr>
        <a:xfrm>
          <a:off x="13696950" y="1924050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238125</xdr:rowOff>
    </xdr:from>
    <xdr:to>
      <xdr:col>52</xdr:col>
      <xdr:colOff>514350</xdr:colOff>
      <xdr:row>6</xdr:row>
      <xdr:rowOff>238125</xdr:rowOff>
    </xdr:to>
    <xdr:sp>
      <xdr:nvSpPr>
        <xdr:cNvPr id="388" name="Line 401"/>
        <xdr:cNvSpPr>
          <a:spLocks/>
        </xdr:cNvSpPr>
      </xdr:nvSpPr>
      <xdr:spPr>
        <a:xfrm>
          <a:off x="13687425" y="1981200"/>
          <a:ext cx="3028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47</xdr:col>
      <xdr:colOff>9525</xdr:colOff>
      <xdr:row>12</xdr:row>
      <xdr:rowOff>57150</xdr:rowOff>
    </xdr:from>
    <xdr:to>
      <xdr:col>52</xdr:col>
      <xdr:colOff>219075</xdr:colOff>
      <xdr:row>12</xdr:row>
      <xdr:rowOff>57150</xdr:rowOff>
    </xdr:to>
    <xdr:sp>
      <xdr:nvSpPr>
        <xdr:cNvPr id="389" name="Line 402"/>
        <xdr:cNvSpPr>
          <a:spLocks/>
        </xdr:cNvSpPr>
      </xdr:nvSpPr>
      <xdr:spPr>
        <a:xfrm>
          <a:off x="13696950" y="2362200"/>
          <a:ext cx="27241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52</xdr:col>
      <xdr:colOff>514350</xdr:colOff>
      <xdr:row>12</xdr:row>
      <xdr:rowOff>0</xdr:rowOff>
    </xdr:to>
    <xdr:sp>
      <xdr:nvSpPr>
        <xdr:cNvPr id="390" name="Line 403"/>
        <xdr:cNvSpPr>
          <a:spLocks/>
        </xdr:cNvSpPr>
      </xdr:nvSpPr>
      <xdr:spPr>
        <a:xfrm>
          <a:off x="13687425" y="2305050"/>
          <a:ext cx="3028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209550</xdr:colOff>
      <xdr:row>6</xdr:row>
      <xdr:rowOff>0</xdr:rowOff>
    </xdr:from>
    <xdr:to>
      <xdr:col>52</xdr:col>
      <xdr:colOff>209550</xdr:colOff>
      <xdr:row>6</xdr:row>
      <xdr:rowOff>180975</xdr:rowOff>
    </xdr:to>
    <xdr:sp>
      <xdr:nvSpPr>
        <xdr:cNvPr id="391" name="Line 404"/>
        <xdr:cNvSpPr>
          <a:spLocks/>
        </xdr:cNvSpPr>
      </xdr:nvSpPr>
      <xdr:spPr>
        <a:xfrm>
          <a:off x="16411575" y="17430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219075</xdr:colOff>
      <xdr:row>6</xdr:row>
      <xdr:rowOff>180975</xdr:rowOff>
    </xdr:from>
    <xdr:to>
      <xdr:col>52</xdr:col>
      <xdr:colOff>514350</xdr:colOff>
      <xdr:row>6</xdr:row>
      <xdr:rowOff>238125</xdr:rowOff>
    </xdr:to>
    <xdr:sp>
      <xdr:nvSpPr>
        <xdr:cNvPr id="392" name="Line 405"/>
        <xdr:cNvSpPr>
          <a:spLocks/>
        </xdr:cNvSpPr>
      </xdr:nvSpPr>
      <xdr:spPr>
        <a:xfrm>
          <a:off x="16421100" y="1924050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209550</xdr:colOff>
      <xdr:row>12</xdr:row>
      <xdr:rowOff>57150</xdr:rowOff>
    </xdr:from>
    <xdr:to>
      <xdr:col>52</xdr:col>
      <xdr:colOff>209550</xdr:colOff>
      <xdr:row>14</xdr:row>
      <xdr:rowOff>0</xdr:rowOff>
    </xdr:to>
    <xdr:sp>
      <xdr:nvSpPr>
        <xdr:cNvPr id="393" name="Line 406"/>
        <xdr:cNvSpPr>
          <a:spLocks/>
        </xdr:cNvSpPr>
      </xdr:nvSpPr>
      <xdr:spPr>
        <a:xfrm>
          <a:off x="16411575" y="2362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209550</xdr:colOff>
      <xdr:row>12</xdr:row>
      <xdr:rowOff>0</xdr:rowOff>
    </xdr:from>
    <xdr:to>
      <xdr:col>52</xdr:col>
      <xdr:colOff>514350</xdr:colOff>
      <xdr:row>12</xdr:row>
      <xdr:rowOff>66675</xdr:rowOff>
    </xdr:to>
    <xdr:sp>
      <xdr:nvSpPr>
        <xdr:cNvPr id="394" name="Line 407"/>
        <xdr:cNvSpPr>
          <a:spLocks/>
        </xdr:cNvSpPr>
      </xdr:nvSpPr>
      <xdr:spPr>
        <a:xfrm flipV="1">
          <a:off x="16411575" y="2305050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52</xdr:col>
      <xdr:colOff>514350</xdr:colOff>
      <xdr:row>6</xdr:row>
      <xdr:rowOff>0</xdr:rowOff>
    </xdr:from>
    <xdr:to>
      <xdr:col>52</xdr:col>
      <xdr:colOff>514350</xdr:colOff>
      <xdr:row>14</xdr:row>
      <xdr:rowOff>0</xdr:rowOff>
    </xdr:to>
    <xdr:sp>
      <xdr:nvSpPr>
        <xdr:cNvPr id="395" name="Line 408"/>
        <xdr:cNvSpPr>
          <a:spLocks/>
        </xdr:cNvSpPr>
      </xdr:nvSpPr>
      <xdr:spPr>
        <a:xfrm>
          <a:off x="16716375" y="1743075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142875</xdr:colOff>
      <xdr:row>22</xdr:row>
      <xdr:rowOff>180975</xdr:rowOff>
    </xdr:from>
    <xdr:to>
      <xdr:col>17</xdr:col>
      <xdr:colOff>142875</xdr:colOff>
      <xdr:row>23</xdr:row>
      <xdr:rowOff>104775</xdr:rowOff>
    </xdr:to>
    <xdr:sp>
      <xdr:nvSpPr>
        <xdr:cNvPr id="396" name="Line 409"/>
        <xdr:cNvSpPr>
          <a:spLocks/>
        </xdr:cNvSpPr>
      </xdr:nvSpPr>
      <xdr:spPr>
        <a:xfrm>
          <a:off x="4276725" y="3400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114300</xdr:colOff>
      <xdr:row>22</xdr:row>
      <xdr:rowOff>238125</xdr:rowOff>
    </xdr:from>
    <xdr:to>
      <xdr:col>17</xdr:col>
      <xdr:colOff>180975</xdr:colOff>
      <xdr:row>23</xdr:row>
      <xdr:rowOff>28575</xdr:rowOff>
    </xdr:to>
    <xdr:sp>
      <xdr:nvSpPr>
        <xdr:cNvPr id="397" name="Oval 410"/>
        <xdr:cNvSpPr>
          <a:spLocks/>
        </xdr:cNvSpPr>
      </xdr:nvSpPr>
      <xdr:spPr>
        <a:xfrm>
          <a:off x="4248150" y="34575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85725</xdr:colOff>
      <xdr:row>22</xdr:row>
      <xdr:rowOff>180975</xdr:rowOff>
    </xdr:from>
    <xdr:to>
      <xdr:col>18</xdr:col>
      <xdr:colOff>85725</xdr:colOff>
      <xdr:row>23</xdr:row>
      <xdr:rowOff>104775</xdr:rowOff>
    </xdr:to>
    <xdr:sp>
      <xdr:nvSpPr>
        <xdr:cNvPr id="398" name="Line 411"/>
        <xdr:cNvSpPr>
          <a:spLocks/>
        </xdr:cNvSpPr>
      </xdr:nvSpPr>
      <xdr:spPr>
        <a:xfrm>
          <a:off x="4781550" y="34004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57150</xdr:colOff>
      <xdr:row>22</xdr:row>
      <xdr:rowOff>238125</xdr:rowOff>
    </xdr:from>
    <xdr:to>
      <xdr:col>18</xdr:col>
      <xdr:colOff>123825</xdr:colOff>
      <xdr:row>23</xdr:row>
      <xdr:rowOff>28575</xdr:rowOff>
    </xdr:to>
    <xdr:sp>
      <xdr:nvSpPr>
        <xdr:cNvPr id="399" name="Oval 412"/>
        <xdr:cNvSpPr>
          <a:spLocks/>
        </xdr:cNvSpPr>
      </xdr:nvSpPr>
      <xdr:spPr>
        <a:xfrm>
          <a:off x="4752975" y="34575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95250</xdr:colOff>
      <xdr:row>3</xdr:row>
      <xdr:rowOff>247650</xdr:rowOff>
    </xdr:from>
    <xdr:to>
      <xdr:col>18</xdr:col>
      <xdr:colOff>95250</xdr:colOff>
      <xdr:row>4</xdr:row>
      <xdr:rowOff>85725</xdr:rowOff>
    </xdr:to>
    <xdr:sp>
      <xdr:nvSpPr>
        <xdr:cNvPr id="400" name="Line 413"/>
        <xdr:cNvSpPr>
          <a:spLocks/>
        </xdr:cNvSpPr>
      </xdr:nvSpPr>
      <xdr:spPr>
        <a:xfrm flipH="1">
          <a:off x="4791075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66675</xdr:colOff>
      <xdr:row>3</xdr:row>
      <xdr:rowOff>285750</xdr:rowOff>
    </xdr:from>
    <xdr:to>
      <xdr:col>18</xdr:col>
      <xdr:colOff>133350</xdr:colOff>
      <xdr:row>4</xdr:row>
      <xdr:rowOff>28575</xdr:rowOff>
    </xdr:to>
    <xdr:sp>
      <xdr:nvSpPr>
        <xdr:cNvPr id="401" name="Oval 414"/>
        <xdr:cNvSpPr>
          <a:spLocks/>
        </xdr:cNvSpPr>
      </xdr:nvSpPr>
      <xdr:spPr>
        <a:xfrm>
          <a:off x="4762500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152400</xdr:colOff>
      <xdr:row>3</xdr:row>
      <xdr:rowOff>247650</xdr:rowOff>
    </xdr:from>
    <xdr:to>
      <xdr:col>17</xdr:col>
      <xdr:colOff>152400</xdr:colOff>
      <xdr:row>4</xdr:row>
      <xdr:rowOff>85725</xdr:rowOff>
    </xdr:to>
    <xdr:sp>
      <xdr:nvSpPr>
        <xdr:cNvPr id="402" name="Line 419"/>
        <xdr:cNvSpPr>
          <a:spLocks/>
        </xdr:cNvSpPr>
      </xdr:nvSpPr>
      <xdr:spPr>
        <a:xfrm flipH="1">
          <a:off x="4286250" y="1123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114300</xdr:colOff>
      <xdr:row>3</xdr:row>
      <xdr:rowOff>285750</xdr:rowOff>
    </xdr:from>
    <xdr:to>
      <xdr:col>17</xdr:col>
      <xdr:colOff>180975</xdr:colOff>
      <xdr:row>4</xdr:row>
      <xdr:rowOff>28575</xdr:rowOff>
    </xdr:to>
    <xdr:sp>
      <xdr:nvSpPr>
        <xdr:cNvPr id="403" name="Oval 420"/>
        <xdr:cNvSpPr>
          <a:spLocks/>
        </xdr:cNvSpPr>
      </xdr:nvSpPr>
      <xdr:spPr>
        <a:xfrm>
          <a:off x="4248150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95250</xdr:colOff>
      <xdr:row>3</xdr:row>
      <xdr:rowOff>219075</xdr:rowOff>
    </xdr:from>
    <xdr:to>
      <xdr:col>33</xdr:col>
      <xdr:colOff>95250</xdr:colOff>
      <xdr:row>4</xdr:row>
      <xdr:rowOff>114300</xdr:rowOff>
    </xdr:to>
    <xdr:sp>
      <xdr:nvSpPr>
        <xdr:cNvPr id="404" name="Line 421"/>
        <xdr:cNvSpPr>
          <a:spLocks/>
        </xdr:cNvSpPr>
      </xdr:nvSpPr>
      <xdr:spPr>
        <a:xfrm>
          <a:off x="10420350" y="10953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57150</xdr:colOff>
      <xdr:row>3</xdr:row>
      <xdr:rowOff>285750</xdr:rowOff>
    </xdr:from>
    <xdr:to>
      <xdr:col>33</xdr:col>
      <xdr:colOff>123825</xdr:colOff>
      <xdr:row>4</xdr:row>
      <xdr:rowOff>28575</xdr:rowOff>
    </xdr:to>
    <xdr:sp>
      <xdr:nvSpPr>
        <xdr:cNvPr id="405" name="Oval 422"/>
        <xdr:cNvSpPr>
          <a:spLocks/>
        </xdr:cNvSpPr>
      </xdr:nvSpPr>
      <xdr:spPr>
        <a:xfrm>
          <a:off x="10382250" y="11620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66675</xdr:colOff>
      <xdr:row>22</xdr:row>
      <xdr:rowOff>171450</xdr:rowOff>
    </xdr:from>
    <xdr:to>
      <xdr:col>33</xdr:col>
      <xdr:colOff>133350</xdr:colOff>
      <xdr:row>23</xdr:row>
      <xdr:rowOff>114300</xdr:rowOff>
    </xdr:to>
    <xdr:grpSp>
      <xdr:nvGrpSpPr>
        <xdr:cNvPr id="406" name="Group 486"/>
        <xdr:cNvGrpSpPr>
          <a:grpSpLocks/>
        </xdr:cNvGrpSpPr>
      </xdr:nvGrpSpPr>
      <xdr:grpSpPr>
        <a:xfrm>
          <a:off x="10391775" y="3390900"/>
          <a:ext cx="66675" cy="219075"/>
          <a:chOff x="1091" y="356"/>
          <a:chExt cx="7" cy="23"/>
        </a:xfrm>
        <a:solidFill>
          <a:srgbClr val="FFFFFF"/>
        </a:solidFill>
      </xdr:grpSpPr>
      <xdr:sp>
        <xdr:nvSpPr>
          <xdr:cNvPr id="407" name="Line 423"/>
          <xdr:cNvSpPr>
            <a:spLocks/>
          </xdr:cNvSpPr>
        </xdr:nvSpPr>
        <xdr:spPr>
          <a:xfrm>
            <a:off x="1094" y="356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08" name="Oval 424"/>
          <xdr:cNvSpPr>
            <a:spLocks/>
          </xdr:cNvSpPr>
        </xdr:nvSpPr>
        <xdr:spPr>
          <a:xfrm>
            <a:off x="1091" y="364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27</xdr:col>
      <xdr:colOff>314325</xdr:colOff>
      <xdr:row>31</xdr:row>
      <xdr:rowOff>57150</xdr:rowOff>
    </xdr:from>
    <xdr:to>
      <xdr:col>27</xdr:col>
      <xdr:colOff>371475</xdr:colOff>
      <xdr:row>36</xdr:row>
      <xdr:rowOff>228600</xdr:rowOff>
    </xdr:to>
    <xdr:grpSp>
      <xdr:nvGrpSpPr>
        <xdr:cNvPr id="409" name="Group 425"/>
        <xdr:cNvGrpSpPr>
          <a:grpSpLocks/>
        </xdr:cNvGrpSpPr>
      </xdr:nvGrpSpPr>
      <xdr:grpSpPr>
        <a:xfrm>
          <a:off x="9048750" y="5334000"/>
          <a:ext cx="57150" cy="1123950"/>
          <a:chOff x="1502" y="531"/>
          <a:chExt cx="6" cy="118"/>
        </a:xfrm>
        <a:solidFill>
          <a:srgbClr val="FFFFFF"/>
        </a:solidFill>
      </xdr:grpSpPr>
      <xdr:sp>
        <xdr:nvSpPr>
          <xdr:cNvPr id="410" name="Line 426"/>
          <xdr:cNvSpPr>
            <a:spLocks/>
          </xdr:cNvSpPr>
        </xdr:nvSpPr>
        <xdr:spPr>
          <a:xfrm>
            <a:off x="1502" y="538"/>
            <a:ext cx="0" cy="106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1" name="Arc 427"/>
          <xdr:cNvSpPr>
            <a:spLocks/>
          </xdr:cNvSpPr>
        </xdr:nvSpPr>
        <xdr:spPr>
          <a:xfrm flipH="1">
            <a:off x="1502" y="531"/>
            <a:ext cx="6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2" name="Arc 428"/>
          <xdr:cNvSpPr>
            <a:spLocks/>
          </xdr:cNvSpPr>
        </xdr:nvSpPr>
        <xdr:spPr>
          <a:xfrm flipH="1" flipV="1">
            <a:off x="1502" y="640"/>
            <a:ext cx="5" cy="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29</xdr:col>
      <xdr:colOff>47625</xdr:colOff>
      <xdr:row>31</xdr:row>
      <xdr:rowOff>123825</xdr:rowOff>
    </xdr:from>
    <xdr:to>
      <xdr:col>29</xdr:col>
      <xdr:colOff>47625</xdr:colOff>
      <xdr:row>36</xdr:row>
      <xdr:rowOff>171450</xdr:rowOff>
    </xdr:to>
    <xdr:sp>
      <xdr:nvSpPr>
        <xdr:cNvPr id="413" name="Line 429"/>
        <xdr:cNvSpPr>
          <a:spLocks/>
        </xdr:cNvSpPr>
      </xdr:nvSpPr>
      <xdr:spPr>
        <a:xfrm>
          <a:off x="9620250" y="5400675"/>
          <a:ext cx="0" cy="1000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257175</xdr:colOff>
      <xdr:row>31</xdr:row>
      <xdr:rowOff>66675</xdr:rowOff>
    </xdr:from>
    <xdr:to>
      <xdr:col>29</xdr:col>
      <xdr:colOff>47625</xdr:colOff>
      <xdr:row>31</xdr:row>
      <xdr:rowOff>133350</xdr:rowOff>
    </xdr:to>
    <xdr:sp>
      <xdr:nvSpPr>
        <xdr:cNvPr id="414" name="Arc 430"/>
        <xdr:cNvSpPr>
          <a:spLocks/>
        </xdr:cNvSpPr>
      </xdr:nvSpPr>
      <xdr:spPr>
        <a:xfrm>
          <a:off x="9553575" y="5343525"/>
          <a:ext cx="666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247650</xdr:colOff>
      <xdr:row>36</xdr:row>
      <xdr:rowOff>161925</xdr:rowOff>
    </xdr:from>
    <xdr:to>
      <xdr:col>29</xdr:col>
      <xdr:colOff>47625</xdr:colOff>
      <xdr:row>36</xdr:row>
      <xdr:rowOff>238125</xdr:rowOff>
    </xdr:to>
    <xdr:sp>
      <xdr:nvSpPr>
        <xdr:cNvPr id="415" name="Arc 431"/>
        <xdr:cNvSpPr>
          <a:spLocks/>
        </xdr:cNvSpPr>
      </xdr:nvSpPr>
      <xdr:spPr>
        <a:xfrm flipV="1">
          <a:off x="9544050" y="63912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28575</xdr:colOff>
      <xdr:row>23</xdr:row>
      <xdr:rowOff>47625</xdr:rowOff>
    </xdr:from>
    <xdr:to>
      <xdr:col>36</xdr:col>
      <xdr:colOff>190500</xdr:colOff>
      <xdr:row>24</xdr:row>
      <xdr:rowOff>152400</xdr:rowOff>
    </xdr:to>
    <xdr:sp>
      <xdr:nvSpPr>
        <xdr:cNvPr id="416" name="Text 1378"/>
        <xdr:cNvSpPr txBox="1">
          <a:spLocks noChangeArrowheads="1"/>
        </xdr:cNvSpPr>
      </xdr:nvSpPr>
      <xdr:spPr>
        <a:xfrm>
          <a:off x="10687050" y="3543300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9</xdr:col>
      <xdr:colOff>171450</xdr:colOff>
      <xdr:row>23</xdr:row>
      <xdr:rowOff>38100</xdr:rowOff>
    </xdr:from>
    <xdr:to>
      <xdr:col>12</xdr:col>
      <xdr:colOff>0</xdr:colOff>
      <xdr:row>24</xdr:row>
      <xdr:rowOff>142875</xdr:rowOff>
    </xdr:to>
    <xdr:sp>
      <xdr:nvSpPr>
        <xdr:cNvPr id="417" name="Text 1378"/>
        <xdr:cNvSpPr txBox="1">
          <a:spLocks noChangeArrowheads="1"/>
        </xdr:cNvSpPr>
      </xdr:nvSpPr>
      <xdr:spPr>
        <a:xfrm>
          <a:off x="2276475" y="3533775"/>
          <a:ext cx="8286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20</xdr:col>
      <xdr:colOff>476250</xdr:colOff>
      <xdr:row>7</xdr:row>
      <xdr:rowOff>85725</xdr:rowOff>
    </xdr:from>
    <xdr:to>
      <xdr:col>20</xdr:col>
      <xdr:colOff>476250</xdr:colOff>
      <xdr:row>19</xdr:row>
      <xdr:rowOff>19050</xdr:rowOff>
    </xdr:to>
    <xdr:sp>
      <xdr:nvSpPr>
        <xdr:cNvPr id="418" name="Line 434"/>
        <xdr:cNvSpPr>
          <a:spLocks/>
        </xdr:cNvSpPr>
      </xdr:nvSpPr>
      <xdr:spPr>
        <a:xfrm>
          <a:off x="62960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428625</xdr:colOff>
      <xdr:row>7</xdr:row>
      <xdr:rowOff>85725</xdr:rowOff>
    </xdr:from>
    <xdr:to>
      <xdr:col>19</xdr:col>
      <xdr:colOff>428625</xdr:colOff>
      <xdr:row>19</xdr:row>
      <xdr:rowOff>19050</xdr:rowOff>
    </xdr:to>
    <xdr:sp>
      <xdr:nvSpPr>
        <xdr:cNvPr id="419" name="Line 435"/>
        <xdr:cNvSpPr>
          <a:spLocks/>
        </xdr:cNvSpPr>
      </xdr:nvSpPr>
      <xdr:spPr>
        <a:xfrm>
          <a:off x="5686425" y="2152650"/>
          <a:ext cx="0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31</xdr:row>
      <xdr:rowOff>85725</xdr:rowOff>
    </xdr:from>
    <xdr:to>
      <xdr:col>10</xdr:col>
      <xdr:colOff>85725</xdr:colOff>
      <xdr:row>31</xdr:row>
      <xdr:rowOff>133350</xdr:rowOff>
    </xdr:to>
    <xdr:sp>
      <xdr:nvSpPr>
        <xdr:cNvPr id="420" name="Oval 442"/>
        <xdr:cNvSpPr>
          <a:spLocks/>
        </xdr:cNvSpPr>
      </xdr:nvSpPr>
      <xdr:spPr>
        <a:xfrm>
          <a:off x="2495550" y="53625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85725</xdr:rowOff>
    </xdr:from>
    <xdr:to>
      <xdr:col>29</xdr:col>
      <xdr:colOff>0</xdr:colOff>
      <xdr:row>31</xdr:row>
      <xdr:rowOff>133350</xdr:rowOff>
    </xdr:to>
    <xdr:sp>
      <xdr:nvSpPr>
        <xdr:cNvPr id="421" name="Oval 448"/>
        <xdr:cNvSpPr>
          <a:spLocks/>
        </xdr:cNvSpPr>
      </xdr:nvSpPr>
      <xdr:spPr>
        <a:xfrm>
          <a:off x="9544050" y="53625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29</xdr:col>
      <xdr:colOff>0</xdr:colOff>
      <xdr:row>18</xdr:row>
      <xdr:rowOff>0</xdr:rowOff>
    </xdr:to>
    <xdr:sp>
      <xdr:nvSpPr>
        <xdr:cNvPr id="422" name="Rectangle 451" descr="ลายเส้นบางทแยงมุมลง"/>
        <xdr:cNvSpPr>
          <a:spLocks/>
        </xdr:cNvSpPr>
      </xdr:nvSpPr>
      <xdr:spPr>
        <a:xfrm flipV="1">
          <a:off x="6781800" y="2733675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247650</xdr:colOff>
      <xdr:row>10</xdr:row>
      <xdr:rowOff>0</xdr:rowOff>
    </xdr:from>
    <xdr:to>
      <xdr:col>26</xdr:col>
      <xdr:colOff>428625</xdr:colOff>
      <xdr:row>21</xdr:row>
      <xdr:rowOff>123825</xdr:rowOff>
    </xdr:to>
    <xdr:sp>
      <xdr:nvSpPr>
        <xdr:cNvPr id="423" name="Freeform 454"/>
        <xdr:cNvSpPr>
          <a:spLocks/>
        </xdr:cNvSpPr>
      </xdr:nvSpPr>
      <xdr:spPr>
        <a:xfrm>
          <a:off x="8420100" y="2209800"/>
          <a:ext cx="180975" cy="866775"/>
        </a:xfrm>
        <a:custGeom>
          <a:pathLst>
            <a:path h="89" w="35">
              <a:moveTo>
                <a:pt x="0" y="0"/>
              </a:moveTo>
              <a:lnTo>
                <a:pt x="0" y="89"/>
              </a:lnTo>
              <a:lnTo>
                <a:pt x="35" y="89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247650</xdr:colOff>
      <xdr:row>16</xdr:row>
      <xdr:rowOff>38100</xdr:rowOff>
    </xdr:from>
    <xdr:to>
      <xdr:col>26</xdr:col>
      <xdr:colOff>247650</xdr:colOff>
      <xdr:row>19</xdr:row>
      <xdr:rowOff>47625</xdr:rowOff>
    </xdr:to>
    <xdr:sp>
      <xdr:nvSpPr>
        <xdr:cNvPr id="424" name="Line 455"/>
        <xdr:cNvSpPr>
          <a:spLocks/>
        </xdr:cNvSpPr>
      </xdr:nvSpPr>
      <xdr:spPr>
        <a:xfrm flipV="1">
          <a:off x="8420100" y="27241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476250</xdr:colOff>
      <xdr:row>31</xdr:row>
      <xdr:rowOff>66675</xdr:rowOff>
    </xdr:from>
    <xdr:to>
      <xdr:col>27</xdr:col>
      <xdr:colOff>552450</xdr:colOff>
      <xdr:row>31</xdr:row>
      <xdr:rowOff>161925</xdr:rowOff>
    </xdr:to>
    <xdr:sp>
      <xdr:nvSpPr>
        <xdr:cNvPr id="425" name="Oval 456" descr="ลายเส้นบางทแยงมุมลง"/>
        <xdr:cNvSpPr>
          <a:spLocks/>
        </xdr:cNvSpPr>
      </xdr:nvSpPr>
      <xdr:spPr>
        <a:xfrm>
          <a:off x="9210675" y="5343525"/>
          <a:ext cx="76200" cy="95250"/>
        </a:xfrm>
        <a:prstGeom prst="ellips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57150</xdr:colOff>
      <xdr:row>36</xdr:row>
      <xdr:rowOff>114300</xdr:rowOff>
    </xdr:from>
    <xdr:to>
      <xdr:col>28</xdr:col>
      <xdr:colOff>133350</xdr:colOff>
      <xdr:row>36</xdr:row>
      <xdr:rowOff>209550</xdr:rowOff>
    </xdr:to>
    <xdr:sp>
      <xdr:nvSpPr>
        <xdr:cNvPr id="426" name="Oval 458" descr="ลายเส้นบางทแยงมุมลง"/>
        <xdr:cNvSpPr>
          <a:spLocks/>
        </xdr:cNvSpPr>
      </xdr:nvSpPr>
      <xdr:spPr>
        <a:xfrm>
          <a:off x="9353550" y="6343650"/>
          <a:ext cx="76200" cy="95250"/>
        </a:xfrm>
        <a:prstGeom prst="ellipse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9525</xdr:colOff>
      <xdr:row>34</xdr:row>
      <xdr:rowOff>190500</xdr:rowOff>
    </xdr:from>
    <xdr:to>
      <xdr:col>42</xdr:col>
      <xdr:colOff>85725</xdr:colOff>
      <xdr:row>36</xdr:row>
      <xdr:rowOff>171450</xdr:rowOff>
    </xdr:to>
    <xdr:sp>
      <xdr:nvSpPr>
        <xdr:cNvPr id="427" name="Text Box 460"/>
        <xdr:cNvSpPr txBox="1">
          <a:spLocks noChangeArrowheads="1"/>
        </xdr:cNvSpPr>
      </xdr:nvSpPr>
      <xdr:spPr>
        <a:xfrm>
          <a:off x="10668000" y="6086475"/>
          <a:ext cx="2028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 DB.12 mm.x 18.00 m.</a:t>
          </a:r>
        </a:p>
      </xdr:txBody>
    </xdr:sp>
    <xdr:clientData/>
  </xdr:twoCellAnchor>
  <xdr:twoCellAnchor>
    <xdr:from>
      <xdr:col>28</xdr:col>
      <xdr:colOff>133350</xdr:colOff>
      <xdr:row>36</xdr:row>
      <xdr:rowOff>19050</xdr:rowOff>
    </xdr:from>
    <xdr:to>
      <xdr:col>33</xdr:col>
      <xdr:colOff>285750</xdr:colOff>
      <xdr:row>36</xdr:row>
      <xdr:rowOff>133350</xdr:rowOff>
    </xdr:to>
    <xdr:sp>
      <xdr:nvSpPr>
        <xdr:cNvPr id="428" name="Freeform 461"/>
        <xdr:cNvSpPr>
          <a:spLocks/>
        </xdr:cNvSpPr>
      </xdr:nvSpPr>
      <xdr:spPr>
        <a:xfrm>
          <a:off x="9429750" y="6248400"/>
          <a:ext cx="1181100" cy="114300"/>
        </a:xfrm>
        <a:custGeom>
          <a:pathLst>
            <a:path h="10" w="100">
              <a:moveTo>
                <a:pt x="0" y="10"/>
              </a:moveTo>
              <a:lnTo>
                <a:pt x="53" y="0"/>
              </a:lnTo>
              <a:lnTo>
                <a:pt x="10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161925</xdr:colOff>
      <xdr:row>36</xdr:row>
      <xdr:rowOff>152400</xdr:rowOff>
    </xdr:from>
    <xdr:to>
      <xdr:col>8</xdr:col>
      <xdr:colOff>190500</xdr:colOff>
      <xdr:row>36</xdr:row>
      <xdr:rowOff>200025</xdr:rowOff>
    </xdr:to>
    <xdr:sp>
      <xdr:nvSpPr>
        <xdr:cNvPr id="429" name="Oval 462"/>
        <xdr:cNvSpPr>
          <a:spLocks/>
        </xdr:cNvSpPr>
      </xdr:nvSpPr>
      <xdr:spPr>
        <a:xfrm>
          <a:off x="193357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161925</xdr:colOff>
      <xdr:row>36</xdr:row>
      <xdr:rowOff>152400</xdr:rowOff>
    </xdr:from>
    <xdr:to>
      <xdr:col>10</xdr:col>
      <xdr:colOff>190500</xdr:colOff>
      <xdr:row>36</xdr:row>
      <xdr:rowOff>200025</xdr:rowOff>
    </xdr:to>
    <xdr:sp>
      <xdr:nvSpPr>
        <xdr:cNvPr id="430" name="Oval 463"/>
        <xdr:cNvSpPr>
          <a:spLocks/>
        </xdr:cNvSpPr>
      </xdr:nvSpPr>
      <xdr:spPr>
        <a:xfrm>
          <a:off x="260032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161925</xdr:colOff>
      <xdr:row>31</xdr:row>
      <xdr:rowOff>76200</xdr:rowOff>
    </xdr:from>
    <xdr:to>
      <xdr:col>8</xdr:col>
      <xdr:colOff>190500</xdr:colOff>
      <xdr:row>31</xdr:row>
      <xdr:rowOff>123825</xdr:rowOff>
    </xdr:to>
    <xdr:sp>
      <xdr:nvSpPr>
        <xdr:cNvPr id="431" name="Oval 464"/>
        <xdr:cNvSpPr>
          <a:spLocks/>
        </xdr:cNvSpPr>
      </xdr:nvSpPr>
      <xdr:spPr>
        <a:xfrm>
          <a:off x="1933575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171450</xdr:colOff>
      <xdr:row>31</xdr:row>
      <xdr:rowOff>76200</xdr:rowOff>
    </xdr:from>
    <xdr:to>
      <xdr:col>10</xdr:col>
      <xdr:colOff>200025</xdr:colOff>
      <xdr:row>31</xdr:row>
      <xdr:rowOff>123825</xdr:rowOff>
    </xdr:to>
    <xdr:sp>
      <xdr:nvSpPr>
        <xdr:cNvPr id="432" name="Oval 465"/>
        <xdr:cNvSpPr>
          <a:spLocks/>
        </xdr:cNvSpPr>
      </xdr:nvSpPr>
      <xdr:spPr>
        <a:xfrm>
          <a:off x="260985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266700</xdr:colOff>
      <xdr:row>31</xdr:row>
      <xdr:rowOff>76200</xdr:rowOff>
    </xdr:from>
    <xdr:to>
      <xdr:col>8</xdr:col>
      <xdr:colOff>295275</xdr:colOff>
      <xdr:row>31</xdr:row>
      <xdr:rowOff>123825</xdr:rowOff>
    </xdr:to>
    <xdr:sp>
      <xdr:nvSpPr>
        <xdr:cNvPr id="433" name="Oval 466"/>
        <xdr:cNvSpPr>
          <a:spLocks/>
        </xdr:cNvSpPr>
      </xdr:nvSpPr>
      <xdr:spPr>
        <a:xfrm>
          <a:off x="203835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133350</xdr:colOff>
      <xdr:row>47</xdr:row>
      <xdr:rowOff>66675</xdr:rowOff>
    </xdr:from>
    <xdr:to>
      <xdr:col>24</xdr:col>
      <xdr:colOff>276225</xdr:colOff>
      <xdr:row>48</xdr:row>
      <xdr:rowOff>247650</xdr:rowOff>
    </xdr:to>
    <xdr:sp>
      <xdr:nvSpPr>
        <xdr:cNvPr id="434" name="AutoShape 467"/>
        <xdr:cNvSpPr>
          <a:spLocks/>
        </xdr:cNvSpPr>
      </xdr:nvSpPr>
      <xdr:spPr>
        <a:xfrm>
          <a:off x="7181850" y="9039225"/>
          <a:ext cx="1428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152400</xdr:rowOff>
    </xdr:from>
    <xdr:to>
      <xdr:col>9</xdr:col>
      <xdr:colOff>76200</xdr:colOff>
      <xdr:row>36</xdr:row>
      <xdr:rowOff>200025</xdr:rowOff>
    </xdr:to>
    <xdr:sp>
      <xdr:nvSpPr>
        <xdr:cNvPr id="435" name="Oval 468"/>
        <xdr:cNvSpPr>
          <a:spLocks/>
        </xdr:cNvSpPr>
      </xdr:nvSpPr>
      <xdr:spPr>
        <a:xfrm>
          <a:off x="2152650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257175</xdr:colOff>
      <xdr:row>36</xdr:row>
      <xdr:rowOff>161925</xdr:rowOff>
    </xdr:from>
    <xdr:to>
      <xdr:col>27</xdr:col>
      <xdr:colOff>285750</xdr:colOff>
      <xdr:row>36</xdr:row>
      <xdr:rowOff>209550</xdr:rowOff>
    </xdr:to>
    <xdr:sp>
      <xdr:nvSpPr>
        <xdr:cNvPr id="436" name="Oval 469"/>
        <xdr:cNvSpPr>
          <a:spLocks/>
        </xdr:cNvSpPr>
      </xdr:nvSpPr>
      <xdr:spPr>
        <a:xfrm>
          <a:off x="8991600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76200</xdr:colOff>
      <xdr:row>36</xdr:row>
      <xdr:rowOff>152400</xdr:rowOff>
    </xdr:from>
    <xdr:to>
      <xdr:col>29</xdr:col>
      <xdr:colOff>104775</xdr:colOff>
      <xdr:row>36</xdr:row>
      <xdr:rowOff>200025</xdr:rowOff>
    </xdr:to>
    <xdr:sp>
      <xdr:nvSpPr>
        <xdr:cNvPr id="437" name="Oval 470"/>
        <xdr:cNvSpPr>
          <a:spLocks/>
        </xdr:cNvSpPr>
      </xdr:nvSpPr>
      <xdr:spPr>
        <a:xfrm>
          <a:off x="9648825" y="63817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476250</xdr:colOff>
      <xdr:row>36</xdr:row>
      <xdr:rowOff>161925</xdr:rowOff>
    </xdr:from>
    <xdr:to>
      <xdr:col>27</xdr:col>
      <xdr:colOff>504825</xdr:colOff>
      <xdr:row>36</xdr:row>
      <xdr:rowOff>209550</xdr:rowOff>
    </xdr:to>
    <xdr:sp>
      <xdr:nvSpPr>
        <xdr:cNvPr id="438" name="Oval 471"/>
        <xdr:cNvSpPr>
          <a:spLocks/>
        </xdr:cNvSpPr>
      </xdr:nvSpPr>
      <xdr:spPr>
        <a:xfrm>
          <a:off x="9210675" y="6391275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371475</xdr:colOff>
      <xdr:row>31</xdr:row>
      <xdr:rowOff>76200</xdr:rowOff>
    </xdr:from>
    <xdr:to>
      <xdr:col>27</xdr:col>
      <xdr:colOff>400050</xdr:colOff>
      <xdr:row>31</xdr:row>
      <xdr:rowOff>123825</xdr:rowOff>
    </xdr:to>
    <xdr:sp>
      <xdr:nvSpPr>
        <xdr:cNvPr id="439" name="Oval 472"/>
        <xdr:cNvSpPr>
          <a:spLocks/>
        </xdr:cNvSpPr>
      </xdr:nvSpPr>
      <xdr:spPr>
        <a:xfrm>
          <a:off x="910590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257175</xdr:colOff>
      <xdr:row>31</xdr:row>
      <xdr:rowOff>76200</xdr:rowOff>
    </xdr:from>
    <xdr:to>
      <xdr:col>27</xdr:col>
      <xdr:colOff>285750</xdr:colOff>
      <xdr:row>31</xdr:row>
      <xdr:rowOff>123825</xdr:rowOff>
    </xdr:to>
    <xdr:sp>
      <xdr:nvSpPr>
        <xdr:cNvPr id="440" name="Oval 473"/>
        <xdr:cNvSpPr>
          <a:spLocks/>
        </xdr:cNvSpPr>
      </xdr:nvSpPr>
      <xdr:spPr>
        <a:xfrm>
          <a:off x="8991600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76200</xdr:rowOff>
    </xdr:from>
    <xdr:to>
      <xdr:col>30</xdr:col>
      <xdr:colOff>0</xdr:colOff>
      <xdr:row>31</xdr:row>
      <xdr:rowOff>123825</xdr:rowOff>
    </xdr:to>
    <xdr:sp>
      <xdr:nvSpPr>
        <xdr:cNvPr id="441" name="Oval 474"/>
        <xdr:cNvSpPr>
          <a:spLocks/>
        </xdr:cNvSpPr>
      </xdr:nvSpPr>
      <xdr:spPr>
        <a:xfrm>
          <a:off x="9667875" y="535305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28</xdr:row>
      <xdr:rowOff>180975</xdr:rowOff>
    </xdr:from>
    <xdr:to>
      <xdr:col>18</xdr:col>
      <xdr:colOff>238125</xdr:colOff>
      <xdr:row>30</xdr:row>
      <xdr:rowOff>9525</xdr:rowOff>
    </xdr:to>
    <xdr:sp>
      <xdr:nvSpPr>
        <xdr:cNvPr id="442" name="Text Box 475"/>
        <xdr:cNvSpPr txBox="1">
          <a:spLocks noChangeArrowheads="1"/>
        </xdr:cNvSpPr>
      </xdr:nvSpPr>
      <xdr:spPr>
        <a:xfrm>
          <a:off x="3457575" y="4914900"/>
          <a:ext cx="1476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 DB.12 mm.x 18.00 m.</a:t>
          </a:r>
        </a:p>
      </xdr:txBody>
    </xdr:sp>
    <xdr:clientData/>
  </xdr:twoCellAnchor>
  <xdr:twoCellAnchor>
    <xdr:from>
      <xdr:col>9</xdr:col>
      <xdr:colOff>133350</xdr:colOff>
      <xdr:row>29</xdr:row>
      <xdr:rowOff>85725</xdr:rowOff>
    </xdr:from>
    <xdr:to>
      <xdr:col>12</xdr:col>
      <xdr:colOff>285750</xdr:colOff>
      <xdr:row>31</xdr:row>
      <xdr:rowOff>123825</xdr:rowOff>
    </xdr:to>
    <xdr:sp>
      <xdr:nvSpPr>
        <xdr:cNvPr id="443" name="Freeform 476"/>
        <xdr:cNvSpPr>
          <a:spLocks/>
        </xdr:cNvSpPr>
      </xdr:nvSpPr>
      <xdr:spPr>
        <a:xfrm>
          <a:off x="2238375" y="5086350"/>
          <a:ext cx="1152525" cy="314325"/>
        </a:xfrm>
        <a:custGeom>
          <a:pathLst>
            <a:path h="10" w="100">
              <a:moveTo>
                <a:pt x="0" y="10"/>
              </a:moveTo>
              <a:lnTo>
                <a:pt x="53" y="0"/>
              </a:lnTo>
              <a:lnTo>
                <a:pt x="100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31</xdr:row>
      <xdr:rowOff>85725</xdr:rowOff>
    </xdr:from>
    <xdr:to>
      <xdr:col>8</xdr:col>
      <xdr:colOff>161925</xdr:colOff>
      <xdr:row>31</xdr:row>
      <xdr:rowOff>180975</xdr:rowOff>
    </xdr:to>
    <xdr:sp>
      <xdr:nvSpPr>
        <xdr:cNvPr id="444" name="Oval 477"/>
        <xdr:cNvSpPr>
          <a:spLocks/>
        </xdr:cNvSpPr>
      </xdr:nvSpPr>
      <xdr:spPr>
        <a:xfrm>
          <a:off x="1857375" y="5362575"/>
          <a:ext cx="762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200025</xdr:colOff>
      <xdr:row>31</xdr:row>
      <xdr:rowOff>85725</xdr:rowOff>
    </xdr:from>
    <xdr:to>
      <xdr:col>10</xdr:col>
      <xdr:colOff>276225</xdr:colOff>
      <xdr:row>31</xdr:row>
      <xdr:rowOff>180975</xdr:rowOff>
    </xdr:to>
    <xdr:sp>
      <xdr:nvSpPr>
        <xdr:cNvPr id="445" name="Oval 478"/>
        <xdr:cNvSpPr>
          <a:spLocks/>
        </xdr:cNvSpPr>
      </xdr:nvSpPr>
      <xdr:spPr>
        <a:xfrm>
          <a:off x="2638425" y="5362575"/>
          <a:ext cx="762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36</xdr:row>
      <xdr:rowOff>85725</xdr:rowOff>
    </xdr:from>
    <xdr:to>
      <xdr:col>8</xdr:col>
      <xdr:colOff>161925</xdr:colOff>
      <xdr:row>36</xdr:row>
      <xdr:rowOff>180975</xdr:rowOff>
    </xdr:to>
    <xdr:sp>
      <xdr:nvSpPr>
        <xdr:cNvPr id="446" name="Oval 479"/>
        <xdr:cNvSpPr>
          <a:spLocks/>
        </xdr:cNvSpPr>
      </xdr:nvSpPr>
      <xdr:spPr>
        <a:xfrm>
          <a:off x="1857375" y="6315075"/>
          <a:ext cx="762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190500</xdr:colOff>
      <xdr:row>36</xdr:row>
      <xdr:rowOff>85725</xdr:rowOff>
    </xdr:from>
    <xdr:to>
      <xdr:col>10</xdr:col>
      <xdr:colOff>266700</xdr:colOff>
      <xdr:row>36</xdr:row>
      <xdr:rowOff>180975</xdr:rowOff>
    </xdr:to>
    <xdr:sp>
      <xdr:nvSpPr>
        <xdr:cNvPr id="447" name="Oval 480"/>
        <xdr:cNvSpPr>
          <a:spLocks/>
        </xdr:cNvSpPr>
      </xdr:nvSpPr>
      <xdr:spPr>
        <a:xfrm>
          <a:off x="2628900" y="6315075"/>
          <a:ext cx="76200" cy="952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57150</xdr:rowOff>
    </xdr:from>
    <xdr:to>
      <xdr:col>10</xdr:col>
      <xdr:colOff>9525</xdr:colOff>
      <xdr:row>36</xdr:row>
      <xdr:rowOff>219075</xdr:rowOff>
    </xdr:to>
    <xdr:sp>
      <xdr:nvSpPr>
        <xdr:cNvPr id="448" name="AutoShape 481"/>
        <xdr:cNvSpPr>
          <a:spLocks/>
        </xdr:cNvSpPr>
      </xdr:nvSpPr>
      <xdr:spPr>
        <a:xfrm>
          <a:off x="2105025" y="5334000"/>
          <a:ext cx="342900" cy="1114425"/>
        </a:xfrm>
        <a:prstGeom prst="roundRect">
          <a:avLst/>
        </a:prstGeom>
        <a:solidFill>
          <a:srgbClr val="FFFFFF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323850</xdr:colOff>
      <xdr:row>22</xdr:row>
      <xdr:rowOff>209550</xdr:rowOff>
    </xdr:from>
    <xdr:to>
      <xdr:col>11</xdr:col>
      <xdr:colOff>57150</xdr:colOff>
      <xdr:row>23</xdr:row>
      <xdr:rowOff>95250</xdr:rowOff>
    </xdr:to>
    <xdr:grpSp>
      <xdr:nvGrpSpPr>
        <xdr:cNvPr id="449" name="Group 484"/>
        <xdr:cNvGrpSpPr>
          <a:grpSpLocks/>
        </xdr:cNvGrpSpPr>
      </xdr:nvGrpSpPr>
      <xdr:grpSpPr>
        <a:xfrm>
          <a:off x="2762250" y="3429000"/>
          <a:ext cx="66675" cy="161925"/>
          <a:chOff x="290" y="360"/>
          <a:chExt cx="7" cy="17"/>
        </a:xfrm>
        <a:solidFill>
          <a:srgbClr val="FFFFFF"/>
        </a:solidFill>
      </xdr:grpSpPr>
      <xdr:sp>
        <xdr:nvSpPr>
          <xdr:cNvPr id="450" name="Line 482"/>
          <xdr:cNvSpPr>
            <a:spLocks/>
          </xdr:cNvSpPr>
        </xdr:nvSpPr>
        <xdr:spPr>
          <a:xfrm>
            <a:off x="293" y="360"/>
            <a:ext cx="0" cy="17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1" name="Oval 483"/>
          <xdr:cNvSpPr>
            <a:spLocks/>
          </xdr:cNvSpPr>
        </xdr:nvSpPr>
        <xdr:spPr>
          <a:xfrm>
            <a:off x="290" y="364"/>
            <a:ext cx="7" cy="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10</xdr:col>
      <xdr:colOff>304800</xdr:colOff>
      <xdr:row>3</xdr:row>
      <xdr:rowOff>257175</xdr:rowOff>
    </xdr:from>
    <xdr:to>
      <xdr:col>11</xdr:col>
      <xdr:colOff>38100</xdr:colOff>
      <xdr:row>4</xdr:row>
      <xdr:rowOff>95250</xdr:rowOff>
    </xdr:to>
    <xdr:grpSp>
      <xdr:nvGrpSpPr>
        <xdr:cNvPr id="452" name="Group 491"/>
        <xdr:cNvGrpSpPr>
          <a:grpSpLocks/>
        </xdr:cNvGrpSpPr>
      </xdr:nvGrpSpPr>
      <xdr:grpSpPr>
        <a:xfrm>
          <a:off x="2743200" y="1133475"/>
          <a:ext cx="66675" cy="161925"/>
          <a:chOff x="191" y="118"/>
          <a:chExt cx="7" cy="17"/>
        </a:xfrm>
        <a:solidFill>
          <a:srgbClr val="FFFFFF"/>
        </a:solidFill>
      </xdr:grpSpPr>
      <xdr:sp>
        <xdr:nvSpPr>
          <xdr:cNvPr id="453" name="Line 492"/>
          <xdr:cNvSpPr>
            <a:spLocks/>
          </xdr:cNvSpPr>
        </xdr:nvSpPr>
        <xdr:spPr>
          <a:xfrm flipH="1">
            <a:off x="194" y="118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54" name="Oval 493"/>
          <xdr:cNvSpPr>
            <a:spLocks/>
          </xdr:cNvSpPr>
        </xdr:nvSpPr>
        <xdr:spPr>
          <a:xfrm>
            <a:off x="191" y="122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16</xdr:row>
      <xdr:rowOff>0</xdr:rowOff>
    </xdr:from>
    <xdr:to>
      <xdr:col>43</xdr:col>
      <xdr:colOff>66675</xdr:colOff>
      <xdr:row>17</xdr:row>
      <xdr:rowOff>0</xdr:rowOff>
    </xdr:to>
    <xdr:sp>
      <xdr:nvSpPr>
        <xdr:cNvPr id="1" name="Rectangle 483" descr="ลายเส้นบางทแยงมุมลง"/>
        <xdr:cNvSpPr>
          <a:spLocks/>
        </xdr:cNvSpPr>
      </xdr:nvSpPr>
      <xdr:spPr>
        <a:xfrm>
          <a:off x="9810750" y="2476500"/>
          <a:ext cx="29813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8</xdr:row>
      <xdr:rowOff>19050</xdr:rowOff>
    </xdr:from>
    <xdr:to>
      <xdr:col>43</xdr:col>
      <xdr:colOff>66675</xdr:colOff>
      <xdr:row>9</xdr:row>
      <xdr:rowOff>19050</xdr:rowOff>
    </xdr:to>
    <xdr:sp>
      <xdr:nvSpPr>
        <xdr:cNvPr id="2" name="Rectangle 482" descr="ลายเส้นบางทแยงมุมลง"/>
        <xdr:cNvSpPr>
          <a:spLocks/>
        </xdr:cNvSpPr>
      </xdr:nvSpPr>
      <xdr:spPr>
        <a:xfrm>
          <a:off x="9810750" y="1943100"/>
          <a:ext cx="29813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19050</xdr:rowOff>
    </xdr:from>
    <xdr:to>
      <xdr:col>30</xdr:col>
      <xdr:colOff>0</xdr:colOff>
      <xdr:row>9</xdr:row>
      <xdr:rowOff>19050</xdr:rowOff>
    </xdr:to>
    <xdr:sp>
      <xdr:nvSpPr>
        <xdr:cNvPr id="3" name="Rectangle 480" descr="ลายเส้นบางทแยงมุมลง"/>
        <xdr:cNvSpPr>
          <a:spLocks/>
        </xdr:cNvSpPr>
      </xdr:nvSpPr>
      <xdr:spPr>
        <a:xfrm>
          <a:off x="6896100" y="1943100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0</xdr:colOff>
      <xdr:row>17</xdr:row>
      <xdr:rowOff>0</xdr:rowOff>
    </xdr:to>
    <xdr:sp>
      <xdr:nvSpPr>
        <xdr:cNvPr id="4" name="Rectangle 481" descr="ลายเส้นบางทแยงมุมลง"/>
        <xdr:cNvSpPr>
          <a:spLocks/>
        </xdr:cNvSpPr>
      </xdr:nvSpPr>
      <xdr:spPr>
        <a:xfrm>
          <a:off x="6896100" y="2476500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19050</xdr:rowOff>
    </xdr:from>
    <xdr:to>
      <xdr:col>22</xdr:col>
      <xdr:colOff>266700</xdr:colOff>
      <xdr:row>9</xdr:row>
      <xdr:rowOff>19050</xdr:rowOff>
    </xdr:to>
    <xdr:sp>
      <xdr:nvSpPr>
        <xdr:cNvPr id="5" name="Rectangle 478" descr="ลายเส้นบางทแยงมุมลง"/>
        <xdr:cNvSpPr>
          <a:spLocks/>
        </xdr:cNvSpPr>
      </xdr:nvSpPr>
      <xdr:spPr>
        <a:xfrm>
          <a:off x="3971925" y="1943100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22</xdr:col>
      <xdr:colOff>266700</xdr:colOff>
      <xdr:row>17</xdr:row>
      <xdr:rowOff>0</xdr:rowOff>
    </xdr:to>
    <xdr:sp>
      <xdr:nvSpPr>
        <xdr:cNvPr id="6" name="Rectangle 479" descr="ลายเส้นบางทแยงมุมลง"/>
        <xdr:cNvSpPr>
          <a:spLocks/>
        </xdr:cNvSpPr>
      </xdr:nvSpPr>
      <xdr:spPr>
        <a:xfrm>
          <a:off x="3971925" y="2476500"/>
          <a:ext cx="2790825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0</xdr:rowOff>
    </xdr:from>
    <xdr:to>
      <xdr:col>16</xdr:col>
      <xdr:colOff>0</xdr:colOff>
      <xdr:row>17</xdr:row>
      <xdr:rowOff>0</xdr:rowOff>
    </xdr:to>
    <xdr:sp>
      <xdr:nvSpPr>
        <xdr:cNvPr id="7" name="Rectangle 469" descr="ลายเส้นบางทแยงมุมลง"/>
        <xdr:cNvSpPr>
          <a:spLocks/>
        </xdr:cNvSpPr>
      </xdr:nvSpPr>
      <xdr:spPr>
        <a:xfrm>
          <a:off x="857250" y="2476500"/>
          <a:ext cx="2990850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</xdr:colOff>
      <xdr:row>8</xdr:row>
      <xdr:rowOff>19050</xdr:rowOff>
    </xdr:from>
    <xdr:to>
      <xdr:col>16</xdr:col>
      <xdr:colOff>0</xdr:colOff>
      <xdr:row>9</xdr:row>
      <xdr:rowOff>19050</xdr:rowOff>
    </xdr:to>
    <xdr:sp>
      <xdr:nvSpPr>
        <xdr:cNvPr id="8" name="Rectangle 468" descr="ลายเส้นบางทแยงมุมลง"/>
        <xdr:cNvSpPr>
          <a:spLocks/>
        </xdr:cNvSpPr>
      </xdr:nvSpPr>
      <xdr:spPr>
        <a:xfrm>
          <a:off x="857250" y="1943100"/>
          <a:ext cx="2990850" cy="28575"/>
        </a:xfrm>
        <a:prstGeom prst="rect">
          <a:avLst/>
        </a:prstGeom>
        <a:pattFill prst="lt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38100</xdr:rowOff>
    </xdr:from>
    <xdr:to>
      <xdr:col>28</xdr:col>
      <xdr:colOff>285750</xdr:colOff>
      <xdr:row>21</xdr:row>
      <xdr:rowOff>85725</xdr:rowOff>
    </xdr:to>
    <xdr:sp>
      <xdr:nvSpPr>
        <xdr:cNvPr id="9" name="Drawing 1678"/>
        <xdr:cNvSpPr>
          <a:spLocks/>
        </xdr:cNvSpPr>
      </xdr:nvSpPr>
      <xdr:spPr>
        <a:xfrm>
          <a:off x="8924925" y="2647950"/>
          <a:ext cx="209550" cy="400050"/>
        </a:xfrm>
        <a:custGeom>
          <a:pathLst>
            <a:path h="16384" w="16384">
              <a:moveTo>
                <a:pt x="16384" y="8602"/>
              </a:moveTo>
              <a:lnTo>
                <a:pt x="0" y="0"/>
              </a:lnTo>
              <a:lnTo>
                <a:pt x="0" y="16384"/>
              </a:lnTo>
              <a:lnTo>
                <a:pt x="16384" y="860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0</xdr:rowOff>
    </xdr:from>
    <xdr:to>
      <xdr:col>44</xdr:col>
      <xdr:colOff>123825</xdr:colOff>
      <xdr:row>2</xdr:row>
      <xdr:rowOff>0</xdr:rowOff>
    </xdr:to>
    <xdr:sp>
      <xdr:nvSpPr>
        <xdr:cNvPr id="10" name="Line 2"/>
        <xdr:cNvSpPr>
          <a:spLocks/>
        </xdr:cNvSpPr>
      </xdr:nvSpPr>
      <xdr:spPr>
        <a:xfrm flipV="1">
          <a:off x="714375" y="647700"/>
          <a:ext cx="1224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0</xdr:rowOff>
    </xdr:from>
    <xdr:to>
      <xdr:col>19</xdr:col>
      <xdr:colOff>76200</xdr:colOff>
      <xdr:row>4</xdr:row>
      <xdr:rowOff>0</xdr:rowOff>
    </xdr:to>
    <xdr:sp>
      <xdr:nvSpPr>
        <xdr:cNvPr id="11" name="Line 3"/>
        <xdr:cNvSpPr>
          <a:spLocks/>
        </xdr:cNvSpPr>
      </xdr:nvSpPr>
      <xdr:spPr>
        <a:xfrm>
          <a:off x="714375" y="129540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200025</xdr:rowOff>
    </xdr:from>
    <xdr:to>
      <xdr:col>3</xdr:col>
      <xdr:colOff>0</xdr:colOff>
      <xdr:row>4</xdr:row>
      <xdr:rowOff>114300</xdr:rowOff>
    </xdr:to>
    <xdr:sp>
      <xdr:nvSpPr>
        <xdr:cNvPr id="12" name="Line 4"/>
        <xdr:cNvSpPr>
          <a:spLocks/>
        </xdr:cNvSpPr>
      </xdr:nvSpPr>
      <xdr:spPr>
        <a:xfrm flipH="1">
          <a:off x="819150" y="1171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238125</xdr:rowOff>
    </xdr:from>
    <xdr:to>
      <xdr:col>9</xdr:col>
      <xdr:colOff>0</xdr:colOff>
      <xdr:row>4</xdr:row>
      <xdr:rowOff>76200</xdr:rowOff>
    </xdr:to>
    <xdr:sp>
      <xdr:nvSpPr>
        <xdr:cNvPr id="13" name="Line 5"/>
        <xdr:cNvSpPr>
          <a:spLocks/>
        </xdr:cNvSpPr>
      </xdr:nvSpPr>
      <xdr:spPr>
        <a:xfrm flipH="1">
          <a:off x="1885950" y="1209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85725</xdr:colOff>
      <xdr:row>3</xdr:row>
      <xdr:rowOff>0</xdr:rowOff>
    </xdr:from>
    <xdr:to>
      <xdr:col>18</xdr:col>
      <xdr:colOff>123825</xdr:colOff>
      <xdr:row>3</xdr:row>
      <xdr:rowOff>0</xdr:rowOff>
    </xdr:to>
    <xdr:sp>
      <xdr:nvSpPr>
        <xdr:cNvPr id="14" name="Line 7"/>
        <xdr:cNvSpPr>
          <a:spLocks/>
        </xdr:cNvSpPr>
      </xdr:nvSpPr>
      <xdr:spPr>
        <a:xfrm>
          <a:off x="704850" y="9715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219075</xdr:rowOff>
    </xdr:from>
    <xdr:to>
      <xdr:col>3</xdr:col>
      <xdr:colOff>0</xdr:colOff>
      <xdr:row>3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819150" y="86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209550</xdr:rowOff>
    </xdr:from>
    <xdr:to>
      <xdr:col>18</xdr:col>
      <xdr:colOff>0</xdr:colOff>
      <xdr:row>3</xdr:row>
      <xdr:rowOff>85725</xdr:rowOff>
    </xdr:to>
    <xdr:sp>
      <xdr:nvSpPr>
        <xdr:cNvPr id="16" name="Line 9"/>
        <xdr:cNvSpPr>
          <a:spLocks/>
        </xdr:cNvSpPr>
      </xdr:nvSpPr>
      <xdr:spPr>
        <a:xfrm>
          <a:off x="4248150" y="857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371475</xdr:rowOff>
    </xdr:from>
    <xdr:to>
      <xdr:col>3</xdr:col>
      <xdr:colOff>0</xdr:colOff>
      <xdr:row>2</xdr:row>
      <xdr:rowOff>142875</xdr:rowOff>
    </xdr:to>
    <xdr:sp>
      <xdr:nvSpPr>
        <xdr:cNvPr id="17" name="Line 10"/>
        <xdr:cNvSpPr>
          <a:spLocks/>
        </xdr:cNvSpPr>
      </xdr:nvSpPr>
      <xdr:spPr>
        <a:xfrm>
          <a:off x="819150" y="514350"/>
          <a:ext cx="0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180975</xdr:colOff>
      <xdr:row>4</xdr:row>
      <xdr:rowOff>0</xdr:rowOff>
    </xdr:from>
    <xdr:to>
      <xdr:col>44</xdr:col>
      <xdr:colOff>114300</xdr:colOff>
      <xdr:row>4</xdr:row>
      <xdr:rowOff>0</xdr:rowOff>
    </xdr:to>
    <xdr:sp>
      <xdr:nvSpPr>
        <xdr:cNvPr id="18" name="Line 11"/>
        <xdr:cNvSpPr>
          <a:spLocks/>
        </xdr:cNvSpPr>
      </xdr:nvSpPr>
      <xdr:spPr>
        <a:xfrm>
          <a:off x="10620375" y="1295400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0</xdr:colOff>
      <xdr:row>3</xdr:row>
      <xdr:rowOff>209550</xdr:rowOff>
    </xdr:from>
    <xdr:to>
      <xdr:col>38</xdr:col>
      <xdr:colOff>0</xdr:colOff>
      <xdr:row>4</xdr:row>
      <xdr:rowOff>104775</xdr:rowOff>
    </xdr:to>
    <xdr:sp>
      <xdr:nvSpPr>
        <xdr:cNvPr id="19" name="Line 12"/>
        <xdr:cNvSpPr>
          <a:spLocks/>
        </xdr:cNvSpPr>
      </xdr:nvSpPr>
      <xdr:spPr>
        <a:xfrm>
          <a:off x="11772900" y="1181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0</xdr:colOff>
      <xdr:row>3</xdr:row>
      <xdr:rowOff>228600</xdr:rowOff>
    </xdr:from>
    <xdr:to>
      <xdr:col>44</xdr:col>
      <xdr:colOff>0</xdr:colOff>
      <xdr:row>4</xdr:row>
      <xdr:rowOff>95250</xdr:rowOff>
    </xdr:to>
    <xdr:sp>
      <xdr:nvSpPr>
        <xdr:cNvPr id="20" name="Line 13"/>
        <xdr:cNvSpPr>
          <a:spLocks/>
        </xdr:cNvSpPr>
      </xdr:nvSpPr>
      <xdr:spPr>
        <a:xfrm>
          <a:off x="12839700" y="12001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438150</xdr:colOff>
      <xdr:row>3</xdr:row>
      <xdr:rowOff>0</xdr:rowOff>
    </xdr:from>
    <xdr:to>
      <xdr:col>44</xdr:col>
      <xdr:colOff>114300</xdr:colOff>
      <xdr:row>3</xdr:row>
      <xdr:rowOff>0</xdr:rowOff>
    </xdr:to>
    <xdr:sp>
      <xdr:nvSpPr>
        <xdr:cNvPr id="21" name="Line 15"/>
        <xdr:cNvSpPr>
          <a:spLocks/>
        </xdr:cNvSpPr>
      </xdr:nvSpPr>
      <xdr:spPr>
        <a:xfrm>
          <a:off x="9286875" y="9715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0</xdr:colOff>
      <xdr:row>2</xdr:row>
      <xdr:rowOff>209550</xdr:rowOff>
    </xdr:from>
    <xdr:to>
      <xdr:col>44</xdr:col>
      <xdr:colOff>0</xdr:colOff>
      <xdr:row>3</xdr:row>
      <xdr:rowOff>114300</xdr:rowOff>
    </xdr:to>
    <xdr:sp>
      <xdr:nvSpPr>
        <xdr:cNvPr id="22" name="Line 16"/>
        <xdr:cNvSpPr>
          <a:spLocks/>
        </xdr:cNvSpPr>
      </xdr:nvSpPr>
      <xdr:spPr>
        <a:xfrm>
          <a:off x="12839700" y="857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219075</xdr:rowOff>
    </xdr:from>
    <xdr:to>
      <xdr:col>29</xdr:col>
      <xdr:colOff>0</xdr:colOff>
      <xdr:row>3</xdr:row>
      <xdr:rowOff>123825</xdr:rowOff>
    </xdr:to>
    <xdr:sp>
      <xdr:nvSpPr>
        <xdr:cNvPr id="23" name="Line 17"/>
        <xdr:cNvSpPr>
          <a:spLocks/>
        </xdr:cNvSpPr>
      </xdr:nvSpPr>
      <xdr:spPr>
        <a:xfrm>
          <a:off x="9410700" y="86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0</xdr:rowOff>
    </xdr:from>
    <xdr:to>
      <xdr:col>44</xdr:col>
      <xdr:colOff>104775</xdr:colOff>
      <xdr:row>22</xdr:row>
      <xdr:rowOff>0</xdr:rowOff>
    </xdr:to>
    <xdr:sp>
      <xdr:nvSpPr>
        <xdr:cNvPr id="24" name="Line 18"/>
        <xdr:cNvSpPr>
          <a:spLocks/>
        </xdr:cNvSpPr>
      </xdr:nvSpPr>
      <xdr:spPr>
        <a:xfrm>
          <a:off x="685800" y="3238500"/>
          <a:ext cx="12258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0</xdr:colOff>
      <xdr:row>22</xdr:row>
      <xdr:rowOff>85725</xdr:rowOff>
    </xdr:to>
    <xdr:sp>
      <xdr:nvSpPr>
        <xdr:cNvPr id="25" name="Line 19"/>
        <xdr:cNvSpPr>
          <a:spLocks/>
        </xdr:cNvSpPr>
      </xdr:nvSpPr>
      <xdr:spPr>
        <a:xfrm>
          <a:off x="819150" y="3152775"/>
          <a:ext cx="0" cy="1714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152400</xdr:colOff>
      <xdr:row>43</xdr:row>
      <xdr:rowOff>228600</xdr:rowOff>
    </xdr:from>
    <xdr:to>
      <xdr:col>20</xdr:col>
      <xdr:colOff>228600</xdr:colOff>
      <xdr:row>50</xdr:row>
      <xdr:rowOff>85725</xdr:rowOff>
    </xdr:to>
    <xdr:sp>
      <xdr:nvSpPr>
        <xdr:cNvPr id="26" name="Text 149"/>
        <xdr:cNvSpPr txBox="1">
          <a:spLocks noChangeArrowheads="1"/>
        </xdr:cNvSpPr>
      </xdr:nvSpPr>
      <xdr:spPr>
        <a:xfrm>
          <a:off x="266700" y="8143875"/>
          <a:ext cx="5334000" cy="1724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</a:t>
          </a:r>
          <a:r>
            <a:rPr lang="en-US" cap="none" sz="14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NOTES.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1.  ALL DIMENSIONS ARE IN CENTIMETERS UNLESS OTHERWISE SPECIFIED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2.  CEMENT SHALL BE PORTLAND CEMENT TYPE III 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3.  CONCRETE CYLINDRICAL COMPRESSIVE STRENGTH SHALL NOT BE LESS THAN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280 KSC. AND 400 KSC. AT TRANSFER AND WORKING STAGE RESPECTIVELY(4003)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4.  PRESTRESSING REINFORCEMENT SHALL CONFORM TO THAI INDUSTRIAL STANDARD 
</a:t>
          </a: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        </a:t>
          </a:r>
        </a:p>
      </xdr:txBody>
    </xdr:sp>
    <xdr:clientData/>
  </xdr:twoCellAnchor>
  <xdr:twoCellAnchor>
    <xdr:from>
      <xdr:col>20</xdr:col>
      <xdr:colOff>228600</xdr:colOff>
      <xdr:row>22</xdr:row>
      <xdr:rowOff>123825</xdr:rowOff>
    </xdr:from>
    <xdr:to>
      <xdr:col>27</xdr:col>
      <xdr:colOff>76200</xdr:colOff>
      <xdr:row>24</xdr:row>
      <xdr:rowOff>95250</xdr:rowOff>
    </xdr:to>
    <xdr:sp>
      <xdr:nvSpPr>
        <xdr:cNvPr id="27" name="Text 156"/>
        <xdr:cNvSpPr txBox="1">
          <a:spLocks noChangeArrowheads="1"/>
        </xdr:cNvSpPr>
      </xdr:nvSpPr>
      <xdr:spPr>
        <a:xfrm>
          <a:off x="5600700" y="3362325"/>
          <a:ext cx="276225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64008" rIns="36576" bIns="64008" anchor="ctr"/>
        <a:p>
          <a:pPr algn="ctr">
            <a:defRPr/>
          </a:pPr>
          <a:r>
            <a:rPr lang="en-US" cap="none" sz="22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LONGITUDINAL  SECTION</a:t>
          </a:r>
        </a:p>
      </xdr:txBody>
    </xdr:sp>
    <xdr:clientData/>
  </xdr:twoCellAnchor>
  <xdr:twoCellAnchor>
    <xdr:from>
      <xdr:col>16</xdr:col>
      <xdr:colOff>0</xdr:colOff>
      <xdr:row>5</xdr:row>
      <xdr:rowOff>152400</xdr:rowOff>
    </xdr:from>
    <xdr:to>
      <xdr:col>16</xdr:col>
      <xdr:colOff>0</xdr:colOff>
      <xdr:row>12</xdr:row>
      <xdr:rowOff>0</xdr:rowOff>
    </xdr:to>
    <xdr:sp>
      <xdr:nvSpPr>
        <xdr:cNvPr id="28" name="Line 22"/>
        <xdr:cNvSpPr>
          <a:spLocks/>
        </xdr:cNvSpPr>
      </xdr:nvSpPr>
      <xdr:spPr>
        <a:xfrm>
          <a:off x="3848100" y="1666875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142875</xdr:rowOff>
    </xdr:from>
    <xdr:to>
      <xdr:col>17</xdr:col>
      <xdr:colOff>0</xdr:colOff>
      <xdr:row>12</xdr:row>
      <xdr:rowOff>9525</xdr:rowOff>
    </xdr:to>
    <xdr:sp>
      <xdr:nvSpPr>
        <xdr:cNvPr id="29" name="Line 23"/>
        <xdr:cNvSpPr>
          <a:spLocks/>
        </xdr:cNvSpPr>
      </xdr:nvSpPr>
      <xdr:spPr>
        <a:xfrm>
          <a:off x="3971925" y="165735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20</xdr:row>
      <xdr:rowOff>47625</xdr:rowOff>
    </xdr:to>
    <xdr:sp>
      <xdr:nvSpPr>
        <xdr:cNvPr id="30" name="Line 24"/>
        <xdr:cNvSpPr>
          <a:spLocks/>
        </xdr:cNvSpPr>
      </xdr:nvSpPr>
      <xdr:spPr>
        <a:xfrm>
          <a:off x="3848100" y="2286000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20</xdr:row>
      <xdr:rowOff>38100</xdr:rowOff>
    </xdr:to>
    <xdr:sp>
      <xdr:nvSpPr>
        <xdr:cNvPr id="31" name="Line 25"/>
        <xdr:cNvSpPr>
          <a:spLocks/>
        </xdr:cNvSpPr>
      </xdr:nvSpPr>
      <xdr:spPr>
        <a:xfrm>
          <a:off x="3971925" y="2286000"/>
          <a:ext cx="0" cy="4476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114300</xdr:rowOff>
    </xdr:from>
    <xdr:to>
      <xdr:col>30</xdr:col>
      <xdr:colOff>0</xdr:colOff>
      <xdr:row>11</xdr:row>
      <xdr:rowOff>76200</xdr:rowOff>
    </xdr:to>
    <xdr:sp>
      <xdr:nvSpPr>
        <xdr:cNvPr id="32" name="Line 26"/>
        <xdr:cNvSpPr>
          <a:spLocks/>
        </xdr:cNvSpPr>
      </xdr:nvSpPr>
      <xdr:spPr>
        <a:xfrm>
          <a:off x="9686925" y="1628775"/>
          <a:ext cx="0" cy="495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114300</xdr:rowOff>
    </xdr:from>
    <xdr:to>
      <xdr:col>31</xdr:col>
      <xdr:colOff>0</xdr:colOff>
      <xdr:row>12</xdr:row>
      <xdr:rowOff>0</xdr:rowOff>
    </xdr:to>
    <xdr:sp>
      <xdr:nvSpPr>
        <xdr:cNvPr id="33" name="Line 27"/>
        <xdr:cNvSpPr>
          <a:spLocks/>
        </xdr:cNvSpPr>
      </xdr:nvSpPr>
      <xdr:spPr>
        <a:xfrm>
          <a:off x="9810750" y="16287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30</xdr:col>
      <xdr:colOff>0</xdr:colOff>
      <xdr:row>20</xdr:row>
      <xdr:rowOff>57150</xdr:rowOff>
    </xdr:to>
    <xdr:sp>
      <xdr:nvSpPr>
        <xdr:cNvPr id="34" name="Line 28"/>
        <xdr:cNvSpPr>
          <a:spLocks/>
        </xdr:cNvSpPr>
      </xdr:nvSpPr>
      <xdr:spPr>
        <a:xfrm>
          <a:off x="9686925" y="2286000"/>
          <a:ext cx="0" cy="466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20</xdr:row>
      <xdr:rowOff>66675</xdr:rowOff>
    </xdr:to>
    <xdr:sp>
      <xdr:nvSpPr>
        <xdr:cNvPr id="35" name="Line 29"/>
        <xdr:cNvSpPr>
          <a:spLocks/>
        </xdr:cNvSpPr>
      </xdr:nvSpPr>
      <xdr:spPr>
        <a:xfrm>
          <a:off x="9810750" y="2286000"/>
          <a:ext cx="0" cy="476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276225</xdr:colOff>
      <xdr:row>12</xdr:row>
      <xdr:rowOff>133350</xdr:rowOff>
    </xdr:from>
    <xdr:to>
      <xdr:col>30</xdr:col>
      <xdr:colOff>0</xdr:colOff>
      <xdr:row>12</xdr:row>
      <xdr:rowOff>152400</xdr:rowOff>
    </xdr:to>
    <xdr:sp>
      <xdr:nvSpPr>
        <xdr:cNvPr id="36" name="Arc 30"/>
        <xdr:cNvSpPr>
          <a:spLocks/>
        </xdr:cNvSpPr>
      </xdr:nvSpPr>
      <xdr:spPr>
        <a:xfrm>
          <a:off x="9686925" y="2266950"/>
          <a:ext cx="0" cy="190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180975</xdr:rowOff>
    </xdr:from>
    <xdr:to>
      <xdr:col>44</xdr:col>
      <xdr:colOff>0</xdr:colOff>
      <xdr:row>22</xdr:row>
      <xdr:rowOff>114300</xdr:rowOff>
    </xdr:to>
    <xdr:sp>
      <xdr:nvSpPr>
        <xdr:cNvPr id="37" name="Line 31"/>
        <xdr:cNvSpPr>
          <a:spLocks/>
        </xdr:cNvSpPr>
      </xdr:nvSpPr>
      <xdr:spPr>
        <a:xfrm>
          <a:off x="12839700" y="3143250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0</xdr:colOff>
      <xdr:row>21</xdr:row>
      <xdr:rowOff>171450</xdr:rowOff>
    </xdr:from>
    <xdr:to>
      <xdr:col>38</xdr:col>
      <xdr:colOff>0</xdr:colOff>
      <xdr:row>22</xdr:row>
      <xdr:rowOff>85725</xdr:rowOff>
    </xdr:to>
    <xdr:sp>
      <xdr:nvSpPr>
        <xdr:cNvPr id="38" name="Line 32"/>
        <xdr:cNvSpPr>
          <a:spLocks/>
        </xdr:cNvSpPr>
      </xdr:nvSpPr>
      <xdr:spPr>
        <a:xfrm>
          <a:off x="11772900" y="31337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200025</xdr:rowOff>
    </xdr:from>
    <xdr:to>
      <xdr:col>9</xdr:col>
      <xdr:colOff>0</xdr:colOff>
      <xdr:row>22</xdr:row>
      <xdr:rowOff>85725</xdr:rowOff>
    </xdr:to>
    <xdr:sp>
      <xdr:nvSpPr>
        <xdr:cNvPr id="39" name="Line 35"/>
        <xdr:cNvSpPr>
          <a:spLocks/>
        </xdr:cNvSpPr>
      </xdr:nvSpPr>
      <xdr:spPr>
        <a:xfrm>
          <a:off x="1885950" y="3162300"/>
          <a:ext cx="0" cy="161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114300</xdr:rowOff>
    </xdr:from>
    <xdr:to>
      <xdr:col>23</xdr:col>
      <xdr:colOff>0</xdr:colOff>
      <xdr:row>12</xdr:row>
      <xdr:rowOff>0</xdr:rowOff>
    </xdr:to>
    <xdr:sp>
      <xdr:nvSpPr>
        <xdr:cNvPr id="40" name="Line 36"/>
        <xdr:cNvSpPr>
          <a:spLocks/>
        </xdr:cNvSpPr>
      </xdr:nvSpPr>
      <xdr:spPr>
        <a:xfrm>
          <a:off x="6772275" y="16287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114300</xdr:rowOff>
    </xdr:from>
    <xdr:to>
      <xdr:col>24</xdr:col>
      <xdr:colOff>0</xdr:colOff>
      <xdr:row>12</xdr:row>
      <xdr:rowOff>0</xdr:rowOff>
    </xdr:to>
    <xdr:sp>
      <xdr:nvSpPr>
        <xdr:cNvPr id="41" name="Line 37"/>
        <xdr:cNvSpPr>
          <a:spLocks/>
        </xdr:cNvSpPr>
      </xdr:nvSpPr>
      <xdr:spPr>
        <a:xfrm>
          <a:off x="6896100" y="1628775"/>
          <a:ext cx="0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13</xdr:row>
      <xdr:rowOff>0</xdr:rowOff>
    </xdr:from>
    <xdr:to>
      <xdr:col>23</xdr:col>
      <xdr:colOff>0</xdr:colOff>
      <xdr:row>20</xdr:row>
      <xdr:rowOff>47625</xdr:rowOff>
    </xdr:to>
    <xdr:sp>
      <xdr:nvSpPr>
        <xdr:cNvPr id="42" name="Line 38"/>
        <xdr:cNvSpPr>
          <a:spLocks/>
        </xdr:cNvSpPr>
      </xdr:nvSpPr>
      <xdr:spPr>
        <a:xfrm>
          <a:off x="6772275" y="2286000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0</xdr:colOff>
      <xdr:row>20</xdr:row>
      <xdr:rowOff>47625</xdr:rowOff>
    </xdr:to>
    <xdr:sp>
      <xdr:nvSpPr>
        <xdr:cNvPr id="43" name="Line 39"/>
        <xdr:cNvSpPr>
          <a:spLocks/>
        </xdr:cNvSpPr>
      </xdr:nvSpPr>
      <xdr:spPr>
        <a:xfrm>
          <a:off x="6896100" y="2286000"/>
          <a:ext cx="0" cy="457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28</xdr:row>
      <xdr:rowOff>171450</xdr:rowOff>
    </xdr:from>
    <xdr:to>
      <xdr:col>20</xdr:col>
      <xdr:colOff>419100</xdr:colOff>
      <xdr:row>32</xdr:row>
      <xdr:rowOff>85725</xdr:rowOff>
    </xdr:to>
    <xdr:sp>
      <xdr:nvSpPr>
        <xdr:cNvPr id="44" name="Text 256"/>
        <xdr:cNvSpPr txBox="1">
          <a:spLocks noChangeArrowheads="1"/>
        </xdr:cNvSpPr>
      </xdr:nvSpPr>
      <xdr:spPr>
        <a:xfrm>
          <a:off x="3848100" y="4914900"/>
          <a:ext cx="194310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PC. WIRE OR STRAND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SEE TABLE</a:t>
          </a:r>
        </a:p>
      </xdr:txBody>
    </xdr:sp>
    <xdr:clientData/>
  </xdr:twoCellAnchor>
  <xdr:twoCellAnchor>
    <xdr:from>
      <xdr:col>20</xdr:col>
      <xdr:colOff>552450</xdr:colOff>
      <xdr:row>41</xdr:row>
      <xdr:rowOff>247650</xdr:rowOff>
    </xdr:from>
    <xdr:to>
      <xdr:col>26</xdr:col>
      <xdr:colOff>152400</xdr:colOff>
      <xdr:row>43</xdr:row>
      <xdr:rowOff>180975</xdr:rowOff>
    </xdr:to>
    <xdr:sp>
      <xdr:nvSpPr>
        <xdr:cNvPr id="45" name="Text 272"/>
        <xdr:cNvSpPr txBox="1">
          <a:spLocks noChangeArrowheads="1"/>
        </xdr:cNvSpPr>
      </xdr:nvSpPr>
      <xdr:spPr>
        <a:xfrm>
          <a:off x="5924550" y="7629525"/>
          <a:ext cx="1952625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77724" rIns="0" bIns="0"/>
        <a:p>
          <a:pPr algn="l">
            <a:defRPr/>
          </a:pPr>
          <a:r>
            <a:rPr lang="en-US" cap="none" sz="2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S. 35 x 35  ( 1225 )
</a:t>
          </a:r>
          <a:r>
            <a:rPr lang="en-US" cap="none" sz="2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</a:t>
          </a:r>
        </a:p>
      </xdr:txBody>
    </xdr:sp>
    <xdr:clientData/>
  </xdr:twoCellAnchor>
  <xdr:twoCellAnchor>
    <xdr:from>
      <xdr:col>2</xdr:col>
      <xdr:colOff>161925</xdr:colOff>
      <xdr:row>2</xdr:row>
      <xdr:rowOff>285750</xdr:rowOff>
    </xdr:from>
    <xdr:to>
      <xdr:col>3</xdr:col>
      <xdr:colOff>28575</xdr:colOff>
      <xdr:row>3</xdr:row>
      <xdr:rowOff>28575</xdr:rowOff>
    </xdr:to>
    <xdr:sp>
      <xdr:nvSpPr>
        <xdr:cNvPr id="46" name="Oval 42"/>
        <xdr:cNvSpPr>
          <a:spLocks/>
        </xdr:cNvSpPr>
      </xdr:nvSpPr>
      <xdr:spPr>
        <a:xfrm>
          <a:off x="781050" y="9334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285750</xdr:rowOff>
    </xdr:from>
    <xdr:to>
      <xdr:col>3</xdr:col>
      <xdr:colOff>28575</xdr:colOff>
      <xdr:row>4</xdr:row>
      <xdr:rowOff>28575</xdr:rowOff>
    </xdr:to>
    <xdr:sp>
      <xdr:nvSpPr>
        <xdr:cNvPr id="47" name="Oval 43"/>
        <xdr:cNvSpPr>
          <a:spLocks/>
        </xdr:cNvSpPr>
      </xdr:nvSpPr>
      <xdr:spPr>
        <a:xfrm>
          <a:off x="781050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247650</xdr:colOff>
      <xdr:row>2</xdr:row>
      <xdr:rowOff>295275</xdr:rowOff>
    </xdr:from>
    <xdr:to>
      <xdr:col>18</xdr:col>
      <xdr:colOff>38100</xdr:colOff>
      <xdr:row>3</xdr:row>
      <xdr:rowOff>38100</xdr:rowOff>
    </xdr:to>
    <xdr:sp>
      <xdr:nvSpPr>
        <xdr:cNvPr id="48" name="Oval 44"/>
        <xdr:cNvSpPr>
          <a:spLocks/>
        </xdr:cNvSpPr>
      </xdr:nvSpPr>
      <xdr:spPr>
        <a:xfrm>
          <a:off x="4219575" y="94297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304800</xdr:colOff>
      <xdr:row>3</xdr:row>
      <xdr:rowOff>285750</xdr:rowOff>
    </xdr:from>
    <xdr:to>
      <xdr:col>38</xdr:col>
      <xdr:colOff>38100</xdr:colOff>
      <xdr:row>4</xdr:row>
      <xdr:rowOff>28575</xdr:rowOff>
    </xdr:to>
    <xdr:sp>
      <xdr:nvSpPr>
        <xdr:cNvPr id="49" name="Oval 46"/>
        <xdr:cNvSpPr>
          <a:spLocks/>
        </xdr:cNvSpPr>
      </xdr:nvSpPr>
      <xdr:spPr>
        <a:xfrm>
          <a:off x="11744325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238125</xdr:rowOff>
    </xdr:from>
    <xdr:to>
      <xdr:col>3</xdr:col>
      <xdr:colOff>28575</xdr:colOff>
      <xdr:row>22</xdr:row>
      <xdr:rowOff>28575</xdr:rowOff>
    </xdr:to>
    <xdr:sp>
      <xdr:nvSpPr>
        <xdr:cNvPr id="50" name="Oval 47"/>
        <xdr:cNvSpPr>
          <a:spLocks/>
        </xdr:cNvSpPr>
      </xdr:nvSpPr>
      <xdr:spPr>
        <a:xfrm>
          <a:off x="781050" y="32004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44</xdr:col>
      <xdr:colOff>0</xdr:colOff>
      <xdr:row>1</xdr:row>
      <xdr:rowOff>400050</xdr:rowOff>
    </xdr:from>
    <xdr:to>
      <xdr:col>44</xdr:col>
      <xdr:colOff>0</xdr:colOff>
      <xdr:row>2</xdr:row>
      <xdr:rowOff>114300</xdr:rowOff>
    </xdr:to>
    <xdr:sp>
      <xdr:nvSpPr>
        <xdr:cNvPr id="51" name="Line 48"/>
        <xdr:cNvSpPr>
          <a:spLocks/>
        </xdr:cNvSpPr>
      </xdr:nvSpPr>
      <xdr:spPr>
        <a:xfrm>
          <a:off x="12839700" y="542925"/>
          <a:ext cx="0" cy="219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0</xdr:rowOff>
    </xdr:from>
    <xdr:to>
      <xdr:col>13</xdr:col>
      <xdr:colOff>171450</xdr:colOff>
      <xdr:row>5</xdr:row>
      <xdr:rowOff>190500</xdr:rowOff>
    </xdr:to>
    <xdr:sp>
      <xdr:nvSpPr>
        <xdr:cNvPr id="52" name="Line 49"/>
        <xdr:cNvSpPr>
          <a:spLocks/>
        </xdr:cNvSpPr>
      </xdr:nvSpPr>
      <xdr:spPr>
        <a:xfrm flipH="1">
          <a:off x="3390900" y="151447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0</xdr:rowOff>
    </xdr:from>
    <xdr:to>
      <xdr:col>15</xdr:col>
      <xdr:colOff>66675</xdr:colOff>
      <xdr:row>5</xdr:row>
      <xdr:rowOff>0</xdr:rowOff>
    </xdr:to>
    <xdr:sp>
      <xdr:nvSpPr>
        <xdr:cNvPr id="53" name="Line 50"/>
        <xdr:cNvSpPr>
          <a:spLocks/>
        </xdr:cNvSpPr>
      </xdr:nvSpPr>
      <xdr:spPr>
        <a:xfrm>
          <a:off x="3390900" y="1514475"/>
          <a:ext cx="419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66675</xdr:rowOff>
    </xdr:from>
    <xdr:to>
      <xdr:col>3</xdr:col>
      <xdr:colOff>57150</xdr:colOff>
      <xdr:row>18</xdr:row>
      <xdr:rowOff>19050</xdr:rowOff>
    </xdr:to>
    <xdr:sp>
      <xdr:nvSpPr>
        <xdr:cNvPr id="54" name="Line 52"/>
        <xdr:cNvSpPr>
          <a:spLocks/>
        </xdr:cNvSpPr>
      </xdr:nvSpPr>
      <xdr:spPr>
        <a:xfrm>
          <a:off x="876300" y="1876425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57150</xdr:colOff>
      <xdr:row>6</xdr:row>
      <xdr:rowOff>66675</xdr:rowOff>
    </xdr:from>
    <xdr:to>
      <xdr:col>43</xdr:col>
      <xdr:colOff>57150</xdr:colOff>
      <xdr:row>18</xdr:row>
      <xdr:rowOff>28575</xdr:rowOff>
    </xdr:to>
    <xdr:sp>
      <xdr:nvSpPr>
        <xdr:cNvPr id="55" name="Line 53"/>
        <xdr:cNvSpPr>
          <a:spLocks/>
        </xdr:cNvSpPr>
      </xdr:nvSpPr>
      <xdr:spPr>
        <a:xfrm>
          <a:off x="12782550" y="187642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352425</xdr:colOff>
      <xdr:row>4</xdr:row>
      <xdr:rowOff>123825</xdr:rowOff>
    </xdr:from>
    <xdr:to>
      <xdr:col>20</xdr:col>
      <xdr:colOff>352425</xdr:colOff>
      <xdr:row>18</xdr:row>
      <xdr:rowOff>47625</xdr:rowOff>
    </xdr:to>
    <xdr:sp>
      <xdr:nvSpPr>
        <xdr:cNvPr id="56" name="Line 54"/>
        <xdr:cNvSpPr>
          <a:spLocks/>
        </xdr:cNvSpPr>
      </xdr:nvSpPr>
      <xdr:spPr>
        <a:xfrm>
          <a:off x="5724525" y="1419225"/>
          <a:ext cx="0" cy="1152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352425</xdr:colOff>
      <xdr:row>4</xdr:row>
      <xdr:rowOff>114300</xdr:rowOff>
    </xdr:from>
    <xdr:to>
      <xdr:col>25</xdr:col>
      <xdr:colOff>495300</xdr:colOff>
      <xdr:row>4</xdr:row>
      <xdr:rowOff>114300</xdr:rowOff>
    </xdr:to>
    <xdr:sp>
      <xdr:nvSpPr>
        <xdr:cNvPr id="57" name="Line 55"/>
        <xdr:cNvSpPr>
          <a:spLocks/>
        </xdr:cNvSpPr>
      </xdr:nvSpPr>
      <xdr:spPr>
        <a:xfrm flipV="1">
          <a:off x="5724525" y="1409700"/>
          <a:ext cx="1933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171450</xdr:colOff>
      <xdr:row>4</xdr:row>
      <xdr:rowOff>114300</xdr:rowOff>
    </xdr:from>
    <xdr:to>
      <xdr:col>21</xdr:col>
      <xdr:colOff>171450</xdr:colOff>
      <xdr:row>9</xdr:row>
      <xdr:rowOff>0</xdr:rowOff>
    </xdr:to>
    <xdr:sp>
      <xdr:nvSpPr>
        <xdr:cNvPr id="58" name="Line 56"/>
        <xdr:cNvSpPr>
          <a:spLocks/>
        </xdr:cNvSpPr>
      </xdr:nvSpPr>
      <xdr:spPr>
        <a:xfrm>
          <a:off x="6105525" y="1409700"/>
          <a:ext cx="0" cy="5429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352425</xdr:colOff>
      <xdr:row>16</xdr:row>
      <xdr:rowOff>19050</xdr:rowOff>
    </xdr:from>
    <xdr:to>
      <xdr:col>20</xdr:col>
      <xdr:colOff>381000</xdr:colOff>
      <xdr:row>18</xdr:row>
      <xdr:rowOff>38100</xdr:rowOff>
    </xdr:to>
    <xdr:sp>
      <xdr:nvSpPr>
        <xdr:cNvPr id="59" name="Arc 57"/>
        <xdr:cNvSpPr>
          <a:spLocks/>
        </xdr:cNvSpPr>
      </xdr:nvSpPr>
      <xdr:spPr>
        <a:xfrm flipV="1">
          <a:off x="5724525" y="2495550"/>
          <a:ext cx="28575" cy="666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133350</xdr:colOff>
      <xdr:row>3</xdr:row>
      <xdr:rowOff>123825</xdr:rowOff>
    </xdr:from>
    <xdr:to>
      <xdr:col>26</xdr:col>
      <xdr:colOff>228600</xdr:colOff>
      <xdr:row>4</xdr:row>
      <xdr:rowOff>76200</xdr:rowOff>
    </xdr:to>
    <xdr:sp>
      <xdr:nvSpPr>
        <xdr:cNvPr id="60" name="Text 875"/>
        <xdr:cNvSpPr txBox="1">
          <a:spLocks noChangeArrowheads="1"/>
        </xdr:cNvSpPr>
      </xdr:nvSpPr>
      <xdr:spPr>
        <a:xfrm>
          <a:off x="6067425" y="1095375"/>
          <a:ext cx="18859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PC.WIRE OR STRAND</a:t>
          </a:r>
        </a:p>
      </xdr:txBody>
    </xdr:sp>
    <xdr:clientData/>
  </xdr:twoCellAnchor>
  <xdr:twoCellAnchor>
    <xdr:from>
      <xdr:col>18</xdr:col>
      <xdr:colOff>133350</xdr:colOff>
      <xdr:row>46</xdr:row>
      <xdr:rowOff>0</xdr:rowOff>
    </xdr:from>
    <xdr:to>
      <xdr:col>18</xdr:col>
      <xdr:colOff>133350</xdr:colOff>
      <xdr:row>46</xdr:row>
      <xdr:rowOff>0</xdr:rowOff>
    </xdr:to>
    <xdr:sp>
      <xdr:nvSpPr>
        <xdr:cNvPr id="61" name="Oval 60"/>
        <xdr:cNvSpPr>
          <a:spLocks/>
        </xdr:cNvSpPr>
      </xdr:nvSpPr>
      <xdr:spPr>
        <a:xfrm>
          <a:off x="4381500" y="871537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55</xdr:col>
      <xdr:colOff>495300</xdr:colOff>
      <xdr:row>51</xdr:row>
      <xdr:rowOff>0</xdr:rowOff>
    </xdr:from>
    <xdr:to>
      <xdr:col>56</xdr:col>
      <xdr:colOff>209550</xdr:colOff>
      <xdr:row>51</xdr:row>
      <xdr:rowOff>0</xdr:rowOff>
    </xdr:to>
    <xdr:sp>
      <xdr:nvSpPr>
        <xdr:cNvPr id="62" name="Text 1062"/>
        <xdr:cNvSpPr txBox="1">
          <a:spLocks noChangeArrowheads="1"/>
        </xdr:cNvSpPr>
      </xdr:nvSpPr>
      <xdr:spPr>
        <a:xfrm>
          <a:off x="18783300" y="10048875"/>
          <a:ext cx="257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CHK.</a:t>
          </a:r>
        </a:p>
      </xdr:txBody>
    </xdr:sp>
    <xdr:clientData/>
  </xdr:twoCellAnchor>
  <xdr:twoCellAnchor>
    <xdr:from>
      <xdr:col>55</xdr:col>
      <xdr:colOff>504825</xdr:colOff>
      <xdr:row>51</xdr:row>
      <xdr:rowOff>0</xdr:rowOff>
    </xdr:from>
    <xdr:to>
      <xdr:col>56</xdr:col>
      <xdr:colOff>238125</xdr:colOff>
      <xdr:row>51</xdr:row>
      <xdr:rowOff>0</xdr:rowOff>
    </xdr:to>
    <xdr:sp>
      <xdr:nvSpPr>
        <xdr:cNvPr id="63" name="Text 1063"/>
        <xdr:cNvSpPr txBox="1">
          <a:spLocks noChangeArrowheads="1"/>
        </xdr:cNvSpPr>
      </xdr:nvSpPr>
      <xdr:spPr>
        <a:xfrm>
          <a:off x="18792825" y="10048875"/>
          <a:ext cx="276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DWN.</a:t>
          </a:r>
        </a:p>
      </xdr:txBody>
    </xdr:sp>
    <xdr:clientData/>
  </xdr:twoCellAnchor>
  <xdr:twoCellAnchor>
    <xdr:from>
      <xdr:col>57</xdr:col>
      <xdr:colOff>228600</xdr:colOff>
      <xdr:row>51</xdr:row>
      <xdr:rowOff>0</xdr:rowOff>
    </xdr:from>
    <xdr:to>
      <xdr:col>57</xdr:col>
      <xdr:colOff>466725</xdr:colOff>
      <xdr:row>51</xdr:row>
      <xdr:rowOff>0</xdr:rowOff>
    </xdr:to>
    <xdr:sp>
      <xdr:nvSpPr>
        <xdr:cNvPr id="64" name="Text 1066"/>
        <xdr:cNvSpPr txBox="1">
          <a:spLocks noChangeArrowheads="1"/>
        </xdr:cNvSpPr>
      </xdr:nvSpPr>
      <xdr:spPr>
        <a:xfrm>
          <a:off x="19602450" y="10048875"/>
          <a:ext cx="238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SCALE.</a:t>
          </a:r>
        </a:p>
      </xdr:txBody>
    </xdr:sp>
    <xdr:clientData/>
  </xdr:twoCellAnchor>
  <xdr:twoCellAnchor>
    <xdr:from>
      <xdr:col>14</xdr:col>
      <xdr:colOff>47625</xdr:colOff>
      <xdr:row>4</xdr:row>
      <xdr:rowOff>19050</xdr:rowOff>
    </xdr:from>
    <xdr:to>
      <xdr:col>16</xdr:col>
      <xdr:colOff>76200</xdr:colOff>
      <xdr:row>5</xdr:row>
      <xdr:rowOff>200025</xdr:rowOff>
    </xdr:to>
    <xdr:grpSp>
      <xdr:nvGrpSpPr>
        <xdr:cNvPr id="65" name="Group 64"/>
        <xdr:cNvGrpSpPr>
          <a:grpSpLocks/>
        </xdr:cNvGrpSpPr>
      </xdr:nvGrpSpPr>
      <xdr:grpSpPr>
        <a:xfrm>
          <a:off x="3600450" y="1314450"/>
          <a:ext cx="323850" cy="400050"/>
          <a:chOff x="424" y="136"/>
          <a:chExt cx="34" cy="42"/>
        </a:xfrm>
        <a:solidFill>
          <a:srgbClr val="FFFFFF"/>
        </a:solidFill>
      </xdr:grpSpPr>
      <xdr:sp>
        <xdr:nvSpPr>
          <xdr:cNvPr id="66" name="Drawing 1349"/>
          <xdr:cNvSpPr>
            <a:spLocks/>
          </xdr:cNvSpPr>
        </xdr:nvSpPr>
        <xdr:spPr>
          <a:xfrm>
            <a:off x="436" y="136"/>
            <a:ext cx="22" cy="42"/>
          </a:xfrm>
          <a:custGeom>
            <a:pathLst>
              <a:path h="16384" w="16384">
                <a:moveTo>
                  <a:pt x="16384" y="8602"/>
                </a:moveTo>
                <a:lnTo>
                  <a:pt x="0" y="0"/>
                </a:lnTo>
                <a:lnTo>
                  <a:pt x="0" y="16384"/>
                </a:lnTo>
                <a:lnTo>
                  <a:pt x="16384" y="8602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7" name="Oval 66"/>
          <xdr:cNvSpPr>
            <a:spLocks/>
          </xdr:cNvSpPr>
        </xdr:nvSpPr>
        <xdr:spPr>
          <a:xfrm>
            <a:off x="424" y="142"/>
            <a:ext cx="26" cy="3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Text 458"/>
          <xdr:cNvSpPr txBox="1">
            <a:spLocks noChangeArrowheads="1"/>
          </xdr:cNvSpPr>
        </xdr:nvSpPr>
        <xdr:spPr>
          <a:xfrm>
            <a:off x="430" y="140"/>
            <a:ext cx="18" cy="2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</a:p>
        </xdr:txBody>
      </xdr:sp>
    </xdr:grp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0</xdr:colOff>
      <xdr:row>23</xdr:row>
      <xdr:rowOff>133350</xdr:rowOff>
    </xdr:to>
    <xdr:sp>
      <xdr:nvSpPr>
        <xdr:cNvPr id="69" name="Text 1380"/>
        <xdr:cNvSpPr txBox="1">
          <a:spLocks noChangeArrowheads="1"/>
        </xdr:cNvSpPr>
      </xdr:nvSpPr>
      <xdr:spPr>
        <a:xfrm>
          <a:off x="2552700" y="3267075"/>
          <a:ext cx="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STIRRUP</a:t>
          </a:r>
        </a:p>
      </xdr:txBody>
    </xdr:sp>
    <xdr:clientData/>
  </xdr:twoCellAnchor>
  <xdr:twoCellAnchor>
    <xdr:from>
      <xdr:col>43</xdr:col>
      <xdr:colOff>85725</xdr:colOff>
      <xdr:row>1</xdr:row>
      <xdr:rowOff>466725</xdr:rowOff>
    </xdr:from>
    <xdr:to>
      <xdr:col>44</xdr:col>
      <xdr:colOff>38100</xdr:colOff>
      <xdr:row>2</xdr:row>
      <xdr:rowOff>28575</xdr:rowOff>
    </xdr:to>
    <xdr:sp>
      <xdr:nvSpPr>
        <xdr:cNvPr id="70" name="Oval 69"/>
        <xdr:cNvSpPr>
          <a:spLocks/>
        </xdr:cNvSpPr>
      </xdr:nvSpPr>
      <xdr:spPr>
        <a:xfrm>
          <a:off x="12811125" y="6096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85725</xdr:colOff>
      <xdr:row>2</xdr:row>
      <xdr:rowOff>276225</xdr:rowOff>
    </xdr:from>
    <xdr:to>
      <xdr:col>44</xdr:col>
      <xdr:colOff>38100</xdr:colOff>
      <xdr:row>3</xdr:row>
      <xdr:rowOff>19050</xdr:rowOff>
    </xdr:to>
    <xdr:sp>
      <xdr:nvSpPr>
        <xdr:cNvPr id="71" name="Oval 70"/>
        <xdr:cNvSpPr>
          <a:spLocks/>
        </xdr:cNvSpPr>
      </xdr:nvSpPr>
      <xdr:spPr>
        <a:xfrm>
          <a:off x="12811125" y="923925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304800</xdr:colOff>
      <xdr:row>21</xdr:row>
      <xdr:rowOff>238125</xdr:rowOff>
    </xdr:from>
    <xdr:to>
      <xdr:col>38</xdr:col>
      <xdr:colOff>38100</xdr:colOff>
      <xdr:row>22</xdr:row>
      <xdr:rowOff>28575</xdr:rowOff>
    </xdr:to>
    <xdr:sp>
      <xdr:nvSpPr>
        <xdr:cNvPr id="72" name="Oval 71"/>
        <xdr:cNvSpPr>
          <a:spLocks/>
        </xdr:cNvSpPr>
      </xdr:nvSpPr>
      <xdr:spPr>
        <a:xfrm>
          <a:off x="11744325" y="32004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76200</xdr:colOff>
      <xdr:row>3</xdr:row>
      <xdr:rowOff>285750</xdr:rowOff>
    </xdr:from>
    <xdr:to>
      <xdr:col>44</xdr:col>
      <xdr:colOff>28575</xdr:colOff>
      <xdr:row>4</xdr:row>
      <xdr:rowOff>28575</xdr:rowOff>
    </xdr:to>
    <xdr:sp>
      <xdr:nvSpPr>
        <xdr:cNvPr id="73" name="Oval 73"/>
        <xdr:cNvSpPr>
          <a:spLocks/>
        </xdr:cNvSpPr>
      </xdr:nvSpPr>
      <xdr:spPr>
        <a:xfrm>
          <a:off x="12801600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85725</xdr:colOff>
      <xdr:row>21</xdr:row>
      <xdr:rowOff>238125</xdr:rowOff>
    </xdr:from>
    <xdr:to>
      <xdr:col>44</xdr:col>
      <xdr:colOff>38100</xdr:colOff>
      <xdr:row>22</xdr:row>
      <xdr:rowOff>28575</xdr:rowOff>
    </xdr:to>
    <xdr:sp>
      <xdr:nvSpPr>
        <xdr:cNvPr id="74" name="Oval 74"/>
        <xdr:cNvSpPr>
          <a:spLocks/>
        </xdr:cNvSpPr>
      </xdr:nvSpPr>
      <xdr:spPr>
        <a:xfrm>
          <a:off x="12811125" y="32004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466725</xdr:rowOff>
    </xdr:from>
    <xdr:to>
      <xdr:col>3</xdr:col>
      <xdr:colOff>28575</xdr:colOff>
      <xdr:row>2</xdr:row>
      <xdr:rowOff>28575</xdr:rowOff>
    </xdr:to>
    <xdr:sp>
      <xdr:nvSpPr>
        <xdr:cNvPr id="75" name="Oval 75"/>
        <xdr:cNvSpPr>
          <a:spLocks/>
        </xdr:cNvSpPr>
      </xdr:nvSpPr>
      <xdr:spPr>
        <a:xfrm>
          <a:off x="781050" y="6096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285750</xdr:rowOff>
    </xdr:from>
    <xdr:to>
      <xdr:col>9</xdr:col>
      <xdr:colOff>38100</xdr:colOff>
      <xdr:row>4</xdr:row>
      <xdr:rowOff>28575</xdr:rowOff>
    </xdr:to>
    <xdr:sp>
      <xdr:nvSpPr>
        <xdr:cNvPr id="76" name="Oval 76"/>
        <xdr:cNvSpPr>
          <a:spLocks/>
        </xdr:cNvSpPr>
      </xdr:nvSpPr>
      <xdr:spPr>
        <a:xfrm>
          <a:off x="1857375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238125</xdr:rowOff>
    </xdr:from>
    <xdr:to>
      <xdr:col>9</xdr:col>
      <xdr:colOff>38100</xdr:colOff>
      <xdr:row>22</xdr:row>
      <xdr:rowOff>28575</xdr:rowOff>
    </xdr:to>
    <xdr:sp>
      <xdr:nvSpPr>
        <xdr:cNvPr id="77" name="Oval 78"/>
        <xdr:cNvSpPr>
          <a:spLocks/>
        </xdr:cNvSpPr>
      </xdr:nvSpPr>
      <xdr:spPr>
        <a:xfrm>
          <a:off x="1857375" y="320040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66675</xdr:colOff>
      <xdr:row>12</xdr:row>
      <xdr:rowOff>9525</xdr:rowOff>
    </xdr:from>
    <xdr:to>
      <xdr:col>17</xdr:col>
      <xdr:colOff>114300</xdr:colOff>
      <xdr:row>12</xdr:row>
      <xdr:rowOff>123825</xdr:rowOff>
    </xdr:to>
    <xdr:sp>
      <xdr:nvSpPr>
        <xdr:cNvPr id="78" name="Line 80"/>
        <xdr:cNvSpPr>
          <a:spLocks/>
        </xdr:cNvSpPr>
      </xdr:nvSpPr>
      <xdr:spPr>
        <a:xfrm flipV="1">
          <a:off x="3914775" y="2143125"/>
          <a:ext cx="171450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76200</xdr:rowOff>
    </xdr:from>
    <xdr:to>
      <xdr:col>17</xdr:col>
      <xdr:colOff>85725</xdr:colOff>
      <xdr:row>12</xdr:row>
      <xdr:rowOff>28575</xdr:rowOff>
    </xdr:to>
    <xdr:sp>
      <xdr:nvSpPr>
        <xdr:cNvPr id="79" name="Arc 81"/>
        <xdr:cNvSpPr>
          <a:spLocks/>
        </xdr:cNvSpPr>
      </xdr:nvSpPr>
      <xdr:spPr>
        <a:xfrm flipH="1" flipV="1">
          <a:off x="3971925" y="2124075"/>
          <a:ext cx="85725" cy="38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76200</xdr:rowOff>
    </xdr:from>
    <xdr:to>
      <xdr:col>16</xdr:col>
      <xdr:colOff>104775</xdr:colOff>
      <xdr:row>12</xdr:row>
      <xdr:rowOff>114300</xdr:rowOff>
    </xdr:to>
    <xdr:sp>
      <xdr:nvSpPr>
        <xdr:cNvPr id="80" name="Line 82"/>
        <xdr:cNvSpPr>
          <a:spLocks/>
        </xdr:cNvSpPr>
      </xdr:nvSpPr>
      <xdr:spPr>
        <a:xfrm flipV="1">
          <a:off x="3762375" y="2124075"/>
          <a:ext cx="190500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85725</xdr:colOff>
      <xdr:row>12</xdr:row>
      <xdr:rowOff>123825</xdr:rowOff>
    </xdr:from>
    <xdr:to>
      <xdr:col>17</xdr:col>
      <xdr:colOff>0</xdr:colOff>
      <xdr:row>13</xdr:row>
      <xdr:rowOff>0</xdr:rowOff>
    </xdr:to>
    <xdr:sp>
      <xdr:nvSpPr>
        <xdr:cNvPr id="81" name="Arc 83"/>
        <xdr:cNvSpPr>
          <a:spLocks/>
        </xdr:cNvSpPr>
      </xdr:nvSpPr>
      <xdr:spPr>
        <a:xfrm>
          <a:off x="3933825" y="2257425"/>
          <a:ext cx="38100" cy="28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76200</xdr:rowOff>
    </xdr:from>
    <xdr:to>
      <xdr:col>16</xdr:col>
      <xdr:colOff>76200</xdr:colOff>
      <xdr:row>12</xdr:row>
      <xdr:rowOff>19050</xdr:rowOff>
    </xdr:to>
    <xdr:sp>
      <xdr:nvSpPr>
        <xdr:cNvPr id="82" name="Arc 84"/>
        <xdr:cNvSpPr>
          <a:spLocks/>
        </xdr:cNvSpPr>
      </xdr:nvSpPr>
      <xdr:spPr>
        <a:xfrm flipH="1" flipV="1">
          <a:off x="3848100" y="2124075"/>
          <a:ext cx="76200" cy="28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57150</xdr:colOff>
      <xdr:row>12</xdr:row>
      <xdr:rowOff>9525</xdr:rowOff>
    </xdr:from>
    <xdr:to>
      <xdr:col>24</xdr:col>
      <xdr:colOff>114300</xdr:colOff>
      <xdr:row>12</xdr:row>
      <xdr:rowOff>123825</xdr:rowOff>
    </xdr:to>
    <xdr:sp>
      <xdr:nvSpPr>
        <xdr:cNvPr id="83" name="Line 85"/>
        <xdr:cNvSpPr>
          <a:spLocks/>
        </xdr:cNvSpPr>
      </xdr:nvSpPr>
      <xdr:spPr>
        <a:xfrm flipV="1">
          <a:off x="6829425" y="2143125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66675</xdr:colOff>
      <xdr:row>12</xdr:row>
      <xdr:rowOff>114300</xdr:rowOff>
    </xdr:from>
    <xdr:to>
      <xdr:col>24</xdr:col>
      <xdr:colOff>0</xdr:colOff>
      <xdr:row>13</xdr:row>
      <xdr:rowOff>9525</xdr:rowOff>
    </xdr:to>
    <xdr:sp>
      <xdr:nvSpPr>
        <xdr:cNvPr id="84" name="Arc 86"/>
        <xdr:cNvSpPr>
          <a:spLocks/>
        </xdr:cNvSpPr>
      </xdr:nvSpPr>
      <xdr:spPr>
        <a:xfrm>
          <a:off x="6838950" y="2247900"/>
          <a:ext cx="5715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66675</xdr:rowOff>
    </xdr:from>
    <xdr:to>
      <xdr:col>24</xdr:col>
      <xdr:colOff>85725</xdr:colOff>
      <xdr:row>12</xdr:row>
      <xdr:rowOff>19050</xdr:rowOff>
    </xdr:to>
    <xdr:sp>
      <xdr:nvSpPr>
        <xdr:cNvPr id="85" name="Arc 87"/>
        <xdr:cNvSpPr>
          <a:spLocks/>
        </xdr:cNvSpPr>
      </xdr:nvSpPr>
      <xdr:spPr>
        <a:xfrm flipH="1" flipV="1">
          <a:off x="6896100" y="2114550"/>
          <a:ext cx="85725" cy="381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76200</xdr:rowOff>
    </xdr:from>
    <xdr:to>
      <xdr:col>23</xdr:col>
      <xdr:colOff>66675</xdr:colOff>
      <xdr:row>12</xdr:row>
      <xdr:rowOff>19050</xdr:rowOff>
    </xdr:to>
    <xdr:sp>
      <xdr:nvSpPr>
        <xdr:cNvPr id="86" name="Arc 88"/>
        <xdr:cNvSpPr>
          <a:spLocks/>
        </xdr:cNvSpPr>
      </xdr:nvSpPr>
      <xdr:spPr>
        <a:xfrm flipH="1" flipV="1">
          <a:off x="6772275" y="2124075"/>
          <a:ext cx="66675" cy="285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200025</xdr:colOff>
      <xdr:row>12</xdr:row>
      <xdr:rowOff>114300</xdr:rowOff>
    </xdr:from>
    <xdr:to>
      <xdr:col>22</xdr:col>
      <xdr:colOff>276225</xdr:colOff>
      <xdr:row>13</xdr:row>
      <xdr:rowOff>9525</xdr:rowOff>
    </xdr:to>
    <xdr:sp>
      <xdr:nvSpPr>
        <xdr:cNvPr id="87" name="Arc 89"/>
        <xdr:cNvSpPr>
          <a:spLocks/>
        </xdr:cNvSpPr>
      </xdr:nvSpPr>
      <xdr:spPr>
        <a:xfrm>
          <a:off x="6696075" y="2247900"/>
          <a:ext cx="7620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57150</xdr:colOff>
      <xdr:row>12</xdr:row>
      <xdr:rowOff>9525</xdr:rowOff>
    </xdr:from>
    <xdr:to>
      <xdr:col>32</xdr:col>
      <xdr:colOff>9525</xdr:colOff>
      <xdr:row>12</xdr:row>
      <xdr:rowOff>123825</xdr:rowOff>
    </xdr:to>
    <xdr:sp>
      <xdr:nvSpPr>
        <xdr:cNvPr id="88" name="Line 90"/>
        <xdr:cNvSpPr>
          <a:spLocks/>
        </xdr:cNvSpPr>
      </xdr:nvSpPr>
      <xdr:spPr>
        <a:xfrm flipV="1">
          <a:off x="9744075" y="2143125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180975</xdr:colOff>
      <xdr:row>12</xdr:row>
      <xdr:rowOff>9525</xdr:rowOff>
    </xdr:from>
    <xdr:to>
      <xdr:col>30</xdr:col>
      <xdr:colOff>85725</xdr:colOff>
      <xdr:row>12</xdr:row>
      <xdr:rowOff>123825</xdr:rowOff>
    </xdr:to>
    <xdr:sp>
      <xdr:nvSpPr>
        <xdr:cNvPr id="89" name="Line 91"/>
        <xdr:cNvSpPr>
          <a:spLocks/>
        </xdr:cNvSpPr>
      </xdr:nvSpPr>
      <xdr:spPr>
        <a:xfrm flipV="1">
          <a:off x="9591675" y="2143125"/>
          <a:ext cx="180975" cy="1143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76200</xdr:rowOff>
    </xdr:from>
    <xdr:to>
      <xdr:col>31</xdr:col>
      <xdr:colOff>76200</xdr:colOff>
      <xdr:row>12</xdr:row>
      <xdr:rowOff>38100</xdr:rowOff>
    </xdr:to>
    <xdr:sp>
      <xdr:nvSpPr>
        <xdr:cNvPr id="90" name="Arc 92"/>
        <xdr:cNvSpPr>
          <a:spLocks/>
        </xdr:cNvSpPr>
      </xdr:nvSpPr>
      <xdr:spPr>
        <a:xfrm flipH="1" flipV="1">
          <a:off x="9810750" y="2124075"/>
          <a:ext cx="7620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0</xdr:colOff>
      <xdr:row>11</xdr:row>
      <xdr:rowOff>66675</xdr:rowOff>
    </xdr:from>
    <xdr:to>
      <xdr:col>30</xdr:col>
      <xdr:colOff>57150</xdr:colOff>
      <xdr:row>12</xdr:row>
      <xdr:rowOff>38100</xdr:rowOff>
    </xdr:to>
    <xdr:sp>
      <xdr:nvSpPr>
        <xdr:cNvPr id="91" name="Arc 93"/>
        <xdr:cNvSpPr>
          <a:spLocks/>
        </xdr:cNvSpPr>
      </xdr:nvSpPr>
      <xdr:spPr>
        <a:xfrm flipH="1" flipV="1">
          <a:off x="9686925" y="2114550"/>
          <a:ext cx="571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85725</xdr:colOff>
      <xdr:row>12</xdr:row>
      <xdr:rowOff>114300</xdr:rowOff>
    </xdr:from>
    <xdr:to>
      <xdr:col>31</xdr:col>
      <xdr:colOff>0</xdr:colOff>
      <xdr:row>13</xdr:row>
      <xdr:rowOff>9525</xdr:rowOff>
    </xdr:to>
    <xdr:sp>
      <xdr:nvSpPr>
        <xdr:cNvPr id="92" name="Arc 94"/>
        <xdr:cNvSpPr>
          <a:spLocks/>
        </xdr:cNvSpPr>
      </xdr:nvSpPr>
      <xdr:spPr>
        <a:xfrm>
          <a:off x="9772650" y="2247900"/>
          <a:ext cx="38100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219075</xdr:colOff>
      <xdr:row>12</xdr:row>
      <xdr:rowOff>104775</xdr:rowOff>
    </xdr:from>
    <xdr:to>
      <xdr:col>30</xdr:col>
      <xdr:colOff>0</xdr:colOff>
      <xdr:row>13</xdr:row>
      <xdr:rowOff>9525</xdr:rowOff>
    </xdr:to>
    <xdr:sp>
      <xdr:nvSpPr>
        <xdr:cNvPr id="93" name="Arc 95"/>
        <xdr:cNvSpPr>
          <a:spLocks/>
        </xdr:cNvSpPr>
      </xdr:nvSpPr>
      <xdr:spPr>
        <a:xfrm>
          <a:off x="9629775" y="2238375"/>
          <a:ext cx="57150" cy="5715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66675</xdr:colOff>
      <xdr:row>39</xdr:row>
      <xdr:rowOff>257175</xdr:rowOff>
    </xdr:from>
    <xdr:to>
      <xdr:col>12</xdr:col>
      <xdr:colOff>104775</xdr:colOff>
      <xdr:row>41</xdr:row>
      <xdr:rowOff>133350</xdr:rowOff>
    </xdr:to>
    <xdr:sp>
      <xdr:nvSpPr>
        <xdr:cNvPr id="94" name="Text 1455"/>
        <xdr:cNvSpPr txBox="1">
          <a:spLocks noChangeArrowheads="1"/>
        </xdr:cNvSpPr>
      </xdr:nvSpPr>
      <xdr:spPr>
        <a:xfrm>
          <a:off x="1762125" y="7105650"/>
          <a:ext cx="1228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SECTION   1-1</a:t>
          </a:r>
        </a:p>
      </xdr:txBody>
    </xdr:sp>
    <xdr:clientData/>
  </xdr:twoCellAnchor>
  <xdr:twoCellAnchor>
    <xdr:from>
      <xdr:col>22</xdr:col>
      <xdr:colOff>171450</xdr:colOff>
      <xdr:row>12</xdr:row>
      <xdr:rowOff>0</xdr:rowOff>
    </xdr:from>
    <xdr:to>
      <xdr:col>23</xdr:col>
      <xdr:colOff>95250</xdr:colOff>
      <xdr:row>12</xdr:row>
      <xdr:rowOff>123825</xdr:rowOff>
    </xdr:to>
    <xdr:sp>
      <xdr:nvSpPr>
        <xdr:cNvPr id="95" name="Line 97"/>
        <xdr:cNvSpPr>
          <a:spLocks/>
        </xdr:cNvSpPr>
      </xdr:nvSpPr>
      <xdr:spPr>
        <a:xfrm flipV="1">
          <a:off x="6667500" y="2133600"/>
          <a:ext cx="200025" cy="1238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95250</xdr:colOff>
      <xdr:row>44</xdr:row>
      <xdr:rowOff>0</xdr:rowOff>
    </xdr:from>
    <xdr:to>
      <xdr:col>36</xdr:col>
      <xdr:colOff>95250</xdr:colOff>
      <xdr:row>47</xdr:row>
      <xdr:rowOff>0</xdr:rowOff>
    </xdr:to>
    <xdr:sp>
      <xdr:nvSpPr>
        <xdr:cNvPr id="96" name="Line 98"/>
        <xdr:cNvSpPr>
          <a:spLocks/>
        </xdr:cNvSpPr>
      </xdr:nvSpPr>
      <xdr:spPr>
        <a:xfrm>
          <a:off x="11201400" y="8181975"/>
          <a:ext cx="0" cy="800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12</xdr:col>
      <xdr:colOff>247650</xdr:colOff>
      <xdr:row>27</xdr:row>
      <xdr:rowOff>0</xdr:rowOff>
    </xdr:to>
    <xdr:sp>
      <xdr:nvSpPr>
        <xdr:cNvPr id="97" name="Line 100"/>
        <xdr:cNvSpPr>
          <a:spLocks/>
        </xdr:cNvSpPr>
      </xdr:nvSpPr>
      <xdr:spPr>
        <a:xfrm>
          <a:off x="1704975" y="447675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28575</xdr:colOff>
      <xdr:row>28</xdr:row>
      <xdr:rowOff>95250</xdr:rowOff>
    </xdr:from>
    <xdr:to>
      <xdr:col>4</xdr:col>
      <xdr:colOff>28575</xdr:colOff>
      <xdr:row>37</xdr:row>
      <xdr:rowOff>152400</xdr:rowOff>
    </xdr:to>
    <xdr:sp>
      <xdr:nvSpPr>
        <xdr:cNvPr id="98" name="Line 101"/>
        <xdr:cNvSpPr>
          <a:spLocks/>
        </xdr:cNvSpPr>
      </xdr:nvSpPr>
      <xdr:spPr>
        <a:xfrm>
          <a:off x="962025" y="4838700"/>
          <a:ext cx="0" cy="1628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95250</xdr:colOff>
      <xdr:row>30</xdr:row>
      <xdr:rowOff>28575</xdr:rowOff>
    </xdr:from>
    <xdr:to>
      <xdr:col>12</xdr:col>
      <xdr:colOff>95250</xdr:colOff>
      <xdr:row>35</xdr:row>
      <xdr:rowOff>257175</xdr:rowOff>
    </xdr:to>
    <xdr:sp>
      <xdr:nvSpPr>
        <xdr:cNvPr id="99" name="Line 102"/>
        <xdr:cNvSpPr>
          <a:spLocks/>
        </xdr:cNvSpPr>
      </xdr:nvSpPr>
      <xdr:spPr>
        <a:xfrm>
          <a:off x="2981325" y="5048250"/>
          <a:ext cx="0" cy="1181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95250</xdr:colOff>
      <xdr:row>30</xdr:row>
      <xdr:rowOff>38100</xdr:rowOff>
    </xdr:from>
    <xdr:to>
      <xdr:col>8</xdr:col>
      <xdr:colOff>95250</xdr:colOff>
      <xdr:row>35</xdr:row>
      <xdr:rowOff>257175</xdr:rowOff>
    </xdr:to>
    <xdr:sp>
      <xdr:nvSpPr>
        <xdr:cNvPr id="100" name="Line 103"/>
        <xdr:cNvSpPr>
          <a:spLocks/>
        </xdr:cNvSpPr>
      </xdr:nvSpPr>
      <xdr:spPr>
        <a:xfrm flipH="1">
          <a:off x="1790700" y="5057775"/>
          <a:ext cx="0" cy="1171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9525</xdr:colOff>
      <xdr:row>29</xdr:row>
      <xdr:rowOff>0</xdr:rowOff>
    </xdr:to>
    <xdr:sp>
      <xdr:nvSpPr>
        <xdr:cNvPr id="101" name="Line 104"/>
        <xdr:cNvSpPr>
          <a:spLocks/>
        </xdr:cNvSpPr>
      </xdr:nvSpPr>
      <xdr:spPr>
        <a:xfrm>
          <a:off x="1885950" y="4962525"/>
          <a:ext cx="1009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102" name="Line 105"/>
        <xdr:cNvSpPr>
          <a:spLocks/>
        </xdr:cNvSpPr>
      </xdr:nvSpPr>
      <xdr:spPr>
        <a:xfrm>
          <a:off x="1885950" y="6315075"/>
          <a:ext cx="1000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95250</xdr:colOff>
      <xdr:row>29</xdr:row>
      <xdr:rowOff>0</xdr:rowOff>
    </xdr:from>
    <xdr:to>
      <xdr:col>8</xdr:col>
      <xdr:colOff>190500</xdr:colOff>
      <xdr:row>30</xdr:row>
      <xdr:rowOff>38100</xdr:rowOff>
    </xdr:to>
    <xdr:sp>
      <xdr:nvSpPr>
        <xdr:cNvPr id="103" name="Line 110"/>
        <xdr:cNvSpPr>
          <a:spLocks/>
        </xdr:cNvSpPr>
      </xdr:nvSpPr>
      <xdr:spPr>
        <a:xfrm flipV="1">
          <a:off x="1790700" y="49625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209550</xdr:rowOff>
    </xdr:from>
    <xdr:to>
      <xdr:col>12</xdr:col>
      <xdr:colOff>95250</xdr:colOff>
      <xdr:row>30</xdr:row>
      <xdr:rowOff>28575</xdr:rowOff>
    </xdr:to>
    <xdr:sp>
      <xdr:nvSpPr>
        <xdr:cNvPr id="104" name="Line 111"/>
        <xdr:cNvSpPr>
          <a:spLocks/>
        </xdr:cNvSpPr>
      </xdr:nvSpPr>
      <xdr:spPr>
        <a:xfrm flipH="1" flipV="1">
          <a:off x="2886075" y="4953000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104775</xdr:colOff>
      <xdr:row>26</xdr:row>
      <xdr:rowOff>180975</xdr:rowOff>
    </xdr:from>
    <xdr:to>
      <xdr:col>8</xdr:col>
      <xdr:colOff>104775</xdr:colOff>
      <xdr:row>27</xdr:row>
      <xdr:rowOff>104775</xdr:rowOff>
    </xdr:to>
    <xdr:sp>
      <xdr:nvSpPr>
        <xdr:cNvPr id="105" name="Line 114"/>
        <xdr:cNvSpPr>
          <a:spLocks/>
        </xdr:cNvSpPr>
      </xdr:nvSpPr>
      <xdr:spPr>
        <a:xfrm>
          <a:off x="1800225" y="43910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95250</xdr:colOff>
      <xdr:row>26</xdr:row>
      <xdr:rowOff>190500</xdr:rowOff>
    </xdr:from>
    <xdr:to>
      <xdr:col>12</xdr:col>
      <xdr:colOff>95250</xdr:colOff>
      <xdr:row>27</xdr:row>
      <xdr:rowOff>123825</xdr:rowOff>
    </xdr:to>
    <xdr:sp>
      <xdr:nvSpPr>
        <xdr:cNvPr id="106" name="Line 115"/>
        <xdr:cNvSpPr>
          <a:spLocks/>
        </xdr:cNvSpPr>
      </xdr:nvSpPr>
      <xdr:spPr>
        <a:xfrm>
          <a:off x="2981325" y="4400550"/>
          <a:ext cx="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66675</xdr:colOff>
      <xdr:row>26</xdr:row>
      <xdr:rowOff>228600</xdr:rowOff>
    </xdr:from>
    <xdr:to>
      <xdr:col>12</xdr:col>
      <xdr:colOff>133350</xdr:colOff>
      <xdr:row>27</xdr:row>
      <xdr:rowOff>28575</xdr:rowOff>
    </xdr:to>
    <xdr:sp>
      <xdr:nvSpPr>
        <xdr:cNvPr id="107" name="Oval 116"/>
        <xdr:cNvSpPr>
          <a:spLocks/>
        </xdr:cNvSpPr>
      </xdr:nvSpPr>
      <xdr:spPr>
        <a:xfrm>
          <a:off x="2952750" y="44386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66675</xdr:colOff>
      <xdr:row>26</xdr:row>
      <xdr:rowOff>228600</xdr:rowOff>
    </xdr:from>
    <xdr:to>
      <xdr:col>8</xdr:col>
      <xdr:colOff>133350</xdr:colOff>
      <xdr:row>27</xdr:row>
      <xdr:rowOff>28575</xdr:rowOff>
    </xdr:to>
    <xdr:sp>
      <xdr:nvSpPr>
        <xdr:cNvPr id="108" name="Oval 117"/>
        <xdr:cNvSpPr>
          <a:spLocks/>
        </xdr:cNvSpPr>
      </xdr:nvSpPr>
      <xdr:spPr>
        <a:xfrm>
          <a:off x="1762125" y="44386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4</xdr:col>
      <xdr:colOff>123825</xdr:colOff>
      <xdr:row>29</xdr:row>
      <xdr:rowOff>0</xdr:rowOff>
    </xdr:to>
    <xdr:sp>
      <xdr:nvSpPr>
        <xdr:cNvPr id="109" name="Line 118"/>
        <xdr:cNvSpPr>
          <a:spLocks/>
        </xdr:cNvSpPr>
      </xdr:nvSpPr>
      <xdr:spPr>
        <a:xfrm>
          <a:off x="857250" y="4962525"/>
          <a:ext cx="2000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38100</xdr:colOff>
      <xdr:row>37</xdr:row>
      <xdr:rowOff>0</xdr:rowOff>
    </xdr:from>
    <xdr:to>
      <xdr:col>4</xdr:col>
      <xdr:colOff>104775</xdr:colOff>
      <xdr:row>37</xdr:row>
      <xdr:rowOff>0</xdr:rowOff>
    </xdr:to>
    <xdr:sp>
      <xdr:nvSpPr>
        <xdr:cNvPr id="110" name="Line 119"/>
        <xdr:cNvSpPr>
          <a:spLocks/>
        </xdr:cNvSpPr>
      </xdr:nvSpPr>
      <xdr:spPr>
        <a:xfrm>
          <a:off x="857250" y="6315075"/>
          <a:ext cx="180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</xdr:colOff>
      <xdr:row>28</xdr:row>
      <xdr:rowOff>180975</xdr:rowOff>
    </xdr:from>
    <xdr:to>
      <xdr:col>4</xdr:col>
      <xdr:colOff>57150</xdr:colOff>
      <xdr:row>29</xdr:row>
      <xdr:rowOff>28575</xdr:rowOff>
    </xdr:to>
    <xdr:sp>
      <xdr:nvSpPr>
        <xdr:cNvPr id="111" name="Oval 120"/>
        <xdr:cNvSpPr>
          <a:spLocks/>
        </xdr:cNvSpPr>
      </xdr:nvSpPr>
      <xdr:spPr>
        <a:xfrm>
          <a:off x="923925" y="492442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19050</xdr:rowOff>
    </xdr:from>
    <xdr:to>
      <xdr:col>4</xdr:col>
      <xdr:colOff>57150</xdr:colOff>
      <xdr:row>37</xdr:row>
      <xdr:rowOff>28575</xdr:rowOff>
    </xdr:to>
    <xdr:sp>
      <xdr:nvSpPr>
        <xdr:cNvPr id="112" name="Oval 121"/>
        <xdr:cNvSpPr>
          <a:spLocks/>
        </xdr:cNvSpPr>
      </xdr:nvSpPr>
      <xdr:spPr>
        <a:xfrm>
          <a:off x="923925" y="627697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219075</xdr:rowOff>
    </xdr:from>
    <xdr:to>
      <xdr:col>10</xdr:col>
      <xdr:colOff>314325</xdr:colOff>
      <xdr:row>26</xdr:row>
      <xdr:rowOff>257175</xdr:rowOff>
    </xdr:to>
    <xdr:sp>
      <xdr:nvSpPr>
        <xdr:cNvPr id="113" name="Text 1532"/>
        <xdr:cNvSpPr txBox="1">
          <a:spLocks noChangeArrowheads="1"/>
        </xdr:cNvSpPr>
      </xdr:nvSpPr>
      <xdr:spPr>
        <a:xfrm>
          <a:off x="2286000" y="4162425"/>
          <a:ext cx="2476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35</a:t>
          </a:r>
        </a:p>
      </xdr:txBody>
    </xdr:sp>
    <xdr:clientData/>
  </xdr:twoCellAnchor>
  <xdr:twoCellAnchor>
    <xdr:from>
      <xdr:col>2</xdr:col>
      <xdr:colOff>38100</xdr:colOff>
      <xdr:row>32</xdr:row>
      <xdr:rowOff>66675</xdr:rowOff>
    </xdr:from>
    <xdr:to>
      <xdr:col>3</xdr:col>
      <xdr:colOff>85725</xdr:colOff>
      <xdr:row>33</xdr:row>
      <xdr:rowOff>114300</xdr:rowOff>
    </xdr:to>
    <xdr:sp>
      <xdr:nvSpPr>
        <xdr:cNvPr id="114" name="Text 1533"/>
        <xdr:cNvSpPr txBox="1">
          <a:spLocks noChangeArrowheads="1"/>
        </xdr:cNvSpPr>
      </xdr:nvSpPr>
      <xdr:spPr>
        <a:xfrm>
          <a:off x="657225" y="5476875"/>
          <a:ext cx="2476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35</a:t>
          </a:r>
        </a:p>
      </xdr:txBody>
    </xdr:sp>
    <xdr:clientData/>
  </xdr:twoCellAnchor>
  <xdr:twoCellAnchor>
    <xdr:from>
      <xdr:col>27</xdr:col>
      <xdr:colOff>247650</xdr:colOff>
      <xdr:row>5</xdr:row>
      <xdr:rowOff>9525</xdr:rowOff>
    </xdr:from>
    <xdr:to>
      <xdr:col>27</xdr:col>
      <xdr:colOff>247650</xdr:colOff>
      <xdr:row>5</xdr:row>
      <xdr:rowOff>200025</xdr:rowOff>
    </xdr:to>
    <xdr:sp>
      <xdr:nvSpPr>
        <xdr:cNvPr id="115" name="Line 153"/>
        <xdr:cNvSpPr>
          <a:spLocks/>
        </xdr:cNvSpPr>
      </xdr:nvSpPr>
      <xdr:spPr>
        <a:xfrm flipH="1">
          <a:off x="8534400" y="1524000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66675</xdr:rowOff>
    </xdr:from>
    <xdr:to>
      <xdr:col>27</xdr:col>
      <xdr:colOff>247650</xdr:colOff>
      <xdr:row>20</xdr:row>
      <xdr:rowOff>171450</xdr:rowOff>
    </xdr:to>
    <xdr:sp>
      <xdr:nvSpPr>
        <xdr:cNvPr id="116" name="Line 154"/>
        <xdr:cNvSpPr>
          <a:spLocks/>
        </xdr:cNvSpPr>
      </xdr:nvSpPr>
      <xdr:spPr>
        <a:xfrm flipH="1">
          <a:off x="8534400" y="2676525"/>
          <a:ext cx="0" cy="1905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76200</xdr:colOff>
      <xdr:row>4</xdr:row>
      <xdr:rowOff>19050</xdr:rowOff>
    </xdr:from>
    <xdr:to>
      <xdr:col>28</xdr:col>
      <xdr:colOff>285750</xdr:colOff>
      <xdr:row>5</xdr:row>
      <xdr:rowOff>200025</xdr:rowOff>
    </xdr:to>
    <xdr:sp>
      <xdr:nvSpPr>
        <xdr:cNvPr id="117" name="Drawing 1675"/>
        <xdr:cNvSpPr>
          <a:spLocks/>
        </xdr:cNvSpPr>
      </xdr:nvSpPr>
      <xdr:spPr>
        <a:xfrm>
          <a:off x="8924925" y="1314450"/>
          <a:ext cx="209550" cy="400050"/>
        </a:xfrm>
        <a:custGeom>
          <a:pathLst>
            <a:path h="16384" w="16384">
              <a:moveTo>
                <a:pt x="16384" y="8602"/>
              </a:moveTo>
              <a:lnTo>
                <a:pt x="0" y="0"/>
              </a:lnTo>
              <a:lnTo>
                <a:pt x="0" y="16384"/>
              </a:lnTo>
              <a:lnTo>
                <a:pt x="16384" y="860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523875</xdr:colOff>
      <xdr:row>4</xdr:row>
      <xdr:rowOff>76200</xdr:rowOff>
    </xdr:from>
    <xdr:to>
      <xdr:col>28</xdr:col>
      <xdr:colOff>209550</xdr:colOff>
      <xdr:row>5</xdr:row>
      <xdr:rowOff>152400</xdr:rowOff>
    </xdr:to>
    <xdr:sp>
      <xdr:nvSpPr>
        <xdr:cNvPr id="118" name="Oval 156"/>
        <xdr:cNvSpPr>
          <a:spLocks/>
        </xdr:cNvSpPr>
      </xdr:nvSpPr>
      <xdr:spPr>
        <a:xfrm>
          <a:off x="8810625" y="1371600"/>
          <a:ext cx="247650" cy="2952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523875</xdr:colOff>
      <xdr:row>20</xdr:row>
      <xdr:rowOff>9525</xdr:rowOff>
    </xdr:from>
    <xdr:to>
      <xdr:col>28</xdr:col>
      <xdr:colOff>209550</xdr:colOff>
      <xdr:row>21</xdr:row>
      <xdr:rowOff>38100</xdr:rowOff>
    </xdr:to>
    <xdr:sp>
      <xdr:nvSpPr>
        <xdr:cNvPr id="119" name="Oval 157"/>
        <xdr:cNvSpPr>
          <a:spLocks/>
        </xdr:cNvSpPr>
      </xdr:nvSpPr>
      <xdr:spPr>
        <a:xfrm>
          <a:off x="8810625" y="2705100"/>
          <a:ext cx="24765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19050</xdr:colOff>
      <xdr:row>4</xdr:row>
      <xdr:rowOff>47625</xdr:rowOff>
    </xdr:from>
    <xdr:to>
      <xdr:col>28</xdr:col>
      <xdr:colOff>190500</xdr:colOff>
      <xdr:row>5</xdr:row>
      <xdr:rowOff>95250</xdr:rowOff>
    </xdr:to>
    <xdr:sp>
      <xdr:nvSpPr>
        <xdr:cNvPr id="120" name="Text 1674"/>
        <xdr:cNvSpPr txBox="1">
          <a:spLocks noChangeArrowheads="1"/>
        </xdr:cNvSpPr>
      </xdr:nvSpPr>
      <xdr:spPr>
        <a:xfrm>
          <a:off x="8867775" y="1343025"/>
          <a:ext cx="1714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</a:p>
      </xdr:txBody>
    </xdr:sp>
    <xdr:clientData/>
  </xdr:twoCellAnchor>
  <xdr:twoCellAnchor>
    <xdr:from>
      <xdr:col>28</xdr:col>
      <xdr:colOff>28575</xdr:colOff>
      <xdr:row>19</xdr:row>
      <xdr:rowOff>66675</xdr:rowOff>
    </xdr:from>
    <xdr:to>
      <xdr:col>28</xdr:col>
      <xdr:colOff>200025</xdr:colOff>
      <xdr:row>20</xdr:row>
      <xdr:rowOff>247650</xdr:rowOff>
    </xdr:to>
    <xdr:sp>
      <xdr:nvSpPr>
        <xdr:cNvPr id="121" name="Text 1679"/>
        <xdr:cNvSpPr txBox="1">
          <a:spLocks noChangeArrowheads="1"/>
        </xdr:cNvSpPr>
      </xdr:nvSpPr>
      <xdr:spPr>
        <a:xfrm>
          <a:off x="8877300" y="2676525"/>
          <a:ext cx="1714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2</a:t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14</xdr:col>
      <xdr:colOff>85725</xdr:colOff>
      <xdr:row>33</xdr:row>
      <xdr:rowOff>28575</xdr:rowOff>
    </xdr:to>
    <xdr:grpSp>
      <xdr:nvGrpSpPr>
        <xdr:cNvPr id="122" name="Group 160"/>
        <xdr:cNvGrpSpPr>
          <a:grpSpLocks/>
        </xdr:cNvGrpSpPr>
      </xdr:nvGrpSpPr>
      <xdr:grpSpPr>
        <a:xfrm>
          <a:off x="2819400" y="5638800"/>
          <a:ext cx="819150" cy="28575"/>
          <a:chOff x="298" y="590"/>
          <a:chExt cx="86" cy="3"/>
        </a:xfrm>
        <a:solidFill>
          <a:srgbClr val="FFFFFF"/>
        </a:solidFill>
      </xdr:grpSpPr>
      <xdr:sp>
        <xdr:nvSpPr>
          <xdr:cNvPr id="123" name="Line 161"/>
          <xdr:cNvSpPr>
            <a:spLocks/>
          </xdr:cNvSpPr>
        </xdr:nvSpPr>
        <xdr:spPr>
          <a:xfrm>
            <a:off x="299" y="593"/>
            <a:ext cx="8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Arc 162"/>
          <xdr:cNvSpPr>
            <a:spLocks/>
          </xdr:cNvSpPr>
        </xdr:nvSpPr>
        <xdr:spPr>
          <a:xfrm flipH="1">
            <a:off x="298" y="590"/>
            <a:ext cx="9" cy="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15</xdr:col>
      <xdr:colOff>38100</xdr:colOff>
      <xdr:row>12</xdr:row>
      <xdr:rowOff>104775</xdr:rowOff>
    </xdr:from>
    <xdr:to>
      <xdr:col>16</xdr:col>
      <xdr:colOff>0</xdr:colOff>
      <xdr:row>13</xdr:row>
      <xdr:rowOff>0</xdr:rowOff>
    </xdr:to>
    <xdr:sp>
      <xdr:nvSpPr>
        <xdr:cNvPr id="125" name="Arc 163"/>
        <xdr:cNvSpPr>
          <a:spLocks/>
        </xdr:cNvSpPr>
      </xdr:nvSpPr>
      <xdr:spPr>
        <a:xfrm>
          <a:off x="3781425" y="2238375"/>
          <a:ext cx="66675" cy="476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533400</xdr:colOff>
      <xdr:row>2</xdr:row>
      <xdr:rowOff>285750</xdr:rowOff>
    </xdr:from>
    <xdr:to>
      <xdr:col>29</xdr:col>
      <xdr:colOff>38100</xdr:colOff>
      <xdr:row>3</xdr:row>
      <xdr:rowOff>28575</xdr:rowOff>
    </xdr:to>
    <xdr:sp>
      <xdr:nvSpPr>
        <xdr:cNvPr id="126" name="Oval 164"/>
        <xdr:cNvSpPr>
          <a:spLocks/>
        </xdr:cNvSpPr>
      </xdr:nvSpPr>
      <xdr:spPr>
        <a:xfrm>
          <a:off x="9382125" y="93345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171450</xdr:colOff>
      <xdr:row>6</xdr:row>
      <xdr:rowOff>57150</xdr:rowOff>
    </xdr:from>
    <xdr:to>
      <xdr:col>21</xdr:col>
      <xdr:colOff>209550</xdr:colOff>
      <xdr:row>8</xdr:row>
      <xdr:rowOff>19050</xdr:rowOff>
    </xdr:to>
    <xdr:sp>
      <xdr:nvSpPr>
        <xdr:cNvPr id="127" name="Arc 166"/>
        <xdr:cNvSpPr>
          <a:spLocks/>
        </xdr:cNvSpPr>
      </xdr:nvSpPr>
      <xdr:spPr>
        <a:xfrm flipV="1">
          <a:off x="6105525" y="1866900"/>
          <a:ext cx="381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247650</xdr:colOff>
      <xdr:row>5</xdr:row>
      <xdr:rowOff>0</xdr:rowOff>
    </xdr:from>
    <xdr:to>
      <xdr:col>27</xdr:col>
      <xdr:colOff>523875</xdr:colOff>
      <xdr:row>5</xdr:row>
      <xdr:rowOff>0</xdr:rowOff>
    </xdr:to>
    <xdr:sp>
      <xdr:nvSpPr>
        <xdr:cNvPr id="128" name="Line 167"/>
        <xdr:cNvSpPr>
          <a:spLocks/>
        </xdr:cNvSpPr>
      </xdr:nvSpPr>
      <xdr:spPr>
        <a:xfrm>
          <a:off x="8534400" y="1514475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247650</xdr:colOff>
      <xdr:row>20</xdr:row>
      <xdr:rowOff>161925</xdr:rowOff>
    </xdr:from>
    <xdr:to>
      <xdr:col>27</xdr:col>
      <xdr:colOff>533400</xdr:colOff>
      <xdr:row>20</xdr:row>
      <xdr:rowOff>161925</xdr:rowOff>
    </xdr:to>
    <xdr:sp>
      <xdr:nvSpPr>
        <xdr:cNvPr id="129" name="Line 168"/>
        <xdr:cNvSpPr>
          <a:spLocks/>
        </xdr:cNvSpPr>
      </xdr:nvSpPr>
      <xdr:spPr>
        <a:xfrm>
          <a:off x="8534400" y="28575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6</xdr:row>
      <xdr:rowOff>66675</xdr:rowOff>
    </xdr:from>
    <xdr:to>
      <xdr:col>19</xdr:col>
      <xdr:colOff>133350</xdr:colOff>
      <xdr:row>18</xdr:row>
      <xdr:rowOff>19050</xdr:rowOff>
    </xdr:to>
    <xdr:sp>
      <xdr:nvSpPr>
        <xdr:cNvPr id="130" name="Line 169"/>
        <xdr:cNvSpPr>
          <a:spLocks/>
        </xdr:cNvSpPr>
      </xdr:nvSpPr>
      <xdr:spPr>
        <a:xfrm>
          <a:off x="4819650" y="1876425"/>
          <a:ext cx="12382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114300</xdr:colOff>
      <xdr:row>6</xdr:row>
      <xdr:rowOff>66675</xdr:rowOff>
    </xdr:from>
    <xdr:to>
      <xdr:col>18</xdr:col>
      <xdr:colOff>209550</xdr:colOff>
      <xdr:row>18</xdr:row>
      <xdr:rowOff>19050</xdr:rowOff>
    </xdr:to>
    <xdr:sp>
      <xdr:nvSpPr>
        <xdr:cNvPr id="131" name="Line 170"/>
        <xdr:cNvSpPr>
          <a:spLocks/>
        </xdr:cNvSpPr>
      </xdr:nvSpPr>
      <xdr:spPr>
        <a:xfrm flipH="1">
          <a:off x="4362450" y="1876425"/>
          <a:ext cx="952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504825</xdr:colOff>
      <xdr:row>6</xdr:row>
      <xdr:rowOff>66675</xdr:rowOff>
    </xdr:from>
    <xdr:to>
      <xdr:col>20</xdr:col>
      <xdr:colOff>47625</xdr:colOff>
      <xdr:row>18</xdr:row>
      <xdr:rowOff>19050</xdr:rowOff>
    </xdr:to>
    <xdr:sp>
      <xdr:nvSpPr>
        <xdr:cNvPr id="132" name="Line 171"/>
        <xdr:cNvSpPr>
          <a:spLocks/>
        </xdr:cNvSpPr>
      </xdr:nvSpPr>
      <xdr:spPr>
        <a:xfrm flipH="1">
          <a:off x="5314950" y="1876425"/>
          <a:ext cx="1047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352425</xdr:colOff>
      <xdr:row>6</xdr:row>
      <xdr:rowOff>66675</xdr:rowOff>
    </xdr:from>
    <xdr:to>
      <xdr:col>21</xdr:col>
      <xdr:colOff>466725</xdr:colOff>
      <xdr:row>18</xdr:row>
      <xdr:rowOff>19050</xdr:rowOff>
    </xdr:to>
    <xdr:sp>
      <xdr:nvSpPr>
        <xdr:cNvPr id="133" name="Line 172"/>
        <xdr:cNvSpPr>
          <a:spLocks/>
        </xdr:cNvSpPr>
      </xdr:nvSpPr>
      <xdr:spPr>
        <a:xfrm flipH="1">
          <a:off x="6286500" y="1876425"/>
          <a:ext cx="11430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133350</xdr:colOff>
      <xdr:row>6</xdr:row>
      <xdr:rowOff>66675</xdr:rowOff>
    </xdr:from>
    <xdr:to>
      <xdr:col>25</xdr:col>
      <xdr:colOff>238125</xdr:colOff>
      <xdr:row>18</xdr:row>
      <xdr:rowOff>28575</xdr:rowOff>
    </xdr:to>
    <xdr:sp>
      <xdr:nvSpPr>
        <xdr:cNvPr id="134" name="Line 173"/>
        <xdr:cNvSpPr>
          <a:spLocks/>
        </xdr:cNvSpPr>
      </xdr:nvSpPr>
      <xdr:spPr>
        <a:xfrm>
          <a:off x="7296150" y="1876425"/>
          <a:ext cx="10477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409575</xdr:colOff>
      <xdr:row>6</xdr:row>
      <xdr:rowOff>66675</xdr:rowOff>
    </xdr:from>
    <xdr:to>
      <xdr:col>20</xdr:col>
      <xdr:colOff>533400</xdr:colOff>
      <xdr:row>18</xdr:row>
      <xdr:rowOff>19050</xdr:rowOff>
    </xdr:to>
    <xdr:sp>
      <xdr:nvSpPr>
        <xdr:cNvPr id="135" name="Line 174"/>
        <xdr:cNvSpPr>
          <a:spLocks/>
        </xdr:cNvSpPr>
      </xdr:nvSpPr>
      <xdr:spPr>
        <a:xfrm>
          <a:off x="5781675" y="1876425"/>
          <a:ext cx="12382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18</xdr:row>
      <xdr:rowOff>19050</xdr:rowOff>
    </xdr:from>
    <xdr:to>
      <xdr:col>18</xdr:col>
      <xdr:colOff>123825</xdr:colOff>
      <xdr:row>18</xdr:row>
      <xdr:rowOff>19050</xdr:rowOff>
    </xdr:to>
    <xdr:sp>
      <xdr:nvSpPr>
        <xdr:cNvPr id="136" name="Line 175"/>
        <xdr:cNvSpPr>
          <a:spLocks/>
        </xdr:cNvSpPr>
      </xdr:nvSpPr>
      <xdr:spPr>
        <a:xfrm>
          <a:off x="3981450" y="254317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209550</xdr:colOff>
      <xdr:row>6</xdr:row>
      <xdr:rowOff>66675</xdr:rowOff>
    </xdr:from>
    <xdr:to>
      <xdr:col>19</xdr:col>
      <xdr:colOff>19050</xdr:colOff>
      <xdr:row>6</xdr:row>
      <xdr:rowOff>66675</xdr:rowOff>
    </xdr:to>
    <xdr:sp>
      <xdr:nvSpPr>
        <xdr:cNvPr id="137" name="Line 176"/>
        <xdr:cNvSpPr>
          <a:spLocks/>
        </xdr:cNvSpPr>
      </xdr:nvSpPr>
      <xdr:spPr>
        <a:xfrm>
          <a:off x="4457700" y="1876425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133350</xdr:colOff>
      <xdr:row>18</xdr:row>
      <xdr:rowOff>19050</xdr:rowOff>
    </xdr:from>
    <xdr:to>
      <xdr:col>19</xdr:col>
      <xdr:colOff>504825</xdr:colOff>
      <xdr:row>18</xdr:row>
      <xdr:rowOff>19050</xdr:rowOff>
    </xdr:to>
    <xdr:sp>
      <xdr:nvSpPr>
        <xdr:cNvPr id="138" name="Line 177"/>
        <xdr:cNvSpPr>
          <a:spLocks/>
        </xdr:cNvSpPr>
      </xdr:nvSpPr>
      <xdr:spPr>
        <a:xfrm>
          <a:off x="4943475" y="2543175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47625</xdr:colOff>
      <xdr:row>6</xdr:row>
      <xdr:rowOff>66675</xdr:rowOff>
    </xdr:from>
    <xdr:to>
      <xdr:col>20</xdr:col>
      <xdr:colOff>419100</xdr:colOff>
      <xdr:row>6</xdr:row>
      <xdr:rowOff>66675</xdr:rowOff>
    </xdr:to>
    <xdr:sp>
      <xdr:nvSpPr>
        <xdr:cNvPr id="139" name="Line 178"/>
        <xdr:cNvSpPr>
          <a:spLocks/>
        </xdr:cNvSpPr>
      </xdr:nvSpPr>
      <xdr:spPr>
        <a:xfrm>
          <a:off x="5419725" y="1876425"/>
          <a:ext cx="371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533400</xdr:colOff>
      <xdr:row>18</xdr:row>
      <xdr:rowOff>19050</xdr:rowOff>
    </xdr:from>
    <xdr:to>
      <xdr:col>21</xdr:col>
      <xdr:colOff>361950</xdr:colOff>
      <xdr:row>18</xdr:row>
      <xdr:rowOff>19050</xdr:rowOff>
    </xdr:to>
    <xdr:sp>
      <xdr:nvSpPr>
        <xdr:cNvPr id="140" name="Line 179"/>
        <xdr:cNvSpPr>
          <a:spLocks/>
        </xdr:cNvSpPr>
      </xdr:nvSpPr>
      <xdr:spPr>
        <a:xfrm>
          <a:off x="5905500" y="254317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466725</xdr:colOff>
      <xdr:row>6</xdr:row>
      <xdr:rowOff>66675</xdr:rowOff>
    </xdr:from>
    <xdr:to>
      <xdr:col>23</xdr:col>
      <xdr:colOff>9525</xdr:colOff>
      <xdr:row>6</xdr:row>
      <xdr:rowOff>66675</xdr:rowOff>
    </xdr:to>
    <xdr:sp>
      <xdr:nvSpPr>
        <xdr:cNvPr id="141" name="Line 180"/>
        <xdr:cNvSpPr>
          <a:spLocks/>
        </xdr:cNvSpPr>
      </xdr:nvSpPr>
      <xdr:spPr>
        <a:xfrm>
          <a:off x="6400800" y="187642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514350</xdr:colOff>
      <xdr:row>6</xdr:row>
      <xdr:rowOff>66675</xdr:rowOff>
    </xdr:from>
    <xdr:to>
      <xdr:col>27</xdr:col>
      <xdr:colOff>38100</xdr:colOff>
      <xdr:row>18</xdr:row>
      <xdr:rowOff>28575</xdr:rowOff>
    </xdr:to>
    <xdr:sp>
      <xdr:nvSpPr>
        <xdr:cNvPr id="142" name="Line 181"/>
        <xdr:cNvSpPr>
          <a:spLocks/>
        </xdr:cNvSpPr>
      </xdr:nvSpPr>
      <xdr:spPr>
        <a:xfrm>
          <a:off x="8239125" y="1876425"/>
          <a:ext cx="8572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333375</xdr:colOff>
      <xdr:row>6</xdr:row>
      <xdr:rowOff>66675</xdr:rowOff>
    </xdr:from>
    <xdr:to>
      <xdr:col>28</xdr:col>
      <xdr:colOff>428625</xdr:colOff>
      <xdr:row>18</xdr:row>
      <xdr:rowOff>28575</xdr:rowOff>
    </xdr:to>
    <xdr:sp>
      <xdr:nvSpPr>
        <xdr:cNvPr id="143" name="Line 182"/>
        <xdr:cNvSpPr>
          <a:spLocks/>
        </xdr:cNvSpPr>
      </xdr:nvSpPr>
      <xdr:spPr>
        <a:xfrm>
          <a:off x="9182100" y="1876425"/>
          <a:ext cx="9525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47625</xdr:colOff>
      <xdr:row>6</xdr:row>
      <xdr:rowOff>66675</xdr:rowOff>
    </xdr:from>
    <xdr:to>
      <xdr:col>26</xdr:col>
      <xdr:colOff>142875</xdr:colOff>
      <xdr:row>18</xdr:row>
      <xdr:rowOff>19050</xdr:rowOff>
    </xdr:to>
    <xdr:sp>
      <xdr:nvSpPr>
        <xdr:cNvPr id="144" name="Line 183"/>
        <xdr:cNvSpPr>
          <a:spLocks/>
        </xdr:cNvSpPr>
      </xdr:nvSpPr>
      <xdr:spPr>
        <a:xfrm flipH="1">
          <a:off x="7772400" y="1876425"/>
          <a:ext cx="952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419100</xdr:colOff>
      <xdr:row>6</xdr:row>
      <xdr:rowOff>66675</xdr:rowOff>
    </xdr:from>
    <xdr:to>
      <xdr:col>27</xdr:col>
      <xdr:colOff>514350</xdr:colOff>
      <xdr:row>18</xdr:row>
      <xdr:rowOff>19050</xdr:rowOff>
    </xdr:to>
    <xdr:sp>
      <xdr:nvSpPr>
        <xdr:cNvPr id="145" name="Line 184"/>
        <xdr:cNvSpPr>
          <a:spLocks/>
        </xdr:cNvSpPr>
      </xdr:nvSpPr>
      <xdr:spPr>
        <a:xfrm flipH="1">
          <a:off x="8705850" y="1876425"/>
          <a:ext cx="952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66675</xdr:rowOff>
    </xdr:from>
    <xdr:to>
      <xdr:col>25</xdr:col>
      <xdr:colOff>133350</xdr:colOff>
      <xdr:row>6</xdr:row>
      <xdr:rowOff>66675</xdr:rowOff>
    </xdr:to>
    <xdr:sp>
      <xdr:nvSpPr>
        <xdr:cNvPr id="146" name="Line 185"/>
        <xdr:cNvSpPr>
          <a:spLocks/>
        </xdr:cNvSpPr>
      </xdr:nvSpPr>
      <xdr:spPr>
        <a:xfrm>
          <a:off x="6896100" y="1876425"/>
          <a:ext cx="400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238125</xdr:colOff>
      <xdr:row>18</xdr:row>
      <xdr:rowOff>19050</xdr:rowOff>
    </xdr:from>
    <xdr:to>
      <xdr:col>26</xdr:col>
      <xdr:colOff>57150</xdr:colOff>
      <xdr:row>18</xdr:row>
      <xdr:rowOff>19050</xdr:rowOff>
    </xdr:to>
    <xdr:sp>
      <xdr:nvSpPr>
        <xdr:cNvPr id="147" name="Line 186"/>
        <xdr:cNvSpPr>
          <a:spLocks/>
        </xdr:cNvSpPr>
      </xdr:nvSpPr>
      <xdr:spPr>
        <a:xfrm>
          <a:off x="7400925" y="254317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66675</xdr:rowOff>
    </xdr:from>
    <xdr:to>
      <xdr:col>26</xdr:col>
      <xdr:colOff>523875</xdr:colOff>
      <xdr:row>6</xdr:row>
      <xdr:rowOff>66675</xdr:rowOff>
    </xdr:to>
    <xdr:sp>
      <xdr:nvSpPr>
        <xdr:cNvPr id="148" name="Line 187"/>
        <xdr:cNvSpPr>
          <a:spLocks/>
        </xdr:cNvSpPr>
      </xdr:nvSpPr>
      <xdr:spPr>
        <a:xfrm>
          <a:off x="7867650" y="187642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38100</xdr:colOff>
      <xdr:row>18</xdr:row>
      <xdr:rowOff>19050</xdr:rowOff>
    </xdr:from>
    <xdr:to>
      <xdr:col>27</xdr:col>
      <xdr:colOff>428625</xdr:colOff>
      <xdr:row>18</xdr:row>
      <xdr:rowOff>19050</xdr:rowOff>
    </xdr:to>
    <xdr:sp>
      <xdr:nvSpPr>
        <xdr:cNvPr id="149" name="Line 188"/>
        <xdr:cNvSpPr>
          <a:spLocks/>
        </xdr:cNvSpPr>
      </xdr:nvSpPr>
      <xdr:spPr>
        <a:xfrm>
          <a:off x="8324850" y="2543175"/>
          <a:ext cx="390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514350</xdr:colOff>
      <xdr:row>6</xdr:row>
      <xdr:rowOff>66675</xdr:rowOff>
    </xdr:from>
    <xdr:to>
      <xdr:col>28</xdr:col>
      <xdr:colOff>333375</xdr:colOff>
      <xdr:row>6</xdr:row>
      <xdr:rowOff>66675</xdr:rowOff>
    </xdr:to>
    <xdr:sp>
      <xdr:nvSpPr>
        <xdr:cNvPr id="150" name="Line 189"/>
        <xdr:cNvSpPr>
          <a:spLocks/>
        </xdr:cNvSpPr>
      </xdr:nvSpPr>
      <xdr:spPr>
        <a:xfrm>
          <a:off x="8801100" y="1876425"/>
          <a:ext cx="3810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428625</xdr:colOff>
      <xdr:row>18</xdr:row>
      <xdr:rowOff>19050</xdr:rowOff>
    </xdr:from>
    <xdr:to>
      <xdr:col>30</xdr:col>
      <xdr:colOff>0</xdr:colOff>
      <xdr:row>18</xdr:row>
      <xdr:rowOff>19050</xdr:rowOff>
    </xdr:to>
    <xdr:sp>
      <xdr:nvSpPr>
        <xdr:cNvPr id="151" name="Line 190"/>
        <xdr:cNvSpPr>
          <a:spLocks/>
        </xdr:cNvSpPr>
      </xdr:nvSpPr>
      <xdr:spPr>
        <a:xfrm>
          <a:off x="9277350" y="2543175"/>
          <a:ext cx="409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95250</xdr:colOff>
      <xdr:row>35</xdr:row>
      <xdr:rowOff>247650</xdr:rowOff>
    </xdr:from>
    <xdr:to>
      <xdr:col>9</xdr:col>
      <xdr:colOff>0</xdr:colOff>
      <xdr:row>36</xdr:row>
      <xdr:rowOff>57150</xdr:rowOff>
    </xdr:to>
    <xdr:sp>
      <xdr:nvSpPr>
        <xdr:cNvPr id="152" name="Line 197"/>
        <xdr:cNvSpPr>
          <a:spLocks/>
        </xdr:cNvSpPr>
      </xdr:nvSpPr>
      <xdr:spPr>
        <a:xfrm flipH="1" flipV="1">
          <a:off x="1790700" y="62198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247650</xdr:rowOff>
    </xdr:from>
    <xdr:to>
      <xdr:col>12</xdr:col>
      <xdr:colOff>95250</xdr:colOff>
      <xdr:row>36</xdr:row>
      <xdr:rowOff>57150</xdr:rowOff>
    </xdr:to>
    <xdr:sp>
      <xdr:nvSpPr>
        <xdr:cNvPr id="153" name="Line 198"/>
        <xdr:cNvSpPr>
          <a:spLocks/>
        </xdr:cNvSpPr>
      </xdr:nvSpPr>
      <xdr:spPr>
        <a:xfrm flipV="1">
          <a:off x="2886075" y="62198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66675</xdr:rowOff>
    </xdr:from>
    <xdr:to>
      <xdr:col>9</xdr:col>
      <xdr:colOff>295275</xdr:colOff>
      <xdr:row>18</xdr:row>
      <xdr:rowOff>19050</xdr:rowOff>
    </xdr:to>
    <xdr:sp>
      <xdr:nvSpPr>
        <xdr:cNvPr id="154" name="Line 200"/>
        <xdr:cNvSpPr>
          <a:spLocks/>
        </xdr:cNvSpPr>
      </xdr:nvSpPr>
      <xdr:spPr>
        <a:xfrm>
          <a:off x="212407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66675</xdr:rowOff>
    </xdr:from>
    <xdr:to>
      <xdr:col>10</xdr:col>
      <xdr:colOff>257175</xdr:colOff>
      <xdr:row>18</xdr:row>
      <xdr:rowOff>19050</xdr:rowOff>
    </xdr:to>
    <xdr:sp>
      <xdr:nvSpPr>
        <xdr:cNvPr id="155" name="Line 201"/>
        <xdr:cNvSpPr>
          <a:spLocks/>
        </xdr:cNvSpPr>
      </xdr:nvSpPr>
      <xdr:spPr>
        <a:xfrm>
          <a:off x="241935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180975</xdr:colOff>
      <xdr:row>6</xdr:row>
      <xdr:rowOff>66675</xdr:rowOff>
    </xdr:from>
    <xdr:to>
      <xdr:col>11</xdr:col>
      <xdr:colOff>238125</xdr:colOff>
      <xdr:row>18</xdr:row>
      <xdr:rowOff>19050</xdr:rowOff>
    </xdr:to>
    <xdr:sp>
      <xdr:nvSpPr>
        <xdr:cNvPr id="156" name="Line 202"/>
        <xdr:cNvSpPr>
          <a:spLocks/>
        </xdr:cNvSpPr>
      </xdr:nvSpPr>
      <xdr:spPr>
        <a:xfrm>
          <a:off x="273367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161925</xdr:colOff>
      <xdr:row>6</xdr:row>
      <xdr:rowOff>66675</xdr:rowOff>
    </xdr:from>
    <xdr:to>
      <xdr:col>12</xdr:col>
      <xdr:colOff>219075</xdr:colOff>
      <xdr:row>18</xdr:row>
      <xdr:rowOff>19050</xdr:rowOff>
    </xdr:to>
    <xdr:sp>
      <xdr:nvSpPr>
        <xdr:cNvPr id="157" name="Line 203"/>
        <xdr:cNvSpPr>
          <a:spLocks/>
        </xdr:cNvSpPr>
      </xdr:nvSpPr>
      <xdr:spPr>
        <a:xfrm>
          <a:off x="30480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133350</xdr:colOff>
      <xdr:row>6</xdr:row>
      <xdr:rowOff>66675</xdr:rowOff>
    </xdr:from>
    <xdr:to>
      <xdr:col>13</xdr:col>
      <xdr:colOff>190500</xdr:colOff>
      <xdr:row>18</xdr:row>
      <xdr:rowOff>19050</xdr:rowOff>
    </xdr:to>
    <xdr:sp>
      <xdr:nvSpPr>
        <xdr:cNvPr id="158" name="Line 204"/>
        <xdr:cNvSpPr>
          <a:spLocks/>
        </xdr:cNvSpPr>
      </xdr:nvSpPr>
      <xdr:spPr>
        <a:xfrm>
          <a:off x="33528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66675</xdr:rowOff>
    </xdr:from>
    <xdr:to>
      <xdr:col>10</xdr:col>
      <xdr:colOff>104775</xdr:colOff>
      <xdr:row>18</xdr:row>
      <xdr:rowOff>19050</xdr:rowOff>
    </xdr:to>
    <xdr:sp>
      <xdr:nvSpPr>
        <xdr:cNvPr id="159" name="Line 205"/>
        <xdr:cNvSpPr>
          <a:spLocks/>
        </xdr:cNvSpPr>
      </xdr:nvSpPr>
      <xdr:spPr>
        <a:xfrm flipH="1">
          <a:off x="226695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66675</xdr:rowOff>
    </xdr:from>
    <xdr:to>
      <xdr:col>11</xdr:col>
      <xdr:colOff>76200</xdr:colOff>
      <xdr:row>18</xdr:row>
      <xdr:rowOff>19050</xdr:rowOff>
    </xdr:to>
    <xdr:sp>
      <xdr:nvSpPr>
        <xdr:cNvPr id="160" name="Line 206"/>
        <xdr:cNvSpPr>
          <a:spLocks/>
        </xdr:cNvSpPr>
      </xdr:nvSpPr>
      <xdr:spPr>
        <a:xfrm flipH="1">
          <a:off x="257175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314325</xdr:colOff>
      <xdr:row>6</xdr:row>
      <xdr:rowOff>66675</xdr:rowOff>
    </xdr:from>
    <xdr:to>
      <xdr:col>13</xdr:col>
      <xdr:colOff>38100</xdr:colOff>
      <xdr:row>18</xdr:row>
      <xdr:rowOff>19050</xdr:rowOff>
    </xdr:to>
    <xdr:sp>
      <xdr:nvSpPr>
        <xdr:cNvPr id="161" name="Line 207"/>
        <xdr:cNvSpPr>
          <a:spLocks/>
        </xdr:cNvSpPr>
      </xdr:nvSpPr>
      <xdr:spPr>
        <a:xfrm flipH="1">
          <a:off x="32004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276225</xdr:colOff>
      <xdr:row>6</xdr:row>
      <xdr:rowOff>57150</xdr:rowOff>
    </xdr:from>
    <xdr:to>
      <xdr:col>14</xdr:col>
      <xdr:colOff>0</xdr:colOff>
      <xdr:row>18</xdr:row>
      <xdr:rowOff>19050</xdr:rowOff>
    </xdr:to>
    <xdr:sp>
      <xdr:nvSpPr>
        <xdr:cNvPr id="162" name="Line 208"/>
        <xdr:cNvSpPr>
          <a:spLocks/>
        </xdr:cNvSpPr>
      </xdr:nvSpPr>
      <xdr:spPr>
        <a:xfrm flipH="1">
          <a:off x="3495675" y="1866900"/>
          <a:ext cx="5715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9525</xdr:colOff>
      <xdr:row>6</xdr:row>
      <xdr:rowOff>66675</xdr:rowOff>
    </xdr:from>
    <xdr:to>
      <xdr:col>12</xdr:col>
      <xdr:colOff>66675</xdr:colOff>
      <xdr:row>18</xdr:row>
      <xdr:rowOff>19050</xdr:rowOff>
    </xdr:to>
    <xdr:sp>
      <xdr:nvSpPr>
        <xdr:cNvPr id="163" name="Line 209"/>
        <xdr:cNvSpPr>
          <a:spLocks/>
        </xdr:cNvSpPr>
      </xdr:nvSpPr>
      <xdr:spPr>
        <a:xfrm flipH="1">
          <a:off x="28956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57150</xdr:rowOff>
    </xdr:from>
    <xdr:to>
      <xdr:col>16</xdr:col>
      <xdr:colOff>0</xdr:colOff>
      <xdr:row>6</xdr:row>
      <xdr:rowOff>57150</xdr:rowOff>
    </xdr:to>
    <xdr:sp>
      <xdr:nvSpPr>
        <xdr:cNvPr id="164" name="Line 210"/>
        <xdr:cNvSpPr>
          <a:spLocks/>
        </xdr:cNvSpPr>
      </xdr:nvSpPr>
      <xdr:spPr>
        <a:xfrm>
          <a:off x="3552825" y="1866900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238125</xdr:colOff>
      <xdr:row>6</xdr:row>
      <xdr:rowOff>66675</xdr:rowOff>
    </xdr:from>
    <xdr:to>
      <xdr:col>35</xdr:col>
      <xdr:colOff>295275</xdr:colOff>
      <xdr:row>18</xdr:row>
      <xdr:rowOff>19050</xdr:rowOff>
    </xdr:to>
    <xdr:sp>
      <xdr:nvSpPr>
        <xdr:cNvPr id="165" name="Line 211"/>
        <xdr:cNvSpPr>
          <a:spLocks/>
        </xdr:cNvSpPr>
      </xdr:nvSpPr>
      <xdr:spPr>
        <a:xfrm>
          <a:off x="110109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266700</xdr:colOff>
      <xdr:row>6</xdr:row>
      <xdr:rowOff>66675</xdr:rowOff>
    </xdr:from>
    <xdr:to>
      <xdr:col>34</xdr:col>
      <xdr:colOff>323850</xdr:colOff>
      <xdr:row>18</xdr:row>
      <xdr:rowOff>19050</xdr:rowOff>
    </xdr:to>
    <xdr:sp>
      <xdr:nvSpPr>
        <xdr:cNvPr id="166" name="Line 212"/>
        <xdr:cNvSpPr>
          <a:spLocks/>
        </xdr:cNvSpPr>
      </xdr:nvSpPr>
      <xdr:spPr>
        <a:xfrm>
          <a:off x="107061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285750</xdr:colOff>
      <xdr:row>6</xdr:row>
      <xdr:rowOff>66675</xdr:rowOff>
    </xdr:from>
    <xdr:to>
      <xdr:col>34</xdr:col>
      <xdr:colOff>9525</xdr:colOff>
      <xdr:row>18</xdr:row>
      <xdr:rowOff>19050</xdr:rowOff>
    </xdr:to>
    <xdr:sp>
      <xdr:nvSpPr>
        <xdr:cNvPr id="167" name="Line 213"/>
        <xdr:cNvSpPr>
          <a:spLocks/>
        </xdr:cNvSpPr>
      </xdr:nvSpPr>
      <xdr:spPr>
        <a:xfrm>
          <a:off x="1039177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66675</xdr:rowOff>
    </xdr:from>
    <xdr:to>
      <xdr:col>33</xdr:col>
      <xdr:colOff>57150</xdr:colOff>
      <xdr:row>18</xdr:row>
      <xdr:rowOff>19050</xdr:rowOff>
    </xdr:to>
    <xdr:sp>
      <xdr:nvSpPr>
        <xdr:cNvPr id="168" name="Line 214"/>
        <xdr:cNvSpPr>
          <a:spLocks/>
        </xdr:cNvSpPr>
      </xdr:nvSpPr>
      <xdr:spPr>
        <a:xfrm>
          <a:off x="1010602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142875</xdr:colOff>
      <xdr:row>6</xdr:row>
      <xdr:rowOff>66675</xdr:rowOff>
    </xdr:from>
    <xdr:to>
      <xdr:col>33</xdr:col>
      <xdr:colOff>200025</xdr:colOff>
      <xdr:row>18</xdr:row>
      <xdr:rowOff>19050</xdr:rowOff>
    </xdr:to>
    <xdr:sp>
      <xdr:nvSpPr>
        <xdr:cNvPr id="169" name="Line 215"/>
        <xdr:cNvSpPr>
          <a:spLocks/>
        </xdr:cNvSpPr>
      </xdr:nvSpPr>
      <xdr:spPr>
        <a:xfrm flipH="1">
          <a:off x="102489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114300</xdr:colOff>
      <xdr:row>6</xdr:row>
      <xdr:rowOff>66675</xdr:rowOff>
    </xdr:from>
    <xdr:to>
      <xdr:col>34</xdr:col>
      <xdr:colOff>171450</xdr:colOff>
      <xdr:row>18</xdr:row>
      <xdr:rowOff>19050</xdr:rowOff>
    </xdr:to>
    <xdr:sp>
      <xdr:nvSpPr>
        <xdr:cNvPr id="170" name="Line 216"/>
        <xdr:cNvSpPr>
          <a:spLocks/>
        </xdr:cNvSpPr>
      </xdr:nvSpPr>
      <xdr:spPr>
        <a:xfrm flipH="1">
          <a:off x="105537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85725</xdr:colOff>
      <xdr:row>6</xdr:row>
      <xdr:rowOff>66675</xdr:rowOff>
    </xdr:from>
    <xdr:to>
      <xdr:col>35</xdr:col>
      <xdr:colOff>142875</xdr:colOff>
      <xdr:row>18</xdr:row>
      <xdr:rowOff>19050</xdr:rowOff>
    </xdr:to>
    <xdr:sp>
      <xdr:nvSpPr>
        <xdr:cNvPr id="171" name="Line 217"/>
        <xdr:cNvSpPr>
          <a:spLocks/>
        </xdr:cNvSpPr>
      </xdr:nvSpPr>
      <xdr:spPr>
        <a:xfrm flipH="1">
          <a:off x="108585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66675</xdr:colOff>
      <xdr:row>6</xdr:row>
      <xdr:rowOff>66675</xdr:rowOff>
    </xdr:from>
    <xdr:to>
      <xdr:col>36</xdr:col>
      <xdr:colOff>123825</xdr:colOff>
      <xdr:row>18</xdr:row>
      <xdr:rowOff>19050</xdr:rowOff>
    </xdr:to>
    <xdr:sp>
      <xdr:nvSpPr>
        <xdr:cNvPr id="172" name="Line 218"/>
        <xdr:cNvSpPr>
          <a:spLocks/>
        </xdr:cNvSpPr>
      </xdr:nvSpPr>
      <xdr:spPr>
        <a:xfrm flipH="1">
          <a:off x="1117282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219075</xdr:colOff>
      <xdr:row>6</xdr:row>
      <xdr:rowOff>66675</xdr:rowOff>
    </xdr:from>
    <xdr:to>
      <xdr:col>36</xdr:col>
      <xdr:colOff>276225</xdr:colOff>
      <xdr:row>18</xdr:row>
      <xdr:rowOff>19050</xdr:rowOff>
    </xdr:to>
    <xdr:sp>
      <xdr:nvSpPr>
        <xdr:cNvPr id="173" name="Line 219"/>
        <xdr:cNvSpPr>
          <a:spLocks/>
        </xdr:cNvSpPr>
      </xdr:nvSpPr>
      <xdr:spPr>
        <a:xfrm>
          <a:off x="1132522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66675</xdr:rowOff>
    </xdr:from>
    <xdr:to>
      <xdr:col>33</xdr:col>
      <xdr:colOff>0</xdr:colOff>
      <xdr:row>6</xdr:row>
      <xdr:rowOff>66675</xdr:rowOff>
    </xdr:to>
    <xdr:sp>
      <xdr:nvSpPr>
        <xdr:cNvPr id="174" name="Line 220"/>
        <xdr:cNvSpPr>
          <a:spLocks/>
        </xdr:cNvSpPr>
      </xdr:nvSpPr>
      <xdr:spPr>
        <a:xfrm>
          <a:off x="9810750" y="1876425"/>
          <a:ext cx="2952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76200</xdr:colOff>
      <xdr:row>22</xdr:row>
      <xdr:rowOff>19050</xdr:rowOff>
    </xdr:from>
    <xdr:to>
      <xdr:col>9</xdr:col>
      <xdr:colOff>28575</xdr:colOff>
      <xdr:row>23</xdr:row>
      <xdr:rowOff>123825</xdr:rowOff>
    </xdr:to>
    <xdr:sp>
      <xdr:nvSpPr>
        <xdr:cNvPr id="175" name="Text 1911"/>
        <xdr:cNvSpPr txBox="1">
          <a:spLocks noChangeArrowheads="1"/>
        </xdr:cNvSpPr>
      </xdr:nvSpPr>
      <xdr:spPr>
        <a:xfrm>
          <a:off x="895350" y="3257550"/>
          <a:ext cx="10191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SPIRAL STR.</a:t>
          </a:r>
        </a:p>
      </xdr:txBody>
    </xdr:sp>
    <xdr:clientData/>
  </xdr:twoCellAnchor>
  <xdr:twoCellAnchor>
    <xdr:from>
      <xdr:col>38</xdr:col>
      <xdr:colOff>95250</xdr:colOff>
      <xdr:row>22</xdr:row>
      <xdr:rowOff>19050</xdr:rowOff>
    </xdr:from>
    <xdr:to>
      <xdr:col>44</xdr:col>
      <xdr:colOff>47625</xdr:colOff>
      <xdr:row>23</xdr:row>
      <xdr:rowOff>123825</xdr:rowOff>
    </xdr:to>
    <xdr:sp>
      <xdr:nvSpPr>
        <xdr:cNvPr id="176" name="Text 1913"/>
        <xdr:cNvSpPr txBox="1">
          <a:spLocks noChangeArrowheads="1"/>
        </xdr:cNvSpPr>
      </xdr:nvSpPr>
      <xdr:spPr>
        <a:xfrm>
          <a:off x="11868150" y="3257550"/>
          <a:ext cx="101917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SPIRAL STR.</a:t>
          </a:r>
        </a:p>
      </xdr:txBody>
    </xdr:sp>
    <xdr:clientData/>
  </xdr:twoCellAnchor>
  <xdr:twoCellAnchor>
    <xdr:from>
      <xdr:col>42</xdr:col>
      <xdr:colOff>76200</xdr:colOff>
      <xdr:row>45</xdr:row>
      <xdr:rowOff>66675</xdr:rowOff>
    </xdr:from>
    <xdr:to>
      <xdr:col>44</xdr:col>
      <xdr:colOff>476250</xdr:colOff>
      <xdr:row>46</xdr:row>
      <xdr:rowOff>123825</xdr:rowOff>
    </xdr:to>
    <xdr:sp>
      <xdr:nvSpPr>
        <xdr:cNvPr id="177" name="Text 1991"/>
        <xdr:cNvSpPr txBox="1">
          <a:spLocks noChangeArrowheads="1"/>
        </xdr:cNvSpPr>
      </xdr:nvSpPr>
      <xdr:spPr>
        <a:xfrm>
          <a:off x="12611100" y="8515350"/>
          <a:ext cx="7048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กทม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.</a:t>
          </a:r>
        </a:p>
      </xdr:txBody>
    </xdr:sp>
    <xdr:clientData/>
  </xdr:twoCellAnchor>
  <xdr:twoCellAnchor>
    <xdr:from>
      <xdr:col>26</xdr:col>
      <xdr:colOff>104775</xdr:colOff>
      <xdr:row>42</xdr:row>
      <xdr:rowOff>76200</xdr:rowOff>
    </xdr:from>
    <xdr:to>
      <xdr:col>28</xdr:col>
      <xdr:colOff>295275</xdr:colOff>
      <xdr:row>43</xdr:row>
      <xdr:rowOff>152400</xdr:rowOff>
    </xdr:to>
    <xdr:sp>
      <xdr:nvSpPr>
        <xdr:cNvPr id="178" name="Text 2009"/>
        <xdr:cNvSpPr txBox="1">
          <a:spLocks noChangeArrowheads="1"/>
        </xdr:cNvSpPr>
      </xdr:nvSpPr>
      <xdr:spPr>
        <a:xfrm>
          <a:off x="7829550" y="7724775"/>
          <a:ext cx="13144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BATTER  PILE
</a:t>
          </a:r>
          <a:r>
            <a:rPr lang="en-US" cap="none" sz="18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</a:t>
          </a:r>
        </a:p>
      </xdr:txBody>
    </xdr:sp>
    <xdr:clientData/>
  </xdr:twoCellAnchor>
  <xdr:twoCellAnchor>
    <xdr:from>
      <xdr:col>9</xdr:col>
      <xdr:colOff>95250</xdr:colOff>
      <xdr:row>6</xdr:row>
      <xdr:rowOff>66675</xdr:rowOff>
    </xdr:from>
    <xdr:to>
      <xdr:col>9</xdr:col>
      <xdr:colOff>152400</xdr:colOff>
      <xdr:row>18</xdr:row>
      <xdr:rowOff>19050</xdr:rowOff>
    </xdr:to>
    <xdr:sp>
      <xdr:nvSpPr>
        <xdr:cNvPr id="179" name="Line 253"/>
        <xdr:cNvSpPr>
          <a:spLocks/>
        </xdr:cNvSpPr>
      </xdr:nvSpPr>
      <xdr:spPr>
        <a:xfrm flipH="1">
          <a:off x="1981200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152400</xdr:colOff>
      <xdr:row>6</xdr:row>
      <xdr:rowOff>66675</xdr:rowOff>
    </xdr:from>
    <xdr:to>
      <xdr:col>9</xdr:col>
      <xdr:colOff>247650</xdr:colOff>
      <xdr:row>6</xdr:row>
      <xdr:rowOff>66675</xdr:rowOff>
    </xdr:to>
    <xdr:sp>
      <xdr:nvSpPr>
        <xdr:cNvPr id="180" name="Line 254"/>
        <xdr:cNvSpPr>
          <a:spLocks/>
        </xdr:cNvSpPr>
      </xdr:nvSpPr>
      <xdr:spPr>
        <a:xfrm>
          <a:off x="2038350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66675</xdr:rowOff>
    </xdr:from>
    <xdr:to>
      <xdr:col>10</xdr:col>
      <xdr:colOff>200025</xdr:colOff>
      <xdr:row>6</xdr:row>
      <xdr:rowOff>66675</xdr:rowOff>
    </xdr:to>
    <xdr:sp>
      <xdr:nvSpPr>
        <xdr:cNvPr id="181" name="Line 255"/>
        <xdr:cNvSpPr>
          <a:spLocks/>
        </xdr:cNvSpPr>
      </xdr:nvSpPr>
      <xdr:spPr>
        <a:xfrm>
          <a:off x="2324100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76200</xdr:colOff>
      <xdr:row>6</xdr:row>
      <xdr:rowOff>66675</xdr:rowOff>
    </xdr:from>
    <xdr:to>
      <xdr:col>11</xdr:col>
      <xdr:colOff>180975</xdr:colOff>
      <xdr:row>6</xdr:row>
      <xdr:rowOff>66675</xdr:rowOff>
    </xdr:to>
    <xdr:sp>
      <xdr:nvSpPr>
        <xdr:cNvPr id="182" name="Line 256"/>
        <xdr:cNvSpPr>
          <a:spLocks/>
        </xdr:cNvSpPr>
      </xdr:nvSpPr>
      <xdr:spPr>
        <a:xfrm>
          <a:off x="2628900" y="187642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66675</xdr:rowOff>
    </xdr:from>
    <xdr:to>
      <xdr:col>12</xdr:col>
      <xdr:colOff>161925</xdr:colOff>
      <xdr:row>6</xdr:row>
      <xdr:rowOff>66675</xdr:rowOff>
    </xdr:to>
    <xdr:sp>
      <xdr:nvSpPr>
        <xdr:cNvPr id="183" name="Line 257"/>
        <xdr:cNvSpPr>
          <a:spLocks/>
        </xdr:cNvSpPr>
      </xdr:nvSpPr>
      <xdr:spPr>
        <a:xfrm>
          <a:off x="2952750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38100</xdr:colOff>
      <xdr:row>6</xdr:row>
      <xdr:rowOff>66675</xdr:rowOff>
    </xdr:from>
    <xdr:to>
      <xdr:col>13</xdr:col>
      <xdr:colOff>133350</xdr:colOff>
      <xdr:row>6</xdr:row>
      <xdr:rowOff>66675</xdr:rowOff>
    </xdr:to>
    <xdr:sp>
      <xdr:nvSpPr>
        <xdr:cNvPr id="184" name="Line 258"/>
        <xdr:cNvSpPr>
          <a:spLocks/>
        </xdr:cNvSpPr>
      </xdr:nvSpPr>
      <xdr:spPr>
        <a:xfrm>
          <a:off x="3257550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19050</xdr:rowOff>
    </xdr:from>
    <xdr:to>
      <xdr:col>9</xdr:col>
      <xdr:colOff>104775</xdr:colOff>
      <xdr:row>18</xdr:row>
      <xdr:rowOff>19050</xdr:rowOff>
    </xdr:to>
    <xdr:sp>
      <xdr:nvSpPr>
        <xdr:cNvPr id="185" name="Line 259"/>
        <xdr:cNvSpPr>
          <a:spLocks/>
        </xdr:cNvSpPr>
      </xdr:nvSpPr>
      <xdr:spPr>
        <a:xfrm>
          <a:off x="1885950" y="254317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295275</xdr:colOff>
      <xdr:row>18</xdr:row>
      <xdr:rowOff>19050</xdr:rowOff>
    </xdr:from>
    <xdr:to>
      <xdr:col>10</xdr:col>
      <xdr:colOff>47625</xdr:colOff>
      <xdr:row>18</xdr:row>
      <xdr:rowOff>19050</xdr:rowOff>
    </xdr:to>
    <xdr:sp>
      <xdr:nvSpPr>
        <xdr:cNvPr id="186" name="Line 260"/>
        <xdr:cNvSpPr>
          <a:spLocks/>
        </xdr:cNvSpPr>
      </xdr:nvSpPr>
      <xdr:spPr>
        <a:xfrm>
          <a:off x="2181225" y="254317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257175</xdr:colOff>
      <xdr:row>18</xdr:row>
      <xdr:rowOff>19050</xdr:rowOff>
    </xdr:from>
    <xdr:to>
      <xdr:col>11</xdr:col>
      <xdr:colOff>19050</xdr:colOff>
      <xdr:row>18</xdr:row>
      <xdr:rowOff>19050</xdr:rowOff>
    </xdr:to>
    <xdr:sp>
      <xdr:nvSpPr>
        <xdr:cNvPr id="187" name="Line 261"/>
        <xdr:cNvSpPr>
          <a:spLocks/>
        </xdr:cNvSpPr>
      </xdr:nvSpPr>
      <xdr:spPr>
        <a:xfrm>
          <a:off x="2476500" y="25431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238125</xdr:colOff>
      <xdr:row>18</xdr:row>
      <xdr:rowOff>19050</xdr:rowOff>
    </xdr:from>
    <xdr:to>
      <xdr:col>12</xdr:col>
      <xdr:colOff>19050</xdr:colOff>
      <xdr:row>18</xdr:row>
      <xdr:rowOff>19050</xdr:rowOff>
    </xdr:to>
    <xdr:sp>
      <xdr:nvSpPr>
        <xdr:cNvPr id="188" name="Line 262"/>
        <xdr:cNvSpPr>
          <a:spLocks/>
        </xdr:cNvSpPr>
      </xdr:nvSpPr>
      <xdr:spPr>
        <a:xfrm>
          <a:off x="2790825" y="2543175"/>
          <a:ext cx="114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219075</xdr:colOff>
      <xdr:row>18</xdr:row>
      <xdr:rowOff>19050</xdr:rowOff>
    </xdr:from>
    <xdr:to>
      <xdr:col>12</xdr:col>
      <xdr:colOff>314325</xdr:colOff>
      <xdr:row>18</xdr:row>
      <xdr:rowOff>19050</xdr:rowOff>
    </xdr:to>
    <xdr:sp>
      <xdr:nvSpPr>
        <xdr:cNvPr id="189" name="Line 263"/>
        <xdr:cNvSpPr>
          <a:spLocks/>
        </xdr:cNvSpPr>
      </xdr:nvSpPr>
      <xdr:spPr>
        <a:xfrm>
          <a:off x="3105150" y="25431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190500</xdr:colOff>
      <xdr:row>18</xdr:row>
      <xdr:rowOff>19050</xdr:rowOff>
    </xdr:from>
    <xdr:to>
      <xdr:col>13</xdr:col>
      <xdr:colOff>276225</xdr:colOff>
      <xdr:row>18</xdr:row>
      <xdr:rowOff>19050</xdr:rowOff>
    </xdr:to>
    <xdr:sp>
      <xdr:nvSpPr>
        <xdr:cNvPr id="190" name="Line 264"/>
        <xdr:cNvSpPr>
          <a:spLocks/>
        </xdr:cNvSpPr>
      </xdr:nvSpPr>
      <xdr:spPr>
        <a:xfrm>
          <a:off x="3409950" y="254317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38100</xdr:colOff>
      <xdr:row>6</xdr:row>
      <xdr:rowOff>66675</xdr:rowOff>
    </xdr:from>
    <xdr:to>
      <xdr:col>37</xdr:col>
      <xdr:colOff>95250</xdr:colOff>
      <xdr:row>18</xdr:row>
      <xdr:rowOff>19050</xdr:rowOff>
    </xdr:to>
    <xdr:sp>
      <xdr:nvSpPr>
        <xdr:cNvPr id="191" name="Line 265"/>
        <xdr:cNvSpPr>
          <a:spLocks/>
        </xdr:cNvSpPr>
      </xdr:nvSpPr>
      <xdr:spPr>
        <a:xfrm flipH="1">
          <a:off x="1147762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190500</xdr:colOff>
      <xdr:row>6</xdr:row>
      <xdr:rowOff>66675</xdr:rowOff>
    </xdr:from>
    <xdr:to>
      <xdr:col>37</xdr:col>
      <xdr:colOff>247650</xdr:colOff>
      <xdr:row>18</xdr:row>
      <xdr:rowOff>19050</xdr:rowOff>
    </xdr:to>
    <xdr:sp>
      <xdr:nvSpPr>
        <xdr:cNvPr id="192" name="Line 266"/>
        <xdr:cNvSpPr>
          <a:spLocks/>
        </xdr:cNvSpPr>
      </xdr:nvSpPr>
      <xdr:spPr>
        <a:xfrm>
          <a:off x="11630025" y="1876425"/>
          <a:ext cx="5715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200025</xdr:colOff>
      <xdr:row>6</xdr:row>
      <xdr:rowOff>66675</xdr:rowOff>
    </xdr:from>
    <xdr:to>
      <xdr:col>33</xdr:col>
      <xdr:colOff>285750</xdr:colOff>
      <xdr:row>6</xdr:row>
      <xdr:rowOff>66675</xdr:rowOff>
    </xdr:to>
    <xdr:sp>
      <xdr:nvSpPr>
        <xdr:cNvPr id="193" name="Line 267"/>
        <xdr:cNvSpPr>
          <a:spLocks/>
        </xdr:cNvSpPr>
      </xdr:nvSpPr>
      <xdr:spPr>
        <a:xfrm>
          <a:off x="10306050" y="187642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171450</xdr:colOff>
      <xdr:row>6</xdr:row>
      <xdr:rowOff>66675</xdr:rowOff>
    </xdr:from>
    <xdr:to>
      <xdr:col>34</xdr:col>
      <xdr:colOff>276225</xdr:colOff>
      <xdr:row>6</xdr:row>
      <xdr:rowOff>66675</xdr:rowOff>
    </xdr:to>
    <xdr:sp>
      <xdr:nvSpPr>
        <xdr:cNvPr id="194" name="Line 268"/>
        <xdr:cNvSpPr>
          <a:spLocks/>
        </xdr:cNvSpPr>
      </xdr:nvSpPr>
      <xdr:spPr>
        <a:xfrm>
          <a:off x="10610850" y="187642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142875</xdr:colOff>
      <xdr:row>6</xdr:row>
      <xdr:rowOff>66675</xdr:rowOff>
    </xdr:from>
    <xdr:to>
      <xdr:col>35</xdr:col>
      <xdr:colOff>238125</xdr:colOff>
      <xdr:row>6</xdr:row>
      <xdr:rowOff>66675</xdr:rowOff>
    </xdr:to>
    <xdr:sp>
      <xdr:nvSpPr>
        <xdr:cNvPr id="195" name="Line 269"/>
        <xdr:cNvSpPr>
          <a:spLocks/>
        </xdr:cNvSpPr>
      </xdr:nvSpPr>
      <xdr:spPr>
        <a:xfrm>
          <a:off x="10915650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123825</xdr:colOff>
      <xdr:row>6</xdr:row>
      <xdr:rowOff>66675</xdr:rowOff>
    </xdr:from>
    <xdr:to>
      <xdr:col>36</xdr:col>
      <xdr:colOff>228600</xdr:colOff>
      <xdr:row>6</xdr:row>
      <xdr:rowOff>66675</xdr:rowOff>
    </xdr:to>
    <xdr:sp>
      <xdr:nvSpPr>
        <xdr:cNvPr id="196" name="Line 270"/>
        <xdr:cNvSpPr>
          <a:spLocks/>
        </xdr:cNvSpPr>
      </xdr:nvSpPr>
      <xdr:spPr>
        <a:xfrm>
          <a:off x="11229975" y="187642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95250</xdr:colOff>
      <xdr:row>6</xdr:row>
      <xdr:rowOff>66675</xdr:rowOff>
    </xdr:from>
    <xdr:to>
      <xdr:col>37</xdr:col>
      <xdr:colOff>190500</xdr:colOff>
      <xdr:row>6</xdr:row>
      <xdr:rowOff>66675</xdr:rowOff>
    </xdr:to>
    <xdr:sp>
      <xdr:nvSpPr>
        <xdr:cNvPr id="197" name="Line 271"/>
        <xdr:cNvSpPr>
          <a:spLocks/>
        </xdr:cNvSpPr>
      </xdr:nvSpPr>
      <xdr:spPr>
        <a:xfrm>
          <a:off x="11534775" y="187642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33</xdr:col>
      <xdr:colOff>57150</xdr:colOff>
      <xdr:row>18</xdr:row>
      <xdr:rowOff>19050</xdr:rowOff>
    </xdr:from>
    <xdr:to>
      <xdr:col>33</xdr:col>
      <xdr:colOff>142875</xdr:colOff>
      <xdr:row>18</xdr:row>
      <xdr:rowOff>19050</xdr:rowOff>
    </xdr:to>
    <xdr:sp>
      <xdr:nvSpPr>
        <xdr:cNvPr id="198" name="Line 272"/>
        <xdr:cNvSpPr>
          <a:spLocks/>
        </xdr:cNvSpPr>
      </xdr:nvSpPr>
      <xdr:spPr>
        <a:xfrm>
          <a:off x="10163175" y="2543175"/>
          <a:ext cx="85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9525</xdr:colOff>
      <xdr:row>18</xdr:row>
      <xdr:rowOff>19050</xdr:rowOff>
    </xdr:from>
    <xdr:to>
      <xdr:col>34</xdr:col>
      <xdr:colOff>114300</xdr:colOff>
      <xdr:row>18</xdr:row>
      <xdr:rowOff>19050</xdr:rowOff>
    </xdr:to>
    <xdr:sp>
      <xdr:nvSpPr>
        <xdr:cNvPr id="199" name="Line 273"/>
        <xdr:cNvSpPr>
          <a:spLocks/>
        </xdr:cNvSpPr>
      </xdr:nvSpPr>
      <xdr:spPr>
        <a:xfrm>
          <a:off x="10448925" y="254317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323850</xdr:colOff>
      <xdr:row>18</xdr:row>
      <xdr:rowOff>19050</xdr:rowOff>
    </xdr:from>
    <xdr:to>
      <xdr:col>35</xdr:col>
      <xdr:colOff>85725</xdr:colOff>
      <xdr:row>18</xdr:row>
      <xdr:rowOff>19050</xdr:rowOff>
    </xdr:to>
    <xdr:sp>
      <xdr:nvSpPr>
        <xdr:cNvPr id="200" name="Line 274"/>
        <xdr:cNvSpPr>
          <a:spLocks/>
        </xdr:cNvSpPr>
      </xdr:nvSpPr>
      <xdr:spPr>
        <a:xfrm>
          <a:off x="10763250" y="25431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295275</xdr:colOff>
      <xdr:row>18</xdr:row>
      <xdr:rowOff>19050</xdr:rowOff>
    </xdr:from>
    <xdr:to>
      <xdr:col>36</xdr:col>
      <xdr:colOff>66675</xdr:colOff>
      <xdr:row>18</xdr:row>
      <xdr:rowOff>19050</xdr:rowOff>
    </xdr:to>
    <xdr:sp>
      <xdr:nvSpPr>
        <xdr:cNvPr id="201" name="Line 275"/>
        <xdr:cNvSpPr>
          <a:spLocks/>
        </xdr:cNvSpPr>
      </xdr:nvSpPr>
      <xdr:spPr>
        <a:xfrm>
          <a:off x="11068050" y="254317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36</xdr:col>
      <xdr:colOff>276225</xdr:colOff>
      <xdr:row>18</xdr:row>
      <xdr:rowOff>19050</xdr:rowOff>
    </xdr:from>
    <xdr:to>
      <xdr:col>37</xdr:col>
      <xdr:colOff>47625</xdr:colOff>
      <xdr:row>18</xdr:row>
      <xdr:rowOff>19050</xdr:rowOff>
    </xdr:to>
    <xdr:sp>
      <xdr:nvSpPr>
        <xdr:cNvPr id="202" name="Line 276"/>
        <xdr:cNvSpPr>
          <a:spLocks/>
        </xdr:cNvSpPr>
      </xdr:nvSpPr>
      <xdr:spPr>
        <a:xfrm>
          <a:off x="11382375" y="2543175"/>
          <a:ext cx="1047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19050</xdr:rowOff>
    </xdr:from>
    <xdr:to>
      <xdr:col>38</xdr:col>
      <xdr:colOff>9525</xdr:colOff>
      <xdr:row>18</xdr:row>
      <xdr:rowOff>19050</xdr:rowOff>
    </xdr:to>
    <xdr:sp>
      <xdr:nvSpPr>
        <xdr:cNvPr id="203" name="Line 277"/>
        <xdr:cNvSpPr>
          <a:spLocks/>
        </xdr:cNvSpPr>
      </xdr:nvSpPr>
      <xdr:spPr>
        <a:xfrm>
          <a:off x="11687175" y="2543175"/>
          <a:ext cx="95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66675</xdr:rowOff>
    </xdr:from>
    <xdr:to>
      <xdr:col>9</xdr:col>
      <xdr:colOff>0</xdr:colOff>
      <xdr:row>18</xdr:row>
      <xdr:rowOff>19050</xdr:rowOff>
    </xdr:to>
    <xdr:sp>
      <xdr:nvSpPr>
        <xdr:cNvPr id="204" name="Line 278"/>
        <xdr:cNvSpPr>
          <a:spLocks/>
        </xdr:cNvSpPr>
      </xdr:nvSpPr>
      <xdr:spPr>
        <a:xfrm>
          <a:off x="18573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85725</xdr:colOff>
      <xdr:row>6</xdr:row>
      <xdr:rowOff>66675</xdr:rowOff>
    </xdr:from>
    <xdr:to>
      <xdr:col>8</xdr:col>
      <xdr:colOff>114300</xdr:colOff>
      <xdr:row>18</xdr:row>
      <xdr:rowOff>19050</xdr:rowOff>
    </xdr:to>
    <xdr:sp>
      <xdr:nvSpPr>
        <xdr:cNvPr id="205" name="Line 279"/>
        <xdr:cNvSpPr>
          <a:spLocks/>
        </xdr:cNvSpPr>
      </xdr:nvSpPr>
      <xdr:spPr>
        <a:xfrm flipH="1">
          <a:off x="17811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66675</xdr:rowOff>
    </xdr:from>
    <xdr:to>
      <xdr:col>7</xdr:col>
      <xdr:colOff>152400</xdr:colOff>
      <xdr:row>18</xdr:row>
      <xdr:rowOff>19050</xdr:rowOff>
    </xdr:to>
    <xdr:sp>
      <xdr:nvSpPr>
        <xdr:cNvPr id="206" name="Line 280"/>
        <xdr:cNvSpPr>
          <a:spLocks/>
        </xdr:cNvSpPr>
      </xdr:nvSpPr>
      <xdr:spPr>
        <a:xfrm flipH="1">
          <a:off x="16287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161925</xdr:colOff>
      <xdr:row>6</xdr:row>
      <xdr:rowOff>66675</xdr:rowOff>
    </xdr:from>
    <xdr:to>
      <xdr:col>7</xdr:col>
      <xdr:colOff>0</xdr:colOff>
      <xdr:row>18</xdr:row>
      <xdr:rowOff>19050</xdr:rowOff>
    </xdr:to>
    <xdr:sp>
      <xdr:nvSpPr>
        <xdr:cNvPr id="207" name="Line 281"/>
        <xdr:cNvSpPr>
          <a:spLocks/>
        </xdr:cNvSpPr>
      </xdr:nvSpPr>
      <xdr:spPr>
        <a:xfrm flipH="1">
          <a:off x="14763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66675</xdr:rowOff>
    </xdr:from>
    <xdr:to>
      <xdr:col>6</xdr:col>
      <xdr:colOff>28575</xdr:colOff>
      <xdr:row>18</xdr:row>
      <xdr:rowOff>19050</xdr:rowOff>
    </xdr:to>
    <xdr:sp>
      <xdr:nvSpPr>
        <xdr:cNvPr id="208" name="Line 282"/>
        <xdr:cNvSpPr>
          <a:spLocks/>
        </xdr:cNvSpPr>
      </xdr:nvSpPr>
      <xdr:spPr>
        <a:xfrm flipH="1">
          <a:off x="13144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66675</xdr:rowOff>
    </xdr:from>
    <xdr:to>
      <xdr:col>5</xdr:col>
      <xdr:colOff>66675</xdr:colOff>
      <xdr:row>18</xdr:row>
      <xdr:rowOff>19050</xdr:rowOff>
    </xdr:to>
    <xdr:sp>
      <xdr:nvSpPr>
        <xdr:cNvPr id="209" name="Line 283"/>
        <xdr:cNvSpPr>
          <a:spLocks/>
        </xdr:cNvSpPr>
      </xdr:nvSpPr>
      <xdr:spPr>
        <a:xfrm flipH="1">
          <a:off x="11620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76200</xdr:colOff>
      <xdr:row>6</xdr:row>
      <xdr:rowOff>66675</xdr:rowOff>
    </xdr:from>
    <xdr:to>
      <xdr:col>4</xdr:col>
      <xdr:colOff>104775</xdr:colOff>
      <xdr:row>18</xdr:row>
      <xdr:rowOff>19050</xdr:rowOff>
    </xdr:to>
    <xdr:sp>
      <xdr:nvSpPr>
        <xdr:cNvPr id="210" name="Line 284"/>
        <xdr:cNvSpPr>
          <a:spLocks/>
        </xdr:cNvSpPr>
      </xdr:nvSpPr>
      <xdr:spPr>
        <a:xfrm flipH="1">
          <a:off x="10096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104775</xdr:colOff>
      <xdr:row>6</xdr:row>
      <xdr:rowOff>66675</xdr:rowOff>
    </xdr:from>
    <xdr:to>
      <xdr:col>4</xdr:col>
      <xdr:colOff>19050</xdr:colOff>
      <xdr:row>18</xdr:row>
      <xdr:rowOff>19050</xdr:rowOff>
    </xdr:to>
    <xdr:sp>
      <xdr:nvSpPr>
        <xdr:cNvPr id="211" name="Line 285"/>
        <xdr:cNvSpPr>
          <a:spLocks/>
        </xdr:cNvSpPr>
      </xdr:nvSpPr>
      <xdr:spPr>
        <a:xfrm>
          <a:off x="92392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66675</xdr:rowOff>
    </xdr:from>
    <xdr:to>
      <xdr:col>4</xdr:col>
      <xdr:colOff>180975</xdr:colOff>
      <xdr:row>18</xdr:row>
      <xdr:rowOff>19050</xdr:rowOff>
    </xdr:to>
    <xdr:sp>
      <xdr:nvSpPr>
        <xdr:cNvPr id="212" name="Line 286"/>
        <xdr:cNvSpPr>
          <a:spLocks/>
        </xdr:cNvSpPr>
      </xdr:nvSpPr>
      <xdr:spPr>
        <a:xfrm>
          <a:off x="10858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114300</xdr:colOff>
      <xdr:row>6</xdr:row>
      <xdr:rowOff>66675</xdr:rowOff>
    </xdr:from>
    <xdr:to>
      <xdr:col>5</xdr:col>
      <xdr:colOff>142875</xdr:colOff>
      <xdr:row>18</xdr:row>
      <xdr:rowOff>19050</xdr:rowOff>
    </xdr:to>
    <xdr:sp>
      <xdr:nvSpPr>
        <xdr:cNvPr id="213" name="Line 287"/>
        <xdr:cNvSpPr>
          <a:spLocks/>
        </xdr:cNvSpPr>
      </xdr:nvSpPr>
      <xdr:spPr>
        <a:xfrm>
          <a:off x="12382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85725</xdr:colOff>
      <xdr:row>6</xdr:row>
      <xdr:rowOff>66675</xdr:rowOff>
    </xdr:from>
    <xdr:to>
      <xdr:col>6</xdr:col>
      <xdr:colOff>114300</xdr:colOff>
      <xdr:row>18</xdr:row>
      <xdr:rowOff>19050</xdr:rowOff>
    </xdr:to>
    <xdr:sp>
      <xdr:nvSpPr>
        <xdr:cNvPr id="214" name="Line 288"/>
        <xdr:cNvSpPr>
          <a:spLocks/>
        </xdr:cNvSpPr>
      </xdr:nvSpPr>
      <xdr:spPr>
        <a:xfrm>
          <a:off x="14001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66675</xdr:rowOff>
    </xdr:from>
    <xdr:to>
      <xdr:col>7</xdr:col>
      <xdr:colOff>76200</xdr:colOff>
      <xdr:row>18</xdr:row>
      <xdr:rowOff>19050</xdr:rowOff>
    </xdr:to>
    <xdr:sp>
      <xdr:nvSpPr>
        <xdr:cNvPr id="215" name="Line 289"/>
        <xdr:cNvSpPr>
          <a:spLocks/>
        </xdr:cNvSpPr>
      </xdr:nvSpPr>
      <xdr:spPr>
        <a:xfrm>
          <a:off x="15525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66675</xdr:rowOff>
    </xdr:from>
    <xdr:to>
      <xdr:col>8</xdr:col>
      <xdr:colOff>38100</xdr:colOff>
      <xdr:row>18</xdr:row>
      <xdr:rowOff>19050</xdr:rowOff>
    </xdr:to>
    <xdr:sp>
      <xdr:nvSpPr>
        <xdr:cNvPr id="216" name="Line 290"/>
        <xdr:cNvSpPr>
          <a:spLocks/>
        </xdr:cNvSpPr>
      </xdr:nvSpPr>
      <xdr:spPr>
        <a:xfrm>
          <a:off x="170497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114300</xdr:colOff>
      <xdr:row>6</xdr:row>
      <xdr:rowOff>66675</xdr:rowOff>
    </xdr:from>
    <xdr:to>
      <xdr:col>8</xdr:col>
      <xdr:colOff>161925</xdr:colOff>
      <xdr:row>6</xdr:row>
      <xdr:rowOff>66675</xdr:rowOff>
    </xdr:to>
    <xdr:sp>
      <xdr:nvSpPr>
        <xdr:cNvPr id="217" name="Line 291"/>
        <xdr:cNvSpPr>
          <a:spLocks/>
        </xdr:cNvSpPr>
      </xdr:nvSpPr>
      <xdr:spPr>
        <a:xfrm>
          <a:off x="1809750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66675</xdr:rowOff>
    </xdr:from>
    <xdr:to>
      <xdr:col>3</xdr:col>
      <xdr:colOff>104775</xdr:colOff>
      <xdr:row>6</xdr:row>
      <xdr:rowOff>66675</xdr:rowOff>
    </xdr:to>
    <xdr:sp>
      <xdr:nvSpPr>
        <xdr:cNvPr id="218" name="Line 292"/>
        <xdr:cNvSpPr>
          <a:spLocks/>
        </xdr:cNvSpPr>
      </xdr:nvSpPr>
      <xdr:spPr>
        <a:xfrm>
          <a:off x="876300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104775</xdr:colOff>
      <xdr:row>6</xdr:row>
      <xdr:rowOff>66675</xdr:rowOff>
    </xdr:from>
    <xdr:to>
      <xdr:col>4</xdr:col>
      <xdr:colOff>152400</xdr:colOff>
      <xdr:row>6</xdr:row>
      <xdr:rowOff>66675</xdr:rowOff>
    </xdr:to>
    <xdr:sp>
      <xdr:nvSpPr>
        <xdr:cNvPr id="219" name="Line 293"/>
        <xdr:cNvSpPr>
          <a:spLocks/>
        </xdr:cNvSpPr>
      </xdr:nvSpPr>
      <xdr:spPr>
        <a:xfrm>
          <a:off x="10382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66675</xdr:colOff>
      <xdr:row>6</xdr:row>
      <xdr:rowOff>66675</xdr:rowOff>
    </xdr:from>
    <xdr:to>
      <xdr:col>5</xdr:col>
      <xdr:colOff>114300</xdr:colOff>
      <xdr:row>6</xdr:row>
      <xdr:rowOff>66675</xdr:rowOff>
    </xdr:to>
    <xdr:sp>
      <xdr:nvSpPr>
        <xdr:cNvPr id="220" name="Line 294"/>
        <xdr:cNvSpPr>
          <a:spLocks/>
        </xdr:cNvSpPr>
      </xdr:nvSpPr>
      <xdr:spPr>
        <a:xfrm>
          <a:off x="11906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66675</xdr:rowOff>
    </xdr:from>
    <xdr:to>
      <xdr:col>6</xdr:col>
      <xdr:colOff>85725</xdr:colOff>
      <xdr:row>6</xdr:row>
      <xdr:rowOff>66675</xdr:rowOff>
    </xdr:to>
    <xdr:sp>
      <xdr:nvSpPr>
        <xdr:cNvPr id="221" name="Line 295"/>
        <xdr:cNvSpPr>
          <a:spLocks/>
        </xdr:cNvSpPr>
      </xdr:nvSpPr>
      <xdr:spPr>
        <a:xfrm>
          <a:off x="1343025" y="18764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57150</xdr:colOff>
      <xdr:row>6</xdr:row>
      <xdr:rowOff>66675</xdr:rowOff>
    </xdr:to>
    <xdr:sp>
      <xdr:nvSpPr>
        <xdr:cNvPr id="222" name="Line 296"/>
        <xdr:cNvSpPr>
          <a:spLocks/>
        </xdr:cNvSpPr>
      </xdr:nvSpPr>
      <xdr:spPr>
        <a:xfrm>
          <a:off x="1504950" y="18764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152400</xdr:colOff>
      <xdr:row>6</xdr:row>
      <xdr:rowOff>66675</xdr:rowOff>
    </xdr:from>
    <xdr:to>
      <xdr:col>8</xdr:col>
      <xdr:colOff>19050</xdr:colOff>
      <xdr:row>6</xdr:row>
      <xdr:rowOff>66675</xdr:rowOff>
    </xdr:to>
    <xdr:sp>
      <xdr:nvSpPr>
        <xdr:cNvPr id="223" name="Line 297"/>
        <xdr:cNvSpPr>
          <a:spLocks/>
        </xdr:cNvSpPr>
      </xdr:nvSpPr>
      <xdr:spPr>
        <a:xfrm>
          <a:off x="1657350" y="18764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4</xdr:col>
      <xdr:colOff>85725</xdr:colOff>
      <xdr:row>18</xdr:row>
      <xdr:rowOff>19050</xdr:rowOff>
    </xdr:to>
    <xdr:sp>
      <xdr:nvSpPr>
        <xdr:cNvPr id="224" name="Line 298"/>
        <xdr:cNvSpPr>
          <a:spLocks/>
        </xdr:cNvSpPr>
      </xdr:nvSpPr>
      <xdr:spPr>
        <a:xfrm>
          <a:off x="952500" y="254317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19050</xdr:rowOff>
    </xdr:from>
    <xdr:to>
      <xdr:col>5</xdr:col>
      <xdr:colOff>38100</xdr:colOff>
      <xdr:row>18</xdr:row>
      <xdr:rowOff>19050</xdr:rowOff>
    </xdr:to>
    <xdr:sp>
      <xdr:nvSpPr>
        <xdr:cNvPr id="225" name="Line 299"/>
        <xdr:cNvSpPr>
          <a:spLocks/>
        </xdr:cNvSpPr>
      </xdr:nvSpPr>
      <xdr:spPr>
        <a:xfrm>
          <a:off x="1114425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142875</xdr:colOff>
      <xdr:row>18</xdr:row>
      <xdr:rowOff>19050</xdr:rowOff>
    </xdr:from>
    <xdr:to>
      <xdr:col>6</xdr:col>
      <xdr:colOff>0</xdr:colOff>
      <xdr:row>18</xdr:row>
      <xdr:rowOff>19050</xdr:rowOff>
    </xdr:to>
    <xdr:sp>
      <xdr:nvSpPr>
        <xdr:cNvPr id="226" name="Line 300"/>
        <xdr:cNvSpPr>
          <a:spLocks/>
        </xdr:cNvSpPr>
      </xdr:nvSpPr>
      <xdr:spPr>
        <a:xfrm>
          <a:off x="1266825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19050</xdr:rowOff>
    </xdr:from>
    <xdr:to>
      <xdr:col>6</xdr:col>
      <xdr:colOff>171450</xdr:colOff>
      <xdr:row>18</xdr:row>
      <xdr:rowOff>19050</xdr:rowOff>
    </xdr:to>
    <xdr:sp>
      <xdr:nvSpPr>
        <xdr:cNvPr id="227" name="Line 301"/>
        <xdr:cNvSpPr>
          <a:spLocks/>
        </xdr:cNvSpPr>
      </xdr:nvSpPr>
      <xdr:spPr>
        <a:xfrm>
          <a:off x="1428750" y="254317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76200</xdr:colOff>
      <xdr:row>18</xdr:row>
      <xdr:rowOff>19050</xdr:rowOff>
    </xdr:from>
    <xdr:to>
      <xdr:col>7</xdr:col>
      <xdr:colOff>123825</xdr:colOff>
      <xdr:row>18</xdr:row>
      <xdr:rowOff>19050</xdr:rowOff>
    </xdr:to>
    <xdr:sp>
      <xdr:nvSpPr>
        <xdr:cNvPr id="228" name="Line 302"/>
        <xdr:cNvSpPr>
          <a:spLocks/>
        </xdr:cNvSpPr>
      </xdr:nvSpPr>
      <xdr:spPr>
        <a:xfrm>
          <a:off x="1581150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19050</xdr:rowOff>
    </xdr:from>
    <xdr:to>
      <xdr:col>8</xdr:col>
      <xdr:colOff>95250</xdr:colOff>
      <xdr:row>18</xdr:row>
      <xdr:rowOff>19050</xdr:rowOff>
    </xdr:to>
    <xdr:sp>
      <xdr:nvSpPr>
        <xdr:cNvPr id="229" name="Line 303"/>
        <xdr:cNvSpPr>
          <a:spLocks/>
        </xdr:cNvSpPr>
      </xdr:nvSpPr>
      <xdr:spPr>
        <a:xfrm>
          <a:off x="1733550" y="254317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76200</xdr:colOff>
      <xdr:row>6</xdr:row>
      <xdr:rowOff>66675</xdr:rowOff>
    </xdr:from>
    <xdr:to>
      <xdr:col>38</xdr:col>
      <xdr:colOff>104775</xdr:colOff>
      <xdr:row>18</xdr:row>
      <xdr:rowOff>19050</xdr:rowOff>
    </xdr:to>
    <xdr:sp>
      <xdr:nvSpPr>
        <xdr:cNvPr id="230" name="Line 304"/>
        <xdr:cNvSpPr>
          <a:spLocks/>
        </xdr:cNvSpPr>
      </xdr:nvSpPr>
      <xdr:spPr>
        <a:xfrm>
          <a:off x="1184910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66675</xdr:rowOff>
    </xdr:from>
    <xdr:to>
      <xdr:col>38</xdr:col>
      <xdr:colOff>28575</xdr:colOff>
      <xdr:row>18</xdr:row>
      <xdr:rowOff>19050</xdr:rowOff>
    </xdr:to>
    <xdr:sp>
      <xdr:nvSpPr>
        <xdr:cNvPr id="231" name="Line 305"/>
        <xdr:cNvSpPr>
          <a:spLocks/>
        </xdr:cNvSpPr>
      </xdr:nvSpPr>
      <xdr:spPr>
        <a:xfrm flipH="1">
          <a:off x="1177290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38100</xdr:colOff>
      <xdr:row>6</xdr:row>
      <xdr:rowOff>66675</xdr:rowOff>
    </xdr:from>
    <xdr:to>
      <xdr:col>39</xdr:col>
      <xdr:colOff>66675</xdr:colOff>
      <xdr:row>18</xdr:row>
      <xdr:rowOff>19050</xdr:rowOff>
    </xdr:to>
    <xdr:sp>
      <xdr:nvSpPr>
        <xdr:cNvPr id="232" name="Line 306"/>
        <xdr:cNvSpPr>
          <a:spLocks/>
        </xdr:cNvSpPr>
      </xdr:nvSpPr>
      <xdr:spPr>
        <a:xfrm>
          <a:off x="1200150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9525</xdr:colOff>
      <xdr:row>6</xdr:row>
      <xdr:rowOff>66675</xdr:rowOff>
    </xdr:from>
    <xdr:to>
      <xdr:col>40</xdr:col>
      <xdr:colOff>38100</xdr:colOff>
      <xdr:row>18</xdr:row>
      <xdr:rowOff>19050</xdr:rowOff>
    </xdr:to>
    <xdr:sp>
      <xdr:nvSpPr>
        <xdr:cNvPr id="233" name="Line 307"/>
        <xdr:cNvSpPr>
          <a:spLocks/>
        </xdr:cNvSpPr>
      </xdr:nvSpPr>
      <xdr:spPr>
        <a:xfrm>
          <a:off x="1216342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171450</xdr:colOff>
      <xdr:row>6</xdr:row>
      <xdr:rowOff>66675</xdr:rowOff>
    </xdr:from>
    <xdr:to>
      <xdr:col>41</xdr:col>
      <xdr:colOff>9525</xdr:colOff>
      <xdr:row>18</xdr:row>
      <xdr:rowOff>19050</xdr:rowOff>
    </xdr:to>
    <xdr:sp>
      <xdr:nvSpPr>
        <xdr:cNvPr id="234" name="Line 308"/>
        <xdr:cNvSpPr>
          <a:spLocks/>
        </xdr:cNvSpPr>
      </xdr:nvSpPr>
      <xdr:spPr>
        <a:xfrm>
          <a:off x="123253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133350</xdr:colOff>
      <xdr:row>6</xdr:row>
      <xdr:rowOff>66675</xdr:rowOff>
    </xdr:from>
    <xdr:to>
      <xdr:col>41</xdr:col>
      <xdr:colOff>161925</xdr:colOff>
      <xdr:row>18</xdr:row>
      <xdr:rowOff>19050</xdr:rowOff>
    </xdr:to>
    <xdr:sp>
      <xdr:nvSpPr>
        <xdr:cNvPr id="235" name="Line 309"/>
        <xdr:cNvSpPr>
          <a:spLocks/>
        </xdr:cNvSpPr>
      </xdr:nvSpPr>
      <xdr:spPr>
        <a:xfrm>
          <a:off x="124777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95250</xdr:colOff>
      <xdr:row>6</xdr:row>
      <xdr:rowOff>66675</xdr:rowOff>
    </xdr:from>
    <xdr:to>
      <xdr:col>42</xdr:col>
      <xdr:colOff>123825</xdr:colOff>
      <xdr:row>18</xdr:row>
      <xdr:rowOff>19050</xdr:rowOff>
    </xdr:to>
    <xdr:sp>
      <xdr:nvSpPr>
        <xdr:cNvPr id="236" name="Line 310"/>
        <xdr:cNvSpPr>
          <a:spLocks/>
        </xdr:cNvSpPr>
      </xdr:nvSpPr>
      <xdr:spPr>
        <a:xfrm>
          <a:off x="126301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152400</xdr:colOff>
      <xdr:row>6</xdr:row>
      <xdr:rowOff>66675</xdr:rowOff>
    </xdr:from>
    <xdr:to>
      <xdr:col>38</xdr:col>
      <xdr:colOff>180975</xdr:colOff>
      <xdr:row>18</xdr:row>
      <xdr:rowOff>19050</xdr:rowOff>
    </xdr:to>
    <xdr:sp>
      <xdr:nvSpPr>
        <xdr:cNvPr id="237" name="Line 311"/>
        <xdr:cNvSpPr>
          <a:spLocks/>
        </xdr:cNvSpPr>
      </xdr:nvSpPr>
      <xdr:spPr>
        <a:xfrm flipH="1">
          <a:off x="1192530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114300</xdr:colOff>
      <xdr:row>6</xdr:row>
      <xdr:rowOff>66675</xdr:rowOff>
    </xdr:from>
    <xdr:to>
      <xdr:col>39</xdr:col>
      <xdr:colOff>142875</xdr:colOff>
      <xdr:row>18</xdr:row>
      <xdr:rowOff>19050</xdr:rowOff>
    </xdr:to>
    <xdr:sp>
      <xdr:nvSpPr>
        <xdr:cNvPr id="238" name="Line 312"/>
        <xdr:cNvSpPr>
          <a:spLocks/>
        </xdr:cNvSpPr>
      </xdr:nvSpPr>
      <xdr:spPr>
        <a:xfrm flipH="1">
          <a:off x="1207770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85725</xdr:colOff>
      <xdr:row>6</xdr:row>
      <xdr:rowOff>66675</xdr:rowOff>
    </xdr:from>
    <xdr:to>
      <xdr:col>40</xdr:col>
      <xdr:colOff>114300</xdr:colOff>
      <xdr:row>18</xdr:row>
      <xdr:rowOff>19050</xdr:rowOff>
    </xdr:to>
    <xdr:sp>
      <xdr:nvSpPr>
        <xdr:cNvPr id="239" name="Line 313"/>
        <xdr:cNvSpPr>
          <a:spLocks/>
        </xdr:cNvSpPr>
      </xdr:nvSpPr>
      <xdr:spPr>
        <a:xfrm flipH="1">
          <a:off x="12239625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57150</xdr:colOff>
      <xdr:row>6</xdr:row>
      <xdr:rowOff>66675</xdr:rowOff>
    </xdr:from>
    <xdr:to>
      <xdr:col>41</xdr:col>
      <xdr:colOff>85725</xdr:colOff>
      <xdr:row>18</xdr:row>
      <xdr:rowOff>19050</xdr:rowOff>
    </xdr:to>
    <xdr:sp>
      <xdr:nvSpPr>
        <xdr:cNvPr id="240" name="Line 314"/>
        <xdr:cNvSpPr>
          <a:spLocks/>
        </xdr:cNvSpPr>
      </xdr:nvSpPr>
      <xdr:spPr>
        <a:xfrm flipH="1">
          <a:off x="124015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171450</xdr:colOff>
      <xdr:row>6</xdr:row>
      <xdr:rowOff>66675</xdr:rowOff>
    </xdr:from>
    <xdr:to>
      <xdr:col>43</xdr:col>
      <xdr:colOff>9525</xdr:colOff>
      <xdr:row>18</xdr:row>
      <xdr:rowOff>19050</xdr:rowOff>
    </xdr:to>
    <xdr:sp>
      <xdr:nvSpPr>
        <xdr:cNvPr id="241" name="Line 315"/>
        <xdr:cNvSpPr>
          <a:spLocks/>
        </xdr:cNvSpPr>
      </xdr:nvSpPr>
      <xdr:spPr>
        <a:xfrm flipH="1">
          <a:off x="127063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19050</xdr:colOff>
      <xdr:row>6</xdr:row>
      <xdr:rowOff>66675</xdr:rowOff>
    </xdr:from>
    <xdr:to>
      <xdr:col>42</xdr:col>
      <xdr:colOff>47625</xdr:colOff>
      <xdr:row>18</xdr:row>
      <xdr:rowOff>19050</xdr:rowOff>
    </xdr:to>
    <xdr:sp>
      <xdr:nvSpPr>
        <xdr:cNvPr id="242" name="Line 316"/>
        <xdr:cNvSpPr>
          <a:spLocks/>
        </xdr:cNvSpPr>
      </xdr:nvSpPr>
      <xdr:spPr>
        <a:xfrm flipH="1">
          <a:off x="12553950" y="1876425"/>
          <a:ext cx="28575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28575</xdr:colOff>
      <xdr:row>6</xdr:row>
      <xdr:rowOff>66675</xdr:rowOff>
    </xdr:from>
    <xdr:to>
      <xdr:col>38</xdr:col>
      <xdr:colOff>76200</xdr:colOff>
      <xdr:row>6</xdr:row>
      <xdr:rowOff>66675</xdr:rowOff>
    </xdr:to>
    <xdr:sp>
      <xdr:nvSpPr>
        <xdr:cNvPr id="243" name="Line 317"/>
        <xdr:cNvSpPr>
          <a:spLocks/>
        </xdr:cNvSpPr>
      </xdr:nvSpPr>
      <xdr:spPr>
        <a:xfrm>
          <a:off x="1180147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180975</xdr:colOff>
      <xdr:row>6</xdr:row>
      <xdr:rowOff>66675</xdr:rowOff>
    </xdr:from>
    <xdr:to>
      <xdr:col>39</xdr:col>
      <xdr:colOff>38100</xdr:colOff>
      <xdr:row>6</xdr:row>
      <xdr:rowOff>66675</xdr:rowOff>
    </xdr:to>
    <xdr:sp>
      <xdr:nvSpPr>
        <xdr:cNvPr id="244" name="Line 318"/>
        <xdr:cNvSpPr>
          <a:spLocks/>
        </xdr:cNvSpPr>
      </xdr:nvSpPr>
      <xdr:spPr>
        <a:xfrm>
          <a:off x="1195387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142875</xdr:colOff>
      <xdr:row>6</xdr:row>
      <xdr:rowOff>66675</xdr:rowOff>
    </xdr:from>
    <xdr:to>
      <xdr:col>40</xdr:col>
      <xdr:colOff>9525</xdr:colOff>
      <xdr:row>6</xdr:row>
      <xdr:rowOff>66675</xdr:rowOff>
    </xdr:to>
    <xdr:sp>
      <xdr:nvSpPr>
        <xdr:cNvPr id="245" name="Line 319"/>
        <xdr:cNvSpPr>
          <a:spLocks/>
        </xdr:cNvSpPr>
      </xdr:nvSpPr>
      <xdr:spPr>
        <a:xfrm>
          <a:off x="12106275" y="18764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114300</xdr:colOff>
      <xdr:row>6</xdr:row>
      <xdr:rowOff>66675</xdr:rowOff>
    </xdr:from>
    <xdr:to>
      <xdr:col>40</xdr:col>
      <xdr:colOff>171450</xdr:colOff>
      <xdr:row>6</xdr:row>
      <xdr:rowOff>66675</xdr:rowOff>
    </xdr:to>
    <xdr:sp>
      <xdr:nvSpPr>
        <xdr:cNvPr id="246" name="Line 320"/>
        <xdr:cNvSpPr>
          <a:spLocks/>
        </xdr:cNvSpPr>
      </xdr:nvSpPr>
      <xdr:spPr>
        <a:xfrm>
          <a:off x="12268200" y="187642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85725</xdr:colOff>
      <xdr:row>6</xdr:row>
      <xdr:rowOff>66675</xdr:rowOff>
    </xdr:from>
    <xdr:to>
      <xdr:col>41</xdr:col>
      <xdr:colOff>133350</xdr:colOff>
      <xdr:row>6</xdr:row>
      <xdr:rowOff>66675</xdr:rowOff>
    </xdr:to>
    <xdr:sp>
      <xdr:nvSpPr>
        <xdr:cNvPr id="247" name="Line 321"/>
        <xdr:cNvSpPr>
          <a:spLocks/>
        </xdr:cNvSpPr>
      </xdr:nvSpPr>
      <xdr:spPr>
        <a:xfrm>
          <a:off x="124301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47625</xdr:colOff>
      <xdr:row>6</xdr:row>
      <xdr:rowOff>66675</xdr:rowOff>
    </xdr:from>
    <xdr:to>
      <xdr:col>42</xdr:col>
      <xdr:colOff>95250</xdr:colOff>
      <xdr:row>6</xdr:row>
      <xdr:rowOff>66675</xdr:rowOff>
    </xdr:to>
    <xdr:sp>
      <xdr:nvSpPr>
        <xdr:cNvPr id="248" name="Line 322"/>
        <xdr:cNvSpPr>
          <a:spLocks/>
        </xdr:cNvSpPr>
      </xdr:nvSpPr>
      <xdr:spPr>
        <a:xfrm>
          <a:off x="125825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43</xdr:col>
      <xdr:colOff>9525</xdr:colOff>
      <xdr:row>6</xdr:row>
      <xdr:rowOff>66675</xdr:rowOff>
    </xdr:from>
    <xdr:to>
      <xdr:col>43</xdr:col>
      <xdr:colOff>57150</xdr:colOff>
      <xdr:row>6</xdr:row>
      <xdr:rowOff>66675</xdr:rowOff>
    </xdr:to>
    <xdr:sp>
      <xdr:nvSpPr>
        <xdr:cNvPr id="249" name="Line 323"/>
        <xdr:cNvSpPr>
          <a:spLocks/>
        </xdr:cNvSpPr>
      </xdr:nvSpPr>
      <xdr:spPr>
        <a:xfrm>
          <a:off x="12734925" y="187642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104775</xdr:colOff>
      <xdr:row>18</xdr:row>
      <xdr:rowOff>19050</xdr:rowOff>
    </xdr:from>
    <xdr:to>
      <xdr:col>38</xdr:col>
      <xdr:colOff>152400</xdr:colOff>
      <xdr:row>18</xdr:row>
      <xdr:rowOff>19050</xdr:rowOff>
    </xdr:to>
    <xdr:sp>
      <xdr:nvSpPr>
        <xdr:cNvPr id="250" name="Line 324"/>
        <xdr:cNvSpPr>
          <a:spLocks/>
        </xdr:cNvSpPr>
      </xdr:nvSpPr>
      <xdr:spPr>
        <a:xfrm>
          <a:off x="11877675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39</xdr:col>
      <xdr:colOff>66675</xdr:colOff>
      <xdr:row>18</xdr:row>
      <xdr:rowOff>19050</xdr:rowOff>
    </xdr:from>
    <xdr:to>
      <xdr:col>39</xdr:col>
      <xdr:colOff>114300</xdr:colOff>
      <xdr:row>18</xdr:row>
      <xdr:rowOff>19050</xdr:rowOff>
    </xdr:to>
    <xdr:sp>
      <xdr:nvSpPr>
        <xdr:cNvPr id="251" name="Line 325"/>
        <xdr:cNvSpPr>
          <a:spLocks/>
        </xdr:cNvSpPr>
      </xdr:nvSpPr>
      <xdr:spPr>
        <a:xfrm>
          <a:off x="12030075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40</xdr:col>
      <xdr:colOff>38100</xdr:colOff>
      <xdr:row>18</xdr:row>
      <xdr:rowOff>19050</xdr:rowOff>
    </xdr:from>
    <xdr:to>
      <xdr:col>40</xdr:col>
      <xdr:colOff>85725</xdr:colOff>
      <xdr:row>18</xdr:row>
      <xdr:rowOff>19050</xdr:rowOff>
    </xdr:to>
    <xdr:sp>
      <xdr:nvSpPr>
        <xdr:cNvPr id="252" name="Line 326"/>
        <xdr:cNvSpPr>
          <a:spLocks/>
        </xdr:cNvSpPr>
      </xdr:nvSpPr>
      <xdr:spPr>
        <a:xfrm>
          <a:off x="12192000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9525</xdr:colOff>
      <xdr:row>18</xdr:row>
      <xdr:rowOff>19050</xdr:rowOff>
    </xdr:from>
    <xdr:to>
      <xdr:col>41</xdr:col>
      <xdr:colOff>57150</xdr:colOff>
      <xdr:row>18</xdr:row>
      <xdr:rowOff>19050</xdr:rowOff>
    </xdr:to>
    <xdr:sp>
      <xdr:nvSpPr>
        <xdr:cNvPr id="253" name="Line 327"/>
        <xdr:cNvSpPr>
          <a:spLocks/>
        </xdr:cNvSpPr>
      </xdr:nvSpPr>
      <xdr:spPr>
        <a:xfrm>
          <a:off x="12353925" y="2543175"/>
          <a:ext cx="47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41</xdr:col>
      <xdr:colOff>161925</xdr:colOff>
      <xdr:row>18</xdr:row>
      <xdr:rowOff>19050</xdr:rowOff>
    </xdr:from>
    <xdr:to>
      <xdr:col>42</xdr:col>
      <xdr:colOff>28575</xdr:colOff>
      <xdr:row>18</xdr:row>
      <xdr:rowOff>19050</xdr:rowOff>
    </xdr:to>
    <xdr:sp>
      <xdr:nvSpPr>
        <xdr:cNvPr id="254" name="Line 328"/>
        <xdr:cNvSpPr>
          <a:spLocks/>
        </xdr:cNvSpPr>
      </xdr:nvSpPr>
      <xdr:spPr>
        <a:xfrm>
          <a:off x="12506325" y="254317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42</xdr:col>
      <xdr:colOff>123825</xdr:colOff>
      <xdr:row>18</xdr:row>
      <xdr:rowOff>19050</xdr:rowOff>
    </xdr:from>
    <xdr:to>
      <xdr:col>42</xdr:col>
      <xdr:colOff>180975</xdr:colOff>
      <xdr:row>18</xdr:row>
      <xdr:rowOff>19050</xdr:rowOff>
    </xdr:to>
    <xdr:sp>
      <xdr:nvSpPr>
        <xdr:cNvPr id="255" name="Line 329"/>
        <xdr:cNvSpPr>
          <a:spLocks/>
        </xdr:cNvSpPr>
      </xdr:nvSpPr>
      <xdr:spPr>
        <a:xfrm>
          <a:off x="12658725" y="2543175"/>
          <a:ext cx="57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95250</xdr:colOff>
      <xdr:row>32</xdr:row>
      <xdr:rowOff>95250</xdr:rowOff>
    </xdr:from>
    <xdr:to>
      <xdr:col>20</xdr:col>
      <xdr:colOff>552450</xdr:colOff>
      <xdr:row>33</xdr:row>
      <xdr:rowOff>200025</xdr:rowOff>
    </xdr:to>
    <xdr:sp>
      <xdr:nvSpPr>
        <xdr:cNvPr id="256" name="Rectangle 330"/>
        <xdr:cNvSpPr>
          <a:spLocks/>
        </xdr:cNvSpPr>
      </xdr:nvSpPr>
      <xdr:spPr>
        <a:xfrm>
          <a:off x="3838575" y="5505450"/>
          <a:ext cx="2085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Æ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4.5 mm.@ 10   SPIRAL STIRRUP</a:t>
          </a:r>
        </a:p>
      </xdr:txBody>
    </xdr:sp>
    <xdr:clientData/>
  </xdr:twoCellAnchor>
  <xdr:twoCellAnchor>
    <xdr:from>
      <xdr:col>28</xdr:col>
      <xdr:colOff>95250</xdr:colOff>
      <xdr:row>29</xdr:row>
      <xdr:rowOff>0</xdr:rowOff>
    </xdr:from>
    <xdr:to>
      <xdr:col>32</xdr:col>
      <xdr:colOff>47625</xdr:colOff>
      <xdr:row>29</xdr:row>
      <xdr:rowOff>0</xdr:rowOff>
    </xdr:to>
    <xdr:sp>
      <xdr:nvSpPr>
        <xdr:cNvPr id="257" name="Line 331"/>
        <xdr:cNvSpPr>
          <a:spLocks/>
        </xdr:cNvSpPr>
      </xdr:nvSpPr>
      <xdr:spPr>
        <a:xfrm>
          <a:off x="8943975" y="4962525"/>
          <a:ext cx="1019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85725</xdr:colOff>
      <xdr:row>37</xdr:row>
      <xdr:rowOff>0</xdr:rowOff>
    </xdr:from>
    <xdr:to>
      <xdr:col>32</xdr:col>
      <xdr:colOff>47625</xdr:colOff>
      <xdr:row>37</xdr:row>
      <xdr:rowOff>0</xdr:rowOff>
    </xdr:to>
    <xdr:sp>
      <xdr:nvSpPr>
        <xdr:cNvPr id="258" name="Line 332"/>
        <xdr:cNvSpPr>
          <a:spLocks/>
        </xdr:cNvSpPr>
      </xdr:nvSpPr>
      <xdr:spPr>
        <a:xfrm>
          <a:off x="8934450" y="631507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27</xdr:col>
      <xdr:colOff>447675</xdr:colOff>
      <xdr:row>27</xdr:row>
      <xdr:rowOff>0</xdr:rowOff>
    </xdr:from>
    <xdr:to>
      <xdr:col>33</xdr:col>
      <xdr:colOff>57150</xdr:colOff>
      <xdr:row>27</xdr:row>
      <xdr:rowOff>0</xdr:rowOff>
    </xdr:to>
    <xdr:sp>
      <xdr:nvSpPr>
        <xdr:cNvPr id="259" name="Line 338"/>
        <xdr:cNvSpPr>
          <a:spLocks/>
        </xdr:cNvSpPr>
      </xdr:nvSpPr>
      <xdr:spPr>
        <a:xfrm>
          <a:off x="8734425" y="4476750"/>
          <a:ext cx="1428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180975</xdr:rowOff>
    </xdr:from>
    <xdr:to>
      <xdr:col>28</xdr:col>
      <xdr:colOff>0</xdr:colOff>
      <xdr:row>27</xdr:row>
      <xdr:rowOff>123825</xdr:rowOff>
    </xdr:to>
    <xdr:sp>
      <xdr:nvSpPr>
        <xdr:cNvPr id="260" name="Line 339"/>
        <xdr:cNvSpPr>
          <a:spLocks/>
        </xdr:cNvSpPr>
      </xdr:nvSpPr>
      <xdr:spPr>
        <a:xfrm>
          <a:off x="8848725" y="439102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133350</xdr:colOff>
      <xdr:row>26</xdr:row>
      <xdr:rowOff>161925</xdr:rowOff>
    </xdr:from>
    <xdr:to>
      <xdr:col>32</xdr:col>
      <xdr:colOff>133350</xdr:colOff>
      <xdr:row>27</xdr:row>
      <xdr:rowOff>104775</xdr:rowOff>
    </xdr:to>
    <xdr:sp>
      <xdr:nvSpPr>
        <xdr:cNvPr id="261" name="Line 340"/>
        <xdr:cNvSpPr>
          <a:spLocks/>
        </xdr:cNvSpPr>
      </xdr:nvSpPr>
      <xdr:spPr>
        <a:xfrm>
          <a:off x="10048875" y="4371975"/>
          <a:ext cx="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504825</xdr:colOff>
      <xdr:row>25</xdr:row>
      <xdr:rowOff>238125</xdr:rowOff>
    </xdr:from>
    <xdr:to>
      <xdr:col>29</xdr:col>
      <xdr:colOff>190500</xdr:colOff>
      <xdr:row>27</xdr:row>
      <xdr:rowOff>9525</xdr:rowOff>
    </xdr:to>
    <xdr:sp>
      <xdr:nvSpPr>
        <xdr:cNvPr id="262" name="Text 1626"/>
        <xdr:cNvSpPr txBox="1">
          <a:spLocks noChangeArrowheads="1"/>
        </xdr:cNvSpPr>
      </xdr:nvSpPr>
      <xdr:spPr>
        <a:xfrm>
          <a:off x="9353550" y="4181475"/>
          <a:ext cx="2476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35</a:t>
          </a:r>
        </a:p>
      </xdr:txBody>
    </xdr:sp>
    <xdr:clientData/>
  </xdr:twoCellAnchor>
  <xdr:twoCellAnchor>
    <xdr:from>
      <xdr:col>27</xdr:col>
      <xdr:colOff>523875</xdr:colOff>
      <xdr:row>26</xdr:row>
      <xdr:rowOff>228600</xdr:rowOff>
    </xdr:from>
    <xdr:to>
      <xdr:col>28</xdr:col>
      <xdr:colOff>28575</xdr:colOff>
      <xdr:row>27</xdr:row>
      <xdr:rowOff>28575</xdr:rowOff>
    </xdr:to>
    <xdr:sp>
      <xdr:nvSpPr>
        <xdr:cNvPr id="263" name="Oval 342"/>
        <xdr:cNvSpPr>
          <a:spLocks/>
        </xdr:cNvSpPr>
      </xdr:nvSpPr>
      <xdr:spPr>
        <a:xfrm>
          <a:off x="8810625" y="4438650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104775</xdr:colOff>
      <xdr:row>26</xdr:row>
      <xdr:rowOff>219075</xdr:rowOff>
    </xdr:from>
    <xdr:to>
      <xdr:col>32</xdr:col>
      <xdr:colOff>171450</xdr:colOff>
      <xdr:row>27</xdr:row>
      <xdr:rowOff>19050</xdr:rowOff>
    </xdr:to>
    <xdr:sp>
      <xdr:nvSpPr>
        <xdr:cNvPr id="264" name="Oval 343"/>
        <xdr:cNvSpPr>
          <a:spLocks/>
        </xdr:cNvSpPr>
      </xdr:nvSpPr>
      <xdr:spPr>
        <a:xfrm>
          <a:off x="10020300" y="442912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333375</xdr:colOff>
      <xdr:row>28</xdr:row>
      <xdr:rowOff>85725</xdr:rowOff>
    </xdr:from>
    <xdr:to>
      <xdr:col>26</xdr:col>
      <xdr:colOff>333375</xdr:colOff>
      <xdr:row>37</xdr:row>
      <xdr:rowOff>142875</xdr:rowOff>
    </xdr:to>
    <xdr:sp>
      <xdr:nvSpPr>
        <xdr:cNvPr id="265" name="Line 344"/>
        <xdr:cNvSpPr>
          <a:spLocks/>
        </xdr:cNvSpPr>
      </xdr:nvSpPr>
      <xdr:spPr>
        <a:xfrm>
          <a:off x="8058150" y="4829175"/>
          <a:ext cx="0" cy="1628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238125</xdr:colOff>
      <xdr:row>29</xdr:row>
      <xdr:rowOff>0</xdr:rowOff>
    </xdr:from>
    <xdr:to>
      <xdr:col>26</xdr:col>
      <xdr:colOff>457200</xdr:colOff>
      <xdr:row>29</xdr:row>
      <xdr:rowOff>0</xdr:rowOff>
    </xdr:to>
    <xdr:sp>
      <xdr:nvSpPr>
        <xdr:cNvPr id="266" name="Line 345"/>
        <xdr:cNvSpPr>
          <a:spLocks/>
        </xdr:cNvSpPr>
      </xdr:nvSpPr>
      <xdr:spPr>
        <a:xfrm>
          <a:off x="7962900" y="4962525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295275</xdr:colOff>
      <xdr:row>28</xdr:row>
      <xdr:rowOff>180975</xdr:rowOff>
    </xdr:from>
    <xdr:to>
      <xdr:col>26</xdr:col>
      <xdr:colOff>361950</xdr:colOff>
      <xdr:row>29</xdr:row>
      <xdr:rowOff>28575</xdr:rowOff>
    </xdr:to>
    <xdr:sp>
      <xdr:nvSpPr>
        <xdr:cNvPr id="267" name="Oval 346"/>
        <xdr:cNvSpPr>
          <a:spLocks/>
        </xdr:cNvSpPr>
      </xdr:nvSpPr>
      <xdr:spPr>
        <a:xfrm>
          <a:off x="8020050" y="492442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304800</xdr:colOff>
      <xdr:row>36</xdr:row>
      <xdr:rowOff>19050</xdr:rowOff>
    </xdr:from>
    <xdr:to>
      <xdr:col>26</xdr:col>
      <xdr:colOff>371475</xdr:colOff>
      <xdr:row>37</xdr:row>
      <xdr:rowOff>28575</xdr:rowOff>
    </xdr:to>
    <xdr:sp>
      <xdr:nvSpPr>
        <xdr:cNvPr id="268" name="Oval 347"/>
        <xdr:cNvSpPr>
          <a:spLocks/>
        </xdr:cNvSpPr>
      </xdr:nvSpPr>
      <xdr:spPr>
        <a:xfrm>
          <a:off x="8029575" y="6276975"/>
          <a:ext cx="66675" cy="666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238125</xdr:colOff>
      <xdr:row>37</xdr:row>
      <xdr:rowOff>0</xdr:rowOff>
    </xdr:from>
    <xdr:to>
      <xdr:col>26</xdr:col>
      <xdr:colOff>457200</xdr:colOff>
      <xdr:row>37</xdr:row>
      <xdr:rowOff>0</xdr:rowOff>
    </xdr:to>
    <xdr:sp>
      <xdr:nvSpPr>
        <xdr:cNvPr id="269" name="Line 348"/>
        <xdr:cNvSpPr>
          <a:spLocks/>
        </xdr:cNvSpPr>
      </xdr:nvSpPr>
      <xdr:spPr>
        <a:xfrm>
          <a:off x="7962900" y="6315075"/>
          <a:ext cx="219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66675</xdr:rowOff>
    </xdr:from>
    <xdr:to>
      <xdr:col>26</xdr:col>
      <xdr:colOff>285750</xdr:colOff>
      <xdr:row>33</xdr:row>
      <xdr:rowOff>114300</xdr:rowOff>
    </xdr:to>
    <xdr:sp>
      <xdr:nvSpPr>
        <xdr:cNvPr id="270" name="Text 1659"/>
        <xdr:cNvSpPr txBox="1">
          <a:spLocks noChangeArrowheads="1"/>
        </xdr:cNvSpPr>
      </xdr:nvSpPr>
      <xdr:spPr>
        <a:xfrm>
          <a:off x="7762875" y="5476875"/>
          <a:ext cx="2476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35</a:t>
          </a:r>
        </a:p>
      </xdr:txBody>
    </xdr:sp>
    <xdr:clientData/>
  </xdr:twoCellAnchor>
  <xdr:twoCellAnchor>
    <xdr:from>
      <xdr:col>28</xdr:col>
      <xdr:colOff>0</xdr:colOff>
      <xdr:row>39</xdr:row>
      <xdr:rowOff>257175</xdr:rowOff>
    </xdr:from>
    <xdr:to>
      <xdr:col>32</xdr:col>
      <xdr:colOff>161925</xdr:colOff>
      <xdr:row>41</xdr:row>
      <xdr:rowOff>95250</xdr:rowOff>
    </xdr:to>
    <xdr:sp>
      <xdr:nvSpPr>
        <xdr:cNvPr id="271" name="Text 1680"/>
        <xdr:cNvSpPr txBox="1">
          <a:spLocks noChangeArrowheads="1"/>
        </xdr:cNvSpPr>
      </xdr:nvSpPr>
      <xdr:spPr>
        <a:xfrm>
          <a:off x="8848725" y="7105650"/>
          <a:ext cx="1228725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SECTION   2 - 2</a:t>
          </a:r>
        </a:p>
      </xdr:txBody>
    </xdr:sp>
    <xdr:clientData/>
  </xdr:twoCellAnchor>
  <xdr:twoCellAnchor>
    <xdr:from>
      <xdr:col>31</xdr:col>
      <xdr:colOff>76200</xdr:colOff>
      <xdr:row>33</xdr:row>
      <xdr:rowOff>0</xdr:rowOff>
    </xdr:from>
    <xdr:to>
      <xdr:col>34</xdr:col>
      <xdr:colOff>238125</xdr:colOff>
      <xdr:row>33</xdr:row>
      <xdr:rowOff>28575</xdr:rowOff>
    </xdr:to>
    <xdr:grpSp>
      <xdr:nvGrpSpPr>
        <xdr:cNvPr id="272" name="Group 365"/>
        <xdr:cNvGrpSpPr>
          <a:grpSpLocks/>
        </xdr:cNvGrpSpPr>
      </xdr:nvGrpSpPr>
      <xdr:grpSpPr>
        <a:xfrm>
          <a:off x="9886950" y="5638800"/>
          <a:ext cx="790575" cy="28575"/>
          <a:chOff x="1038" y="590"/>
          <a:chExt cx="83" cy="3"/>
        </a:xfrm>
        <a:solidFill>
          <a:srgbClr val="FFFFFF"/>
        </a:solidFill>
      </xdr:grpSpPr>
      <xdr:sp>
        <xdr:nvSpPr>
          <xdr:cNvPr id="273" name="Line 366"/>
          <xdr:cNvSpPr>
            <a:spLocks/>
          </xdr:cNvSpPr>
        </xdr:nvSpPr>
        <xdr:spPr>
          <a:xfrm>
            <a:off x="1038" y="593"/>
            <a:ext cx="8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74" name="Arc 367"/>
          <xdr:cNvSpPr>
            <a:spLocks/>
          </xdr:cNvSpPr>
        </xdr:nvSpPr>
        <xdr:spPr>
          <a:xfrm flipH="1">
            <a:off x="1039" y="590"/>
            <a:ext cx="8" cy="3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32</xdr:col>
      <xdr:colOff>133350</xdr:colOff>
      <xdr:row>30</xdr:row>
      <xdr:rowOff>28575</xdr:rowOff>
    </xdr:from>
    <xdr:to>
      <xdr:col>32</xdr:col>
      <xdr:colOff>133350</xdr:colOff>
      <xdr:row>35</xdr:row>
      <xdr:rowOff>257175</xdr:rowOff>
    </xdr:to>
    <xdr:sp>
      <xdr:nvSpPr>
        <xdr:cNvPr id="275" name="Line 368"/>
        <xdr:cNvSpPr>
          <a:spLocks/>
        </xdr:cNvSpPr>
      </xdr:nvSpPr>
      <xdr:spPr>
        <a:xfrm>
          <a:off x="10048875" y="5048250"/>
          <a:ext cx="0" cy="1181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38100</xdr:rowOff>
    </xdr:from>
    <xdr:to>
      <xdr:col>28</xdr:col>
      <xdr:colOff>0</xdr:colOff>
      <xdr:row>35</xdr:row>
      <xdr:rowOff>257175</xdr:rowOff>
    </xdr:to>
    <xdr:sp>
      <xdr:nvSpPr>
        <xdr:cNvPr id="276" name="Line 375"/>
        <xdr:cNvSpPr>
          <a:spLocks/>
        </xdr:cNvSpPr>
      </xdr:nvSpPr>
      <xdr:spPr>
        <a:xfrm>
          <a:off x="8848725" y="5057775"/>
          <a:ext cx="0" cy="11715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28</xdr:col>
      <xdr:colOff>95250</xdr:colOff>
      <xdr:row>30</xdr:row>
      <xdr:rowOff>38100</xdr:rowOff>
    </xdr:to>
    <xdr:sp>
      <xdr:nvSpPr>
        <xdr:cNvPr id="277" name="Line 377"/>
        <xdr:cNvSpPr>
          <a:spLocks/>
        </xdr:cNvSpPr>
      </xdr:nvSpPr>
      <xdr:spPr>
        <a:xfrm flipV="1">
          <a:off x="8848725" y="49625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38100</xdr:colOff>
      <xdr:row>35</xdr:row>
      <xdr:rowOff>247650</xdr:rowOff>
    </xdr:from>
    <xdr:to>
      <xdr:col>32</xdr:col>
      <xdr:colOff>133350</xdr:colOff>
      <xdr:row>37</xdr:row>
      <xdr:rowOff>0</xdr:rowOff>
    </xdr:to>
    <xdr:sp>
      <xdr:nvSpPr>
        <xdr:cNvPr id="278" name="Line 378"/>
        <xdr:cNvSpPr>
          <a:spLocks/>
        </xdr:cNvSpPr>
      </xdr:nvSpPr>
      <xdr:spPr>
        <a:xfrm flipV="1">
          <a:off x="9953625" y="62198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247650</xdr:rowOff>
    </xdr:from>
    <xdr:to>
      <xdr:col>28</xdr:col>
      <xdr:colOff>95250</xdr:colOff>
      <xdr:row>37</xdr:row>
      <xdr:rowOff>0</xdr:rowOff>
    </xdr:to>
    <xdr:sp>
      <xdr:nvSpPr>
        <xdr:cNvPr id="279" name="Line 379"/>
        <xdr:cNvSpPr>
          <a:spLocks/>
        </xdr:cNvSpPr>
      </xdr:nvSpPr>
      <xdr:spPr>
        <a:xfrm flipH="1" flipV="1">
          <a:off x="8848725" y="6219825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38100</xdr:colOff>
      <xdr:row>28</xdr:row>
      <xdr:rowOff>209550</xdr:rowOff>
    </xdr:from>
    <xdr:to>
      <xdr:col>32</xdr:col>
      <xdr:colOff>133350</xdr:colOff>
      <xdr:row>30</xdr:row>
      <xdr:rowOff>28575</xdr:rowOff>
    </xdr:to>
    <xdr:sp>
      <xdr:nvSpPr>
        <xdr:cNvPr id="280" name="Line 380"/>
        <xdr:cNvSpPr>
          <a:spLocks/>
        </xdr:cNvSpPr>
      </xdr:nvSpPr>
      <xdr:spPr>
        <a:xfrm flipH="1" flipV="1">
          <a:off x="9953625" y="4953000"/>
          <a:ext cx="952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35</xdr:col>
      <xdr:colOff>38100</xdr:colOff>
      <xdr:row>32</xdr:row>
      <xdr:rowOff>85725</xdr:rowOff>
    </xdr:from>
    <xdr:to>
      <xdr:col>44</xdr:col>
      <xdr:colOff>57150</xdr:colOff>
      <xdr:row>33</xdr:row>
      <xdr:rowOff>104775</xdr:rowOff>
    </xdr:to>
    <xdr:sp>
      <xdr:nvSpPr>
        <xdr:cNvPr id="281" name="Rectangle 408"/>
        <xdr:cNvSpPr>
          <a:spLocks/>
        </xdr:cNvSpPr>
      </xdr:nvSpPr>
      <xdr:spPr>
        <a:xfrm>
          <a:off x="10810875" y="5495925"/>
          <a:ext cx="2085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Æ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4.5 mm.@ 10   SPIRAL STIRRUP</a:t>
          </a:r>
        </a:p>
      </xdr:txBody>
    </xdr:sp>
    <xdr:clientData/>
  </xdr:twoCellAnchor>
  <xdr:twoCellAnchor>
    <xdr:from>
      <xdr:col>5</xdr:col>
      <xdr:colOff>28575</xdr:colOff>
      <xdr:row>28</xdr:row>
      <xdr:rowOff>95250</xdr:rowOff>
    </xdr:from>
    <xdr:to>
      <xdr:col>7</xdr:col>
      <xdr:colOff>152400</xdr:colOff>
      <xdr:row>37</xdr:row>
      <xdr:rowOff>152400</xdr:rowOff>
    </xdr:to>
    <xdr:grpSp>
      <xdr:nvGrpSpPr>
        <xdr:cNvPr id="282" name="Group 530"/>
        <xdr:cNvGrpSpPr>
          <a:grpSpLocks/>
        </xdr:cNvGrpSpPr>
      </xdr:nvGrpSpPr>
      <xdr:grpSpPr>
        <a:xfrm>
          <a:off x="1152525" y="4838700"/>
          <a:ext cx="504825" cy="1628775"/>
          <a:chOff x="121" y="508"/>
          <a:chExt cx="53" cy="171"/>
        </a:xfrm>
        <a:solidFill>
          <a:srgbClr val="FFFFFF"/>
        </a:solidFill>
      </xdr:grpSpPr>
      <xdr:sp>
        <xdr:nvSpPr>
          <xdr:cNvPr id="283" name="Text 1572"/>
          <xdr:cNvSpPr txBox="1">
            <a:spLocks noChangeArrowheads="1"/>
          </xdr:cNvSpPr>
        </xdr:nvSpPr>
        <xdr:spPr>
          <a:xfrm>
            <a:off x="121" y="517"/>
            <a:ext cx="31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284" name="Text 1573"/>
          <xdr:cNvSpPr txBox="1">
            <a:spLocks noChangeArrowheads="1"/>
          </xdr:cNvSpPr>
        </xdr:nvSpPr>
        <xdr:spPr>
          <a:xfrm>
            <a:off x="121" y="635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285" name="Line 411"/>
          <xdr:cNvSpPr>
            <a:spLocks/>
          </xdr:cNvSpPr>
        </xdr:nvSpPr>
        <xdr:spPr>
          <a:xfrm>
            <a:off x="160" y="50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6" name="Line 412"/>
          <xdr:cNvSpPr>
            <a:spLocks/>
          </xdr:cNvSpPr>
        </xdr:nvSpPr>
        <xdr:spPr>
          <a:xfrm>
            <a:off x="150" y="52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7" name="Line 413"/>
          <xdr:cNvSpPr>
            <a:spLocks/>
          </xdr:cNvSpPr>
        </xdr:nvSpPr>
        <xdr:spPr>
          <a:xfrm>
            <a:off x="150" y="66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8" name="Oval 414"/>
          <xdr:cNvSpPr>
            <a:spLocks/>
          </xdr:cNvSpPr>
        </xdr:nvSpPr>
        <xdr:spPr>
          <a:xfrm>
            <a:off x="157" y="51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89" name="Oval 415"/>
          <xdr:cNvSpPr>
            <a:spLocks/>
          </xdr:cNvSpPr>
        </xdr:nvSpPr>
        <xdr:spPr>
          <a:xfrm>
            <a:off x="157" y="65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0" name="Line 416"/>
          <xdr:cNvSpPr>
            <a:spLocks/>
          </xdr:cNvSpPr>
        </xdr:nvSpPr>
        <xdr:spPr>
          <a:xfrm>
            <a:off x="150" y="541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1" name="Oval 421"/>
          <xdr:cNvSpPr>
            <a:spLocks/>
          </xdr:cNvSpPr>
        </xdr:nvSpPr>
        <xdr:spPr>
          <a:xfrm>
            <a:off x="157" y="53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2" name="Line 423"/>
          <xdr:cNvSpPr>
            <a:spLocks/>
          </xdr:cNvSpPr>
        </xdr:nvSpPr>
        <xdr:spPr>
          <a:xfrm>
            <a:off x="149" y="64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293" name="Oval 428"/>
          <xdr:cNvSpPr>
            <a:spLocks/>
          </xdr:cNvSpPr>
        </xdr:nvSpPr>
        <xdr:spPr>
          <a:xfrm>
            <a:off x="157" y="63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</xdr:row>
      <xdr:rowOff>238125</xdr:rowOff>
    </xdr:from>
    <xdr:to>
      <xdr:col>19</xdr:col>
      <xdr:colOff>0</xdr:colOff>
      <xdr:row>4</xdr:row>
      <xdr:rowOff>76200</xdr:rowOff>
    </xdr:to>
    <xdr:sp>
      <xdr:nvSpPr>
        <xdr:cNvPr id="294" name="Line 448"/>
        <xdr:cNvSpPr>
          <a:spLocks/>
        </xdr:cNvSpPr>
      </xdr:nvSpPr>
      <xdr:spPr>
        <a:xfrm flipH="1">
          <a:off x="4810125" y="1209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533400</xdr:colOff>
      <xdr:row>3</xdr:row>
      <xdr:rowOff>285750</xdr:rowOff>
    </xdr:from>
    <xdr:to>
      <xdr:col>19</xdr:col>
      <xdr:colOff>38100</xdr:colOff>
      <xdr:row>4</xdr:row>
      <xdr:rowOff>28575</xdr:rowOff>
    </xdr:to>
    <xdr:sp>
      <xdr:nvSpPr>
        <xdr:cNvPr id="295" name="Oval 449"/>
        <xdr:cNvSpPr>
          <a:spLocks/>
        </xdr:cNvSpPr>
      </xdr:nvSpPr>
      <xdr:spPr>
        <a:xfrm>
          <a:off x="4781550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257175</xdr:colOff>
      <xdr:row>3</xdr:row>
      <xdr:rowOff>209550</xdr:rowOff>
    </xdr:from>
    <xdr:to>
      <xdr:col>34</xdr:col>
      <xdr:colOff>257175</xdr:colOff>
      <xdr:row>4</xdr:row>
      <xdr:rowOff>104775</xdr:rowOff>
    </xdr:to>
    <xdr:sp>
      <xdr:nvSpPr>
        <xdr:cNvPr id="296" name="Line 461"/>
        <xdr:cNvSpPr>
          <a:spLocks/>
        </xdr:cNvSpPr>
      </xdr:nvSpPr>
      <xdr:spPr>
        <a:xfrm>
          <a:off x="10696575" y="1181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34</xdr:col>
      <xdr:colOff>228600</xdr:colOff>
      <xdr:row>3</xdr:row>
      <xdr:rowOff>285750</xdr:rowOff>
    </xdr:from>
    <xdr:to>
      <xdr:col>34</xdr:col>
      <xdr:colOff>295275</xdr:colOff>
      <xdr:row>4</xdr:row>
      <xdr:rowOff>28575</xdr:rowOff>
    </xdr:to>
    <xdr:sp>
      <xdr:nvSpPr>
        <xdr:cNvPr id="297" name="Oval 462"/>
        <xdr:cNvSpPr>
          <a:spLocks/>
        </xdr:cNvSpPr>
      </xdr:nvSpPr>
      <xdr:spPr>
        <a:xfrm>
          <a:off x="10668000" y="1257300"/>
          <a:ext cx="66675" cy="66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22</xdr:col>
      <xdr:colOff>238125</xdr:colOff>
      <xdr:row>12</xdr:row>
      <xdr:rowOff>38100</xdr:rowOff>
    </xdr:from>
    <xdr:to>
      <xdr:col>24</xdr:col>
      <xdr:colOff>0</xdr:colOff>
      <xdr:row>12</xdr:row>
      <xdr:rowOff>114300</xdr:rowOff>
    </xdr:to>
    <xdr:sp>
      <xdr:nvSpPr>
        <xdr:cNvPr id="298" name="Rectangle 475"/>
        <xdr:cNvSpPr>
          <a:spLocks/>
        </xdr:cNvSpPr>
      </xdr:nvSpPr>
      <xdr:spPr>
        <a:xfrm rot="3216938">
          <a:off x="6734175" y="2171700"/>
          <a:ext cx="161925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19050</xdr:rowOff>
    </xdr:from>
    <xdr:to>
      <xdr:col>5</xdr:col>
      <xdr:colOff>171450</xdr:colOff>
      <xdr:row>20</xdr:row>
      <xdr:rowOff>133350</xdr:rowOff>
    </xdr:to>
    <xdr:sp>
      <xdr:nvSpPr>
        <xdr:cNvPr id="299" name="Freeform 485"/>
        <xdr:cNvSpPr>
          <a:spLocks/>
        </xdr:cNvSpPr>
      </xdr:nvSpPr>
      <xdr:spPr>
        <a:xfrm>
          <a:off x="1133475" y="1943100"/>
          <a:ext cx="161925" cy="885825"/>
        </a:xfrm>
        <a:custGeom>
          <a:pathLst>
            <a:path h="89" w="35">
              <a:moveTo>
                <a:pt x="0" y="0"/>
              </a:moveTo>
              <a:lnTo>
                <a:pt x="0" y="89"/>
              </a:lnTo>
              <a:lnTo>
                <a:pt x="35" y="89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38100</xdr:rowOff>
    </xdr:from>
    <xdr:to>
      <xdr:col>5</xdr:col>
      <xdr:colOff>9525</xdr:colOff>
      <xdr:row>18</xdr:row>
      <xdr:rowOff>66675</xdr:rowOff>
    </xdr:to>
    <xdr:sp>
      <xdr:nvSpPr>
        <xdr:cNvPr id="300" name="Line 486"/>
        <xdr:cNvSpPr>
          <a:spLocks/>
        </xdr:cNvSpPr>
      </xdr:nvSpPr>
      <xdr:spPr>
        <a:xfrm flipV="1">
          <a:off x="1133475" y="2466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295275</xdr:colOff>
      <xdr:row>8</xdr:row>
      <xdr:rowOff>9525</xdr:rowOff>
    </xdr:from>
    <xdr:to>
      <xdr:col>25</xdr:col>
      <xdr:colOff>542925</xdr:colOff>
      <xdr:row>20</xdr:row>
      <xdr:rowOff>123825</xdr:rowOff>
    </xdr:to>
    <xdr:sp>
      <xdr:nvSpPr>
        <xdr:cNvPr id="301" name="Freeform 487"/>
        <xdr:cNvSpPr>
          <a:spLocks/>
        </xdr:cNvSpPr>
      </xdr:nvSpPr>
      <xdr:spPr>
        <a:xfrm>
          <a:off x="7458075" y="1933575"/>
          <a:ext cx="247650" cy="885825"/>
        </a:xfrm>
        <a:custGeom>
          <a:pathLst>
            <a:path h="89" w="35">
              <a:moveTo>
                <a:pt x="0" y="0"/>
              </a:moveTo>
              <a:lnTo>
                <a:pt x="0" y="89"/>
              </a:lnTo>
              <a:lnTo>
                <a:pt x="35" y="89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295275</xdr:colOff>
      <xdr:row>15</xdr:row>
      <xdr:rowOff>38100</xdr:rowOff>
    </xdr:from>
    <xdr:to>
      <xdr:col>25</xdr:col>
      <xdr:colOff>295275</xdr:colOff>
      <xdr:row>19</xdr:row>
      <xdr:rowOff>9525</xdr:rowOff>
    </xdr:to>
    <xdr:sp>
      <xdr:nvSpPr>
        <xdr:cNvPr id="302" name="Line 488"/>
        <xdr:cNvSpPr>
          <a:spLocks/>
        </xdr:cNvSpPr>
      </xdr:nvSpPr>
      <xdr:spPr>
        <a:xfrm flipV="1">
          <a:off x="7458075" y="24669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95250</xdr:colOff>
      <xdr:row>33</xdr:row>
      <xdr:rowOff>123825</xdr:rowOff>
    </xdr:from>
    <xdr:to>
      <xdr:col>20</xdr:col>
      <xdr:colOff>390525</xdr:colOff>
      <xdr:row>35</xdr:row>
      <xdr:rowOff>152400</xdr:rowOff>
    </xdr:to>
    <xdr:sp>
      <xdr:nvSpPr>
        <xdr:cNvPr id="303" name="Text Box 495"/>
        <xdr:cNvSpPr txBox="1">
          <a:spLocks noChangeArrowheads="1"/>
        </xdr:cNvSpPr>
      </xdr:nvSpPr>
      <xdr:spPr>
        <a:xfrm>
          <a:off x="3838575" y="5762625"/>
          <a:ext cx="1924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4 DB.20 mm.x 10.00 m.</a:t>
          </a:r>
        </a:p>
      </xdr:txBody>
    </xdr:sp>
    <xdr:clientData/>
  </xdr:twoCellAnchor>
  <xdr:twoCellAnchor>
    <xdr:from>
      <xdr:col>10</xdr:col>
      <xdr:colOff>47625</xdr:colOff>
      <xdr:row>27</xdr:row>
      <xdr:rowOff>9525</xdr:rowOff>
    </xdr:from>
    <xdr:to>
      <xdr:col>20</xdr:col>
      <xdr:colOff>381000</xdr:colOff>
      <xdr:row>30</xdr:row>
      <xdr:rowOff>200025</xdr:rowOff>
    </xdr:to>
    <xdr:grpSp>
      <xdr:nvGrpSpPr>
        <xdr:cNvPr id="304" name="Group 564"/>
        <xdr:cNvGrpSpPr>
          <a:grpSpLocks/>
        </xdr:cNvGrpSpPr>
      </xdr:nvGrpSpPr>
      <xdr:grpSpPr>
        <a:xfrm>
          <a:off x="2266950" y="4486275"/>
          <a:ext cx="3486150" cy="733425"/>
          <a:chOff x="238" y="471"/>
          <a:chExt cx="366" cy="77"/>
        </a:xfrm>
        <a:solidFill>
          <a:srgbClr val="FFFFFF"/>
        </a:solidFill>
      </xdr:grpSpPr>
      <xdr:sp>
        <xdr:nvSpPr>
          <xdr:cNvPr id="305" name="Text Box 496"/>
          <xdr:cNvSpPr txBox="1">
            <a:spLocks noChangeArrowheads="1"/>
          </xdr:cNvSpPr>
        </xdr:nvSpPr>
        <xdr:spPr>
          <a:xfrm>
            <a:off x="402" y="471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 DB.20 mm.x 18.00 m.</a:t>
            </a:r>
          </a:p>
        </xdr:txBody>
      </xdr:sp>
      <xdr:sp>
        <xdr:nvSpPr>
          <xdr:cNvPr id="306" name="Freeform 497"/>
          <xdr:cNvSpPr>
            <a:spLocks/>
          </xdr:cNvSpPr>
        </xdr:nvSpPr>
        <xdr:spPr>
          <a:xfrm>
            <a:off x="238" y="491"/>
            <a:ext cx="154" cy="57"/>
          </a:xfrm>
          <a:custGeom>
            <a:pathLst>
              <a:path h="54" w="139">
                <a:moveTo>
                  <a:pt x="0" y="54"/>
                </a:moveTo>
                <a:lnTo>
                  <a:pt x="76" y="0"/>
                </a:lnTo>
                <a:lnTo>
                  <a:pt x="139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11</xdr:col>
      <xdr:colOff>276225</xdr:colOff>
      <xdr:row>34</xdr:row>
      <xdr:rowOff>47625</xdr:rowOff>
    </xdr:from>
    <xdr:to>
      <xdr:col>14</xdr:col>
      <xdr:colOff>171450</xdr:colOff>
      <xdr:row>35</xdr:row>
      <xdr:rowOff>47625</xdr:rowOff>
    </xdr:to>
    <xdr:sp>
      <xdr:nvSpPr>
        <xdr:cNvPr id="307" name="Freeform 498"/>
        <xdr:cNvSpPr>
          <a:spLocks/>
        </xdr:cNvSpPr>
      </xdr:nvSpPr>
      <xdr:spPr>
        <a:xfrm>
          <a:off x="2828925" y="5915025"/>
          <a:ext cx="895350" cy="104775"/>
        </a:xfrm>
        <a:custGeom>
          <a:pathLst>
            <a:path h="7" w="104">
              <a:moveTo>
                <a:pt x="0" y="7"/>
              </a:moveTo>
              <a:lnTo>
                <a:pt x="43" y="0"/>
              </a:lnTo>
              <a:lnTo>
                <a:pt x="104" y="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25</xdr:col>
      <xdr:colOff>133350</xdr:colOff>
      <xdr:row>46</xdr:row>
      <xdr:rowOff>66675</xdr:rowOff>
    </xdr:from>
    <xdr:to>
      <xdr:col>25</xdr:col>
      <xdr:colOff>276225</xdr:colOff>
      <xdr:row>47</xdr:row>
      <xdr:rowOff>247650</xdr:rowOff>
    </xdr:to>
    <xdr:sp>
      <xdr:nvSpPr>
        <xdr:cNvPr id="308" name="AutoShape 506"/>
        <xdr:cNvSpPr>
          <a:spLocks/>
        </xdr:cNvSpPr>
      </xdr:nvSpPr>
      <xdr:spPr>
        <a:xfrm>
          <a:off x="7296150" y="8782050"/>
          <a:ext cx="1428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47625</xdr:rowOff>
    </xdr:from>
    <xdr:to>
      <xdr:col>12</xdr:col>
      <xdr:colOff>238125</xdr:colOff>
      <xdr:row>39</xdr:row>
      <xdr:rowOff>228600</xdr:rowOff>
    </xdr:to>
    <xdr:grpSp>
      <xdr:nvGrpSpPr>
        <xdr:cNvPr id="309" name="Group 531"/>
        <xdr:cNvGrpSpPr>
          <a:grpSpLocks/>
        </xdr:cNvGrpSpPr>
      </xdr:nvGrpSpPr>
      <xdr:grpSpPr>
        <a:xfrm>
          <a:off x="1695450" y="6362700"/>
          <a:ext cx="1428750" cy="714375"/>
          <a:chOff x="178" y="668"/>
          <a:chExt cx="150" cy="75"/>
        </a:xfrm>
        <a:solidFill>
          <a:srgbClr val="FFFFFF"/>
        </a:solidFill>
      </xdr:grpSpPr>
      <xdr:sp>
        <xdr:nvSpPr>
          <xdr:cNvPr id="310" name="Line 99"/>
          <xdr:cNvSpPr>
            <a:spLocks/>
          </xdr:cNvSpPr>
        </xdr:nvSpPr>
        <xdr:spPr>
          <a:xfrm>
            <a:off x="178" y="703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1" name="Line 122"/>
          <xdr:cNvSpPr>
            <a:spLocks/>
          </xdr:cNvSpPr>
        </xdr:nvSpPr>
        <xdr:spPr>
          <a:xfrm>
            <a:off x="189" y="6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12" name="Oval 124"/>
          <xdr:cNvSpPr>
            <a:spLocks/>
          </xdr:cNvSpPr>
        </xdr:nvSpPr>
        <xdr:spPr>
          <a:xfrm>
            <a:off x="186" y="69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313" name="Group 516"/>
          <xdr:cNvGrpSpPr>
            <a:grpSpLocks/>
          </xdr:cNvGrpSpPr>
        </xdr:nvGrpSpPr>
        <xdr:grpSpPr>
          <a:xfrm>
            <a:off x="310" y="694"/>
            <a:ext cx="7" cy="19"/>
            <a:chOff x="310" y="694"/>
            <a:chExt cx="7" cy="19"/>
          </a:xfrm>
          <a:solidFill>
            <a:srgbClr val="FFFFFF"/>
          </a:solidFill>
        </xdr:grpSpPr>
        <xdr:sp>
          <xdr:nvSpPr>
            <xdr:cNvPr id="314" name="Line 123"/>
            <xdr:cNvSpPr>
              <a:spLocks/>
            </xdr:cNvSpPr>
          </xdr:nvSpPr>
          <xdr:spPr>
            <a:xfrm>
              <a:off x="31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15" name="Oval 125"/>
            <xdr:cNvSpPr>
              <a:spLocks/>
            </xdr:cNvSpPr>
          </xdr:nvSpPr>
          <xdr:spPr>
            <a:xfrm>
              <a:off x="31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16" name="Group 508"/>
          <xdr:cNvGrpSpPr>
            <a:grpSpLocks/>
          </xdr:cNvGrpSpPr>
        </xdr:nvGrpSpPr>
        <xdr:grpSpPr>
          <a:xfrm>
            <a:off x="199" y="694"/>
            <a:ext cx="7" cy="19"/>
            <a:chOff x="201" y="694"/>
            <a:chExt cx="7" cy="19"/>
          </a:xfrm>
          <a:solidFill>
            <a:srgbClr val="FFFFFF"/>
          </a:solidFill>
        </xdr:grpSpPr>
        <xdr:sp>
          <xdr:nvSpPr>
            <xdr:cNvPr id="317" name="Line 132"/>
            <xdr:cNvSpPr>
              <a:spLocks/>
            </xdr:cNvSpPr>
          </xdr:nvSpPr>
          <xdr:spPr>
            <a:xfrm>
              <a:off x="205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18" name="Oval 134"/>
            <xdr:cNvSpPr>
              <a:spLocks/>
            </xdr:cNvSpPr>
          </xdr:nvSpPr>
          <xdr:spPr>
            <a:xfrm>
              <a:off x="201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19" name="Group 515"/>
          <xdr:cNvGrpSpPr>
            <a:grpSpLocks/>
          </xdr:cNvGrpSpPr>
        </xdr:nvGrpSpPr>
        <xdr:grpSpPr>
          <a:xfrm>
            <a:off x="296" y="694"/>
            <a:ext cx="7" cy="19"/>
            <a:chOff x="292" y="694"/>
            <a:chExt cx="7" cy="19"/>
          </a:xfrm>
          <a:solidFill>
            <a:srgbClr val="FFFFFF"/>
          </a:solidFill>
        </xdr:grpSpPr>
        <xdr:sp>
          <xdr:nvSpPr>
            <xdr:cNvPr id="320" name="Line 133"/>
            <xdr:cNvSpPr>
              <a:spLocks/>
            </xdr:cNvSpPr>
          </xdr:nvSpPr>
          <xdr:spPr>
            <a:xfrm>
              <a:off x="295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21" name="Oval 135"/>
            <xdr:cNvSpPr>
              <a:spLocks/>
            </xdr:cNvSpPr>
          </xdr:nvSpPr>
          <xdr:spPr>
            <a:xfrm>
              <a:off x="292" y="700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22" name="Group 507"/>
          <xdr:cNvGrpSpPr>
            <a:grpSpLocks/>
          </xdr:cNvGrpSpPr>
        </xdr:nvGrpSpPr>
        <xdr:grpSpPr>
          <a:xfrm>
            <a:off x="212" y="694"/>
            <a:ext cx="7" cy="19"/>
            <a:chOff x="218" y="694"/>
            <a:chExt cx="7" cy="19"/>
          </a:xfrm>
          <a:solidFill>
            <a:srgbClr val="FFFFFF"/>
          </a:solidFill>
        </xdr:grpSpPr>
        <xdr:sp>
          <xdr:nvSpPr>
            <xdr:cNvPr id="323" name="Line 234"/>
            <xdr:cNvSpPr>
              <a:spLocks/>
            </xdr:cNvSpPr>
          </xdr:nvSpPr>
          <xdr:spPr>
            <a:xfrm>
              <a:off x="221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24" name="Oval 238"/>
            <xdr:cNvSpPr>
              <a:spLocks/>
            </xdr:cNvSpPr>
          </xdr:nvSpPr>
          <xdr:spPr>
            <a:xfrm>
              <a:off x="218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25" name="Group 509"/>
          <xdr:cNvGrpSpPr>
            <a:grpSpLocks/>
          </xdr:cNvGrpSpPr>
        </xdr:nvGrpSpPr>
        <xdr:grpSpPr>
          <a:xfrm>
            <a:off x="225" y="695"/>
            <a:ext cx="7" cy="19"/>
            <a:chOff x="233" y="695"/>
            <a:chExt cx="7" cy="19"/>
          </a:xfrm>
          <a:solidFill>
            <a:srgbClr val="FFFFFF"/>
          </a:solidFill>
        </xdr:grpSpPr>
        <xdr:sp>
          <xdr:nvSpPr>
            <xdr:cNvPr id="326" name="Line 235"/>
            <xdr:cNvSpPr>
              <a:spLocks/>
            </xdr:cNvSpPr>
          </xdr:nvSpPr>
          <xdr:spPr>
            <a:xfrm>
              <a:off x="236" y="69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27" name="Oval 239"/>
            <xdr:cNvSpPr>
              <a:spLocks/>
            </xdr:cNvSpPr>
          </xdr:nvSpPr>
          <xdr:spPr>
            <a:xfrm>
              <a:off x="233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28" name="Group 513"/>
          <xdr:cNvGrpSpPr>
            <a:grpSpLocks/>
          </xdr:cNvGrpSpPr>
        </xdr:nvGrpSpPr>
        <xdr:grpSpPr>
          <a:xfrm>
            <a:off x="285" y="694"/>
            <a:ext cx="7" cy="19"/>
            <a:chOff x="276" y="694"/>
            <a:chExt cx="7" cy="19"/>
          </a:xfrm>
          <a:solidFill>
            <a:srgbClr val="FFFFFF"/>
          </a:solidFill>
        </xdr:grpSpPr>
        <xdr:sp>
          <xdr:nvSpPr>
            <xdr:cNvPr id="329" name="Line 237"/>
            <xdr:cNvSpPr>
              <a:spLocks/>
            </xdr:cNvSpPr>
          </xdr:nvSpPr>
          <xdr:spPr>
            <a:xfrm>
              <a:off x="280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30" name="Oval 240"/>
            <xdr:cNvSpPr>
              <a:spLocks/>
            </xdr:cNvSpPr>
          </xdr:nvSpPr>
          <xdr:spPr>
            <a:xfrm>
              <a:off x="276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31" name="Group 514"/>
          <xdr:cNvGrpSpPr>
            <a:grpSpLocks/>
          </xdr:cNvGrpSpPr>
        </xdr:nvGrpSpPr>
        <xdr:grpSpPr>
          <a:xfrm>
            <a:off x="273" y="694"/>
            <a:ext cx="7" cy="19"/>
            <a:chOff x="260" y="694"/>
            <a:chExt cx="7" cy="19"/>
          </a:xfrm>
          <a:solidFill>
            <a:srgbClr val="FFFFFF"/>
          </a:solidFill>
        </xdr:grpSpPr>
        <xdr:sp>
          <xdr:nvSpPr>
            <xdr:cNvPr id="332" name="Line 236"/>
            <xdr:cNvSpPr>
              <a:spLocks/>
            </xdr:cNvSpPr>
          </xdr:nvSpPr>
          <xdr:spPr>
            <a:xfrm>
              <a:off x="26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33" name="Oval 241"/>
            <xdr:cNvSpPr>
              <a:spLocks/>
            </xdr:cNvSpPr>
          </xdr:nvSpPr>
          <xdr:spPr>
            <a:xfrm>
              <a:off x="26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334" name="Text 1944"/>
          <xdr:cNvSpPr txBox="1">
            <a:spLocks noChangeArrowheads="1"/>
          </xdr:cNvSpPr>
        </xdr:nvSpPr>
        <xdr:spPr>
          <a:xfrm>
            <a:off x="184" y="668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335" name="Text 1945"/>
          <xdr:cNvSpPr txBox="1">
            <a:spLocks noChangeArrowheads="1"/>
          </xdr:cNvSpPr>
        </xdr:nvSpPr>
        <xdr:spPr>
          <a:xfrm>
            <a:off x="296" y="668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336" name="Text 1946"/>
          <xdr:cNvSpPr txBox="1">
            <a:spLocks noChangeArrowheads="1"/>
          </xdr:cNvSpPr>
        </xdr:nvSpPr>
        <xdr:spPr>
          <a:xfrm>
            <a:off x="198" y="708"/>
            <a:ext cx="27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337" name="Text 1947"/>
          <xdr:cNvSpPr txBox="1">
            <a:spLocks noChangeArrowheads="1"/>
          </xdr:cNvSpPr>
        </xdr:nvSpPr>
        <xdr:spPr>
          <a:xfrm>
            <a:off x="283" y="70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338" name="Text 1948"/>
          <xdr:cNvSpPr txBox="1">
            <a:spLocks noChangeArrowheads="1"/>
          </xdr:cNvSpPr>
        </xdr:nvSpPr>
        <xdr:spPr>
          <a:xfrm>
            <a:off x="212" y="66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339" name="Text 1949"/>
          <xdr:cNvSpPr txBox="1">
            <a:spLocks noChangeArrowheads="1"/>
          </xdr:cNvSpPr>
        </xdr:nvSpPr>
        <xdr:spPr>
          <a:xfrm>
            <a:off x="273" y="669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340" name="Text 1950"/>
          <xdr:cNvSpPr txBox="1">
            <a:spLocks noChangeArrowheads="1"/>
          </xdr:cNvSpPr>
        </xdr:nvSpPr>
        <xdr:spPr>
          <a:xfrm>
            <a:off x="225" y="708"/>
            <a:ext cx="24" cy="3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grpSp>
        <xdr:nvGrpSpPr>
          <xdr:cNvPr id="341" name="Group 510"/>
          <xdr:cNvGrpSpPr>
            <a:grpSpLocks/>
          </xdr:cNvGrpSpPr>
        </xdr:nvGrpSpPr>
        <xdr:grpSpPr>
          <a:xfrm>
            <a:off x="239" y="695"/>
            <a:ext cx="7" cy="19"/>
            <a:chOff x="233" y="695"/>
            <a:chExt cx="7" cy="19"/>
          </a:xfrm>
          <a:solidFill>
            <a:srgbClr val="FFFFFF"/>
          </a:solidFill>
        </xdr:grpSpPr>
        <xdr:sp>
          <xdr:nvSpPr>
            <xdr:cNvPr id="342" name="Line 511"/>
            <xdr:cNvSpPr>
              <a:spLocks/>
            </xdr:cNvSpPr>
          </xdr:nvSpPr>
          <xdr:spPr>
            <a:xfrm>
              <a:off x="236" y="69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43" name="Oval 512"/>
            <xdr:cNvSpPr>
              <a:spLocks/>
            </xdr:cNvSpPr>
          </xdr:nvSpPr>
          <xdr:spPr>
            <a:xfrm>
              <a:off x="233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344" name="Group 517"/>
          <xdr:cNvGrpSpPr>
            <a:grpSpLocks/>
          </xdr:cNvGrpSpPr>
        </xdr:nvGrpSpPr>
        <xdr:grpSpPr>
          <a:xfrm>
            <a:off x="259" y="694"/>
            <a:ext cx="7" cy="19"/>
            <a:chOff x="260" y="694"/>
            <a:chExt cx="7" cy="19"/>
          </a:xfrm>
          <a:solidFill>
            <a:srgbClr val="FFFFFF"/>
          </a:solidFill>
        </xdr:grpSpPr>
        <xdr:sp>
          <xdr:nvSpPr>
            <xdr:cNvPr id="345" name="Line 518"/>
            <xdr:cNvSpPr>
              <a:spLocks/>
            </xdr:cNvSpPr>
          </xdr:nvSpPr>
          <xdr:spPr>
            <a:xfrm>
              <a:off x="26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346" name="Oval 519"/>
            <xdr:cNvSpPr>
              <a:spLocks/>
            </xdr:cNvSpPr>
          </xdr:nvSpPr>
          <xdr:spPr>
            <a:xfrm>
              <a:off x="26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347" name="Text 1949"/>
          <xdr:cNvSpPr txBox="1">
            <a:spLocks noChangeArrowheads="1"/>
          </xdr:cNvSpPr>
        </xdr:nvSpPr>
        <xdr:spPr>
          <a:xfrm>
            <a:off x="257" y="70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348" name="Text 1949"/>
          <xdr:cNvSpPr txBox="1">
            <a:spLocks noChangeArrowheads="1"/>
          </xdr:cNvSpPr>
        </xdr:nvSpPr>
        <xdr:spPr>
          <a:xfrm>
            <a:off x="239" y="669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7.0</a:t>
            </a:r>
          </a:p>
        </xdr:txBody>
      </xdr:sp>
    </xdr:grpSp>
    <xdr:clientData/>
  </xdr:twoCellAnchor>
  <xdr:twoCellAnchor>
    <xdr:from>
      <xdr:col>9</xdr:col>
      <xdr:colOff>9525</xdr:colOff>
      <xdr:row>30</xdr:row>
      <xdr:rowOff>57150</xdr:rowOff>
    </xdr:from>
    <xdr:to>
      <xdr:col>12</xdr:col>
      <xdr:colOff>0</xdr:colOff>
      <xdr:row>35</xdr:row>
      <xdr:rowOff>228600</xdr:rowOff>
    </xdr:to>
    <xdr:grpSp>
      <xdr:nvGrpSpPr>
        <xdr:cNvPr id="349" name="Group 532"/>
        <xdr:cNvGrpSpPr>
          <a:grpSpLocks/>
        </xdr:cNvGrpSpPr>
      </xdr:nvGrpSpPr>
      <xdr:grpSpPr>
        <a:xfrm>
          <a:off x="1895475" y="5076825"/>
          <a:ext cx="990600" cy="1123950"/>
          <a:chOff x="199" y="533"/>
          <a:chExt cx="104" cy="118"/>
        </a:xfrm>
        <a:solidFill>
          <a:srgbClr val="FFFFFF"/>
        </a:solidFill>
      </xdr:grpSpPr>
      <xdr:sp>
        <xdr:nvSpPr>
          <xdr:cNvPr id="350" name="Line 112"/>
          <xdr:cNvSpPr>
            <a:spLocks/>
          </xdr:cNvSpPr>
        </xdr:nvSpPr>
        <xdr:spPr>
          <a:xfrm>
            <a:off x="204" y="533"/>
            <a:ext cx="9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1" name="Line 113"/>
          <xdr:cNvSpPr>
            <a:spLocks/>
          </xdr:cNvSpPr>
        </xdr:nvSpPr>
        <xdr:spPr>
          <a:xfrm>
            <a:off x="205" y="651"/>
            <a:ext cx="9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2" name="Oval 126"/>
          <xdr:cNvSpPr>
            <a:spLocks/>
          </xdr:cNvSpPr>
        </xdr:nvSpPr>
        <xdr:spPr>
          <a:xfrm>
            <a:off x="202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3" name="Oval 127"/>
          <xdr:cNvSpPr>
            <a:spLocks/>
          </xdr:cNvSpPr>
        </xdr:nvSpPr>
        <xdr:spPr>
          <a:xfrm>
            <a:off x="203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4" name="Oval 128"/>
          <xdr:cNvSpPr>
            <a:spLocks/>
          </xdr:cNvSpPr>
        </xdr:nvSpPr>
        <xdr:spPr>
          <a:xfrm>
            <a:off x="295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5" name="Oval 129"/>
          <xdr:cNvSpPr>
            <a:spLocks/>
          </xdr:cNvSpPr>
        </xdr:nvSpPr>
        <xdr:spPr>
          <a:xfrm>
            <a:off x="295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6" name="Line 191"/>
          <xdr:cNvSpPr>
            <a:spLocks/>
          </xdr:cNvSpPr>
        </xdr:nvSpPr>
        <xdr:spPr>
          <a:xfrm>
            <a:off x="199" y="540"/>
            <a:ext cx="0" cy="105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7" name="Line 192"/>
          <xdr:cNvSpPr>
            <a:spLocks/>
          </xdr:cNvSpPr>
        </xdr:nvSpPr>
        <xdr:spPr>
          <a:xfrm>
            <a:off x="303" y="541"/>
            <a:ext cx="0" cy="10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8" name="Arc 193"/>
          <xdr:cNvSpPr>
            <a:spLocks/>
          </xdr:cNvSpPr>
        </xdr:nvSpPr>
        <xdr:spPr>
          <a:xfrm flipH="1">
            <a:off x="199" y="533"/>
            <a:ext cx="5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59" name="Arc 194"/>
          <xdr:cNvSpPr>
            <a:spLocks/>
          </xdr:cNvSpPr>
        </xdr:nvSpPr>
        <xdr:spPr>
          <a:xfrm>
            <a:off x="295" y="533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0" name="Arc 195"/>
          <xdr:cNvSpPr>
            <a:spLocks/>
          </xdr:cNvSpPr>
        </xdr:nvSpPr>
        <xdr:spPr>
          <a:xfrm flipV="1">
            <a:off x="296" y="640"/>
            <a:ext cx="7" cy="1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1" name="Arc 196"/>
          <xdr:cNvSpPr>
            <a:spLocks/>
          </xdr:cNvSpPr>
        </xdr:nvSpPr>
        <xdr:spPr>
          <a:xfrm flipH="1" flipV="1">
            <a:off x="199" y="643"/>
            <a:ext cx="8" cy="8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2" name="Oval 225"/>
          <xdr:cNvSpPr>
            <a:spLocks/>
          </xdr:cNvSpPr>
        </xdr:nvSpPr>
        <xdr:spPr>
          <a:xfrm>
            <a:off x="213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3" name="Oval 226"/>
          <xdr:cNvSpPr>
            <a:spLocks/>
          </xdr:cNvSpPr>
        </xdr:nvSpPr>
        <xdr:spPr>
          <a:xfrm>
            <a:off x="214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4" name="Oval 228"/>
          <xdr:cNvSpPr>
            <a:spLocks/>
          </xdr:cNvSpPr>
        </xdr:nvSpPr>
        <xdr:spPr>
          <a:xfrm>
            <a:off x="284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5" name="Oval 230"/>
          <xdr:cNvSpPr>
            <a:spLocks/>
          </xdr:cNvSpPr>
        </xdr:nvSpPr>
        <xdr:spPr>
          <a:xfrm>
            <a:off x="285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6" name="Oval 489"/>
          <xdr:cNvSpPr>
            <a:spLocks/>
          </xdr:cNvSpPr>
        </xdr:nvSpPr>
        <xdr:spPr>
          <a:xfrm>
            <a:off x="205" y="542"/>
            <a:ext cx="8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7" name="Oval 490"/>
          <xdr:cNvSpPr>
            <a:spLocks/>
          </xdr:cNvSpPr>
        </xdr:nvSpPr>
        <xdr:spPr>
          <a:xfrm>
            <a:off x="287" y="543"/>
            <a:ext cx="8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8" name="Oval 491"/>
          <xdr:cNvSpPr>
            <a:spLocks/>
          </xdr:cNvSpPr>
        </xdr:nvSpPr>
        <xdr:spPr>
          <a:xfrm>
            <a:off x="288" y="631"/>
            <a:ext cx="8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69" name="Oval 492"/>
          <xdr:cNvSpPr>
            <a:spLocks/>
          </xdr:cNvSpPr>
        </xdr:nvSpPr>
        <xdr:spPr>
          <a:xfrm>
            <a:off x="206" y="632"/>
            <a:ext cx="8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0" name="Oval 493" descr="ลายเส้นหนาทแยงมุมลง"/>
          <xdr:cNvSpPr>
            <a:spLocks/>
          </xdr:cNvSpPr>
        </xdr:nvSpPr>
        <xdr:spPr>
          <a:xfrm>
            <a:off x="228" y="542"/>
            <a:ext cx="8" cy="10"/>
          </a:xfrm>
          <a:prstGeom prst="ellipse">
            <a:avLst/>
          </a:prstGeom>
          <a:pattFill prst="dk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1" name="Oval 494" descr="ลายเส้นหนาทแยงมุมลง"/>
          <xdr:cNvSpPr>
            <a:spLocks/>
          </xdr:cNvSpPr>
        </xdr:nvSpPr>
        <xdr:spPr>
          <a:xfrm>
            <a:off x="265" y="634"/>
            <a:ext cx="8" cy="10"/>
          </a:xfrm>
          <a:prstGeom prst="ellipse">
            <a:avLst/>
          </a:prstGeom>
          <a:pattFill prst="dk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2" name="Oval 522"/>
          <xdr:cNvSpPr>
            <a:spLocks/>
          </xdr:cNvSpPr>
        </xdr:nvSpPr>
        <xdr:spPr>
          <a:xfrm>
            <a:off x="224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3" name="Oval 523"/>
          <xdr:cNvSpPr>
            <a:spLocks/>
          </xdr:cNvSpPr>
        </xdr:nvSpPr>
        <xdr:spPr>
          <a:xfrm>
            <a:off x="225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4" name="Oval 524"/>
          <xdr:cNvSpPr>
            <a:spLocks/>
          </xdr:cNvSpPr>
        </xdr:nvSpPr>
        <xdr:spPr>
          <a:xfrm>
            <a:off x="237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5" name="Oval 525"/>
          <xdr:cNvSpPr>
            <a:spLocks/>
          </xdr:cNvSpPr>
        </xdr:nvSpPr>
        <xdr:spPr>
          <a:xfrm>
            <a:off x="238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6" name="Oval 526"/>
          <xdr:cNvSpPr>
            <a:spLocks/>
          </xdr:cNvSpPr>
        </xdr:nvSpPr>
        <xdr:spPr>
          <a:xfrm>
            <a:off x="274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7" name="Oval 527"/>
          <xdr:cNvSpPr>
            <a:spLocks/>
          </xdr:cNvSpPr>
        </xdr:nvSpPr>
        <xdr:spPr>
          <a:xfrm>
            <a:off x="275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8" name="Oval 528"/>
          <xdr:cNvSpPr>
            <a:spLocks/>
          </xdr:cNvSpPr>
        </xdr:nvSpPr>
        <xdr:spPr>
          <a:xfrm>
            <a:off x="262" y="5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79" name="Oval 529"/>
          <xdr:cNvSpPr>
            <a:spLocks/>
          </xdr:cNvSpPr>
        </xdr:nvSpPr>
        <xdr:spPr>
          <a:xfrm>
            <a:off x="260" y="640"/>
            <a:ext cx="3" cy="5"/>
          </a:xfrm>
          <a:prstGeom prst="ellipse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28</xdr:col>
      <xdr:colOff>152400</xdr:colOff>
      <xdr:row>30</xdr:row>
      <xdr:rowOff>57150</xdr:rowOff>
    </xdr:from>
    <xdr:to>
      <xdr:col>31</xdr:col>
      <xdr:colOff>76200</xdr:colOff>
      <xdr:row>30</xdr:row>
      <xdr:rowOff>57150</xdr:rowOff>
    </xdr:to>
    <xdr:sp>
      <xdr:nvSpPr>
        <xdr:cNvPr id="380" name="Line 534"/>
        <xdr:cNvSpPr>
          <a:spLocks/>
        </xdr:cNvSpPr>
      </xdr:nvSpPr>
      <xdr:spPr>
        <a:xfrm>
          <a:off x="9001125" y="5076825"/>
          <a:ext cx="885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161925</xdr:colOff>
      <xdr:row>35</xdr:row>
      <xdr:rowOff>228600</xdr:rowOff>
    </xdr:from>
    <xdr:to>
      <xdr:col>31</xdr:col>
      <xdr:colOff>76200</xdr:colOff>
      <xdr:row>35</xdr:row>
      <xdr:rowOff>228600</xdr:rowOff>
    </xdr:to>
    <xdr:sp>
      <xdr:nvSpPr>
        <xdr:cNvPr id="381" name="Line 535"/>
        <xdr:cNvSpPr>
          <a:spLocks/>
        </xdr:cNvSpPr>
      </xdr:nvSpPr>
      <xdr:spPr>
        <a:xfrm>
          <a:off x="9010650" y="6200775"/>
          <a:ext cx="876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133350</xdr:colOff>
      <xdr:row>30</xdr:row>
      <xdr:rowOff>123825</xdr:rowOff>
    </xdr:from>
    <xdr:to>
      <xdr:col>28</xdr:col>
      <xdr:colOff>161925</xdr:colOff>
      <xdr:row>30</xdr:row>
      <xdr:rowOff>171450</xdr:rowOff>
    </xdr:to>
    <xdr:sp>
      <xdr:nvSpPr>
        <xdr:cNvPr id="382" name="Oval 536"/>
        <xdr:cNvSpPr>
          <a:spLocks/>
        </xdr:cNvSpPr>
      </xdr:nvSpPr>
      <xdr:spPr>
        <a:xfrm>
          <a:off x="8982075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142875</xdr:colOff>
      <xdr:row>35</xdr:row>
      <xdr:rowOff>123825</xdr:rowOff>
    </xdr:from>
    <xdr:to>
      <xdr:col>28</xdr:col>
      <xdr:colOff>171450</xdr:colOff>
      <xdr:row>35</xdr:row>
      <xdr:rowOff>171450</xdr:rowOff>
    </xdr:to>
    <xdr:sp>
      <xdr:nvSpPr>
        <xdr:cNvPr id="383" name="Oval 537"/>
        <xdr:cNvSpPr>
          <a:spLocks/>
        </xdr:cNvSpPr>
      </xdr:nvSpPr>
      <xdr:spPr>
        <a:xfrm>
          <a:off x="8991600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57150</xdr:colOff>
      <xdr:row>30</xdr:row>
      <xdr:rowOff>123825</xdr:rowOff>
    </xdr:from>
    <xdr:to>
      <xdr:col>31</xdr:col>
      <xdr:colOff>85725</xdr:colOff>
      <xdr:row>30</xdr:row>
      <xdr:rowOff>171450</xdr:rowOff>
    </xdr:to>
    <xdr:sp>
      <xdr:nvSpPr>
        <xdr:cNvPr id="384" name="Oval 538"/>
        <xdr:cNvSpPr>
          <a:spLocks/>
        </xdr:cNvSpPr>
      </xdr:nvSpPr>
      <xdr:spPr>
        <a:xfrm>
          <a:off x="9867900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57150</xdr:colOff>
      <xdr:row>35</xdr:row>
      <xdr:rowOff>123825</xdr:rowOff>
    </xdr:from>
    <xdr:to>
      <xdr:col>31</xdr:col>
      <xdr:colOff>85725</xdr:colOff>
      <xdr:row>35</xdr:row>
      <xdr:rowOff>171450</xdr:rowOff>
    </xdr:to>
    <xdr:sp>
      <xdr:nvSpPr>
        <xdr:cNvPr id="385" name="Oval 539"/>
        <xdr:cNvSpPr>
          <a:spLocks/>
        </xdr:cNvSpPr>
      </xdr:nvSpPr>
      <xdr:spPr>
        <a:xfrm>
          <a:off x="9867900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104775</xdr:colOff>
      <xdr:row>30</xdr:row>
      <xdr:rowOff>123825</xdr:rowOff>
    </xdr:from>
    <xdr:to>
      <xdr:col>28</xdr:col>
      <xdr:colOff>104775</xdr:colOff>
      <xdr:row>35</xdr:row>
      <xdr:rowOff>171450</xdr:rowOff>
    </xdr:to>
    <xdr:sp>
      <xdr:nvSpPr>
        <xdr:cNvPr id="386" name="Line 540"/>
        <xdr:cNvSpPr>
          <a:spLocks/>
        </xdr:cNvSpPr>
      </xdr:nvSpPr>
      <xdr:spPr>
        <a:xfrm>
          <a:off x="8953500" y="5143500"/>
          <a:ext cx="0" cy="1000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32</xdr:col>
      <xdr:colOff>28575</xdr:colOff>
      <xdr:row>30</xdr:row>
      <xdr:rowOff>133350</xdr:rowOff>
    </xdr:from>
    <xdr:to>
      <xdr:col>32</xdr:col>
      <xdr:colOff>28575</xdr:colOff>
      <xdr:row>35</xdr:row>
      <xdr:rowOff>161925</xdr:rowOff>
    </xdr:to>
    <xdr:sp>
      <xdr:nvSpPr>
        <xdr:cNvPr id="387" name="Line 541"/>
        <xdr:cNvSpPr>
          <a:spLocks/>
        </xdr:cNvSpPr>
      </xdr:nvSpPr>
      <xdr:spPr>
        <a:xfrm>
          <a:off x="9944100" y="5153025"/>
          <a:ext cx="0" cy="9810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104775</xdr:colOff>
      <xdr:row>30</xdr:row>
      <xdr:rowOff>57150</xdr:rowOff>
    </xdr:from>
    <xdr:to>
      <xdr:col>28</xdr:col>
      <xdr:colOff>152400</xdr:colOff>
      <xdr:row>30</xdr:row>
      <xdr:rowOff>133350</xdr:rowOff>
    </xdr:to>
    <xdr:sp>
      <xdr:nvSpPr>
        <xdr:cNvPr id="388" name="Arc 542"/>
        <xdr:cNvSpPr>
          <a:spLocks/>
        </xdr:cNvSpPr>
      </xdr:nvSpPr>
      <xdr:spPr>
        <a:xfrm flipH="1">
          <a:off x="8953500" y="5076825"/>
          <a:ext cx="4762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57150</xdr:colOff>
      <xdr:row>30</xdr:row>
      <xdr:rowOff>57150</xdr:rowOff>
    </xdr:from>
    <xdr:to>
      <xdr:col>32</xdr:col>
      <xdr:colOff>28575</xdr:colOff>
      <xdr:row>30</xdr:row>
      <xdr:rowOff>133350</xdr:rowOff>
    </xdr:to>
    <xdr:sp>
      <xdr:nvSpPr>
        <xdr:cNvPr id="389" name="Arc 543"/>
        <xdr:cNvSpPr>
          <a:spLocks/>
        </xdr:cNvSpPr>
      </xdr:nvSpPr>
      <xdr:spPr>
        <a:xfrm>
          <a:off x="9867900" y="5076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31</xdr:col>
      <xdr:colOff>66675</xdr:colOff>
      <xdr:row>35</xdr:row>
      <xdr:rowOff>123825</xdr:rowOff>
    </xdr:from>
    <xdr:to>
      <xdr:col>32</xdr:col>
      <xdr:colOff>28575</xdr:colOff>
      <xdr:row>35</xdr:row>
      <xdr:rowOff>228600</xdr:rowOff>
    </xdr:to>
    <xdr:sp>
      <xdr:nvSpPr>
        <xdr:cNvPr id="390" name="Arc 544"/>
        <xdr:cNvSpPr>
          <a:spLocks/>
        </xdr:cNvSpPr>
      </xdr:nvSpPr>
      <xdr:spPr>
        <a:xfrm flipV="1">
          <a:off x="9877425" y="6096000"/>
          <a:ext cx="66675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104775</xdr:colOff>
      <xdr:row>35</xdr:row>
      <xdr:rowOff>152400</xdr:rowOff>
    </xdr:from>
    <xdr:to>
      <xdr:col>28</xdr:col>
      <xdr:colOff>180975</xdr:colOff>
      <xdr:row>35</xdr:row>
      <xdr:rowOff>228600</xdr:rowOff>
    </xdr:to>
    <xdr:sp>
      <xdr:nvSpPr>
        <xdr:cNvPr id="391" name="Arc 545"/>
        <xdr:cNvSpPr>
          <a:spLocks/>
        </xdr:cNvSpPr>
      </xdr:nvSpPr>
      <xdr:spPr>
        <a:xfrm flipH="1" flipV="1">
          <a:off x="8953500" y="6124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238125</xdr:colOff>
      <xdr:row>30</xdr:row>
      <xdr:rowOff>123825</xdr:rowOff>
    </xdr:from>
    <xdr:to>
      <xdr:col>28</xdr:col>
      <xdr:colOff>266700</xdr:colOff>
      <xdr:row>30</xdr:row>
      <xdr:rowOff>171450</xdr:rowOff>
    </xdr:to>
    <xdr:sp>
      <xdr:nvSpPr>
        <xdr:cNvPr id="392" name="Oval 546"/>
        <xdr:cNvSpPr>
          <a:spLocks/>
        </xdr:cNvSpPr>
      </xdr:nvSpPr>
      <xdr:spPr>
        <a:xfrm>
          <a:off x="9086850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247650</xdr:colOff>
      <xdr:row>35</xdr:row>
      <xdr:rowOff>123825</xdr:rowOff>
    </xdr:from>
    <xdr:to>
      <xdr:col>28</xdr:col>
      <xdr:colOff>276225</xdr:colOff>
      <xdr:row>35</xdr:row>
      <xdr:rowOff>171450</xdr:rowOff>
    </xdr:to>
    <xdr:sp>
      <xdr:nvSpPr>
        <xdr:cNvPr id="393" name="Oval 547"/>
        <xdr:cNvSpPr>
          <a:spLocks/>
        </xdr:cNvSpPr>
      </xdr:nvSpPr>
      <xdr:spPr>
        <a:xfrm>
          <a:off x="9096375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76200</xdr:colOff>
      <xdr:row>30</xdr:row>
      <xdr:rowOff>123825</xdr:rowOff>
    </xdr:from>
    <xdr:to>
      <xdr:col>30</xdr:col>
      <xdr:colOff>104775</xdr:colOff>
      <xdr:row>30</xdr:row>
      <xdr:rowOff>171450</xdr:rowOff>
    </xdr:to>
    <xdr:sp>
      <xdr:nvSpPr>
        <xdr:cNvPr id="394" name="Oval 548"/>
        <xdr:cNvSpPr>
          <a:spLocks/>
        </xdr:cNvSpPr>
      </xdr:nvSpPr>
      <xdr:spPr>
        <a:xfrm>
          <a:off x="9763125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30</xdr:col>
      <xdr:colOff>85725</xdr:colOff>
      <xdr:row>35</xdr:row>
      <xdr:rowOff>123825</xdr:rowOff>
    </xdr:from>
    <xdr:to>
      <xdr:col>30</xdr:col>
      <xdr:colOff>114300</xdr:colOff>
      <xdr:row>35</xdr:row>
      <xdr:rowOff>171450</xdr:rowOff>
    </xdr:to>
    <xdr:sp>
      <xdr:nvSpPr>
        <xdr:cNvPr id="395" name="Oval 549"/>
        <xdr:cNvSpPr>
          <a:spLocks/>
        </xdr:cNvSpPr>
      </xdr:nvSpPr>
      <xdr:spPr>
        <a:xfrm>
          <a:off x="9772650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381000</xdr:colOff>
      <xdr:row>30</xdr:row>
      <xdr:rowOff>142875</xdr:rowOff>
    </xdr:from>
    <xdr:to>
      <xdr:col>28</xdr:col>
      <xdr:colOff>457200</xdr:colOff>
      <xdr:row>30</xdr:row>
      <xdr:rowOff>238125</xdr:rowOff>
    </xdr:to>
    <xdr:sp>
      <xdr:nvSpPr>
        <xdr:cNvPr id="396" name="Oval 554" descr="ลายเส้นหนาทแยงมุมลง"/>
        <xdr:cNvSpPr>
          <a:spLocks/>
        </xdr:cNvSpPr>
      </xdr:nvSpPr>
      <xdr:spPr>
        <a:xfrm>
          <a:off x="9229725" y="5162550"/>
          <a:ext cx="76200" cy="95250"/>
        </a:xfrm>
        <a:prstGeom prst="ellipse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171450</xdr:colOff>
      <xdr:row>35</xdr:row>
      <xdr:rowOff>66675</xdr:rowOff>
    </xdr:from>
    <xdr:to>
      <xdr:col>29</xdr:col>
      <xdr:colOff>247650</xdr:colOff>
      <xdr:row>35</xdr:row>
      <xdr:rowOff>161925</xdr:rowOff>
    </xdr:to>
    <xdr:sp>
      <xdr:nvSpPr>
        <xdr:cNvPr id="397" name="Oval 555" descr="ลายเส้นหนาทแยงมุมลง"/>
        <xdr:cNvSpPr>
          <a:spLocks/>
        </xdr:cNvSpPr>
      </xdr:nvSpPr>
      <xdr:spPr>
        <a:xfrm>
          <a:off x="9582150" y="6038850"/>
          <a:ext cx="76200" cy="95250"/>
        </a:xfrm>
        <a:prstGeom prst="ellipse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342900</xdr:colOff>
      <xdr:row>30</xdr:row>
      <xdr:rowOff>123825</xdr:rowOff>
    </xdr:from>
    <xdr:to>
      <xdr:col>28</xdr:col>
      <xdr:colOff>371475</xdr:colOff>
      <xdr:row>30</xdr:row>
      <xdr:rowOff>171450</xdr:rowOff>
    </xdr:to>
    <xdr:sp>
      <xdr:nvSpPr>
        <xdr:cNvPr id="398" name="Oval 556"/>
        <xdr:cNvSpPr>
          <a:spLocks/>
        </xdr:cNvSpPr>
      </xdr:nvSpPr>
      <xdr:spPr>
        <a:xfrm>
          <a:off x="9191625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352425</xdr:colOff>
      <xdr:row>35</xdr:row>
      <xdr:rowOff>123825</xdr:rowOff>
    </xdr:from>
    <xdr:to>
      <xdr:col>28</xdr:col>
      <xdr:colOff>381000</xdr:colOff>
      <xdr:row>35</xdr:row>
      <xdr:rowOff>171450</xdr:rowOff>
    </xdr:to>
    <xdr:sp>
      <xdr:nvSpPr>
        <xdr:cNvPr id="399" name="Oval 557"/>
        <xdr:cNvSpPr>
          <a:spLocks/>
        </xdr:cNvSpPr>
      </xdr:nvSpPr>
      <xdr:spPr>
        <a:xfrm>
          <a:off x="9201150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466725</xdr:colOff>
      <xdr:row>30</xdr:row>
      <xdr:rowOff>123825</xdr:rowOff>
    </xdr:from>
    <xdr:to>
      <xdr:col>28</xdr:col>
      <xdr:colOff>495300</xdr:colOff>
      <xdr:row>30</xdr:row>
      <xdr:rowOff>171450</xdr:rowOff>
    </xdr:to>
    <xdr:sp>
      <xdr:nvSpPr>
        <xdr:cNvPr id="400" name="Oval 558"/>
        <xdr:cNvSpPr>
          <a:spLocks/>
        </xdr:cNvSpPr>
      </xdr:nvSpPr>
      <xdr:spPr>
        <a:xfrm>
          <a:off x="9315450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123825</xdr:rowOff>
    </xdr:from>
    <xdr:to>
      <xdr:col>28</xdr:col>
      <xdr:colOff>504825</xdr:colOff>
      <xdr:row>35</xdr:row>
      <xdr:rowOff>171450</xdr:rowOff>
    </xdr:to>
    <xdr:sp>
      <xdr:nvSpPr>
        <xdr:cNvPr id="401" name="Oval 559"/>
        <xdr:cNvSpPr>
          <a:spLocks/>
        </xdr:cNvSpPr>
      </xdr:nvSpPr>
      <xdr:spPr>
        <a:xfrm>
          <a:off x="9324975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257175</xdr:colOff>
      <xdr:row>30</xdr:row>
      <xdr:rowOff>123825</xdr:rowOff>
    </xdr:from>
    <xdr:to>
      <xdr:col>30</xdr:col>
      <xdr:colOff>9525</xdr:colOff>
      <xdr:row>30</xdr:row>
      <xdr:rowOff>171450</xdr:rowOff>
    </xdr:to>
    <xdr:sp>
      <xdr:nvSpPr>
        <xdr:cNvPr id="402" name="Oval 560"/>
        <xdr:cNvSpPr>
          <a:spLocks/>
        </xdr:cNvSpPr>
      </xdr:nvSpPr>
      <xdr:spPr>
        <a:xfrm>
          <a:off x="9667875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266700</xdr:colOff>
      <xdr:row>35</xdr:row>
      <xdr:rowOff>123825</xdr:rowOff>
    </xdr:from>
    <xdr:to>
      <xdr:col>30</xdr:col>
      <xdr:colOff>19050</xdr:colOff>
      <xdr:row>35</xdr:row>
      <xdr:rowOff>171450</xdr:rowOff>
    </xdr:to>
    <xdr:sp>
      <xdr:nvSpPr>
        <xdr:cNvPr id="403" name="Oval 561"/>
        <xdr:cNvSpPr>
          <a:spLocks/>
        </xdr:cNvSpPr>
      </xdr:nvSpPr>
      <xdr:spPr>
        <a:xfrm>
          <a:off x="9677400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142875</xdr:colOff>
      <xdr:row>30</xdr:row>
      <xdr:rowOff>123825</xdr:rowOff>
    </xdr:from>
    <xdr:to>
      <xdr:col>29</xdr:col>
      <xdr:colOff>171450</xdr:colOff>
      <xdr:row>30</xdr:row>
      <xdr:rowOff>171450</xdr:rowOff>
    </xdr:to>
    <xdr:sp>
      <xdr:nvSpPr>
        <xdr:cNvPr id="404" name="Oval 562"/>
        <xdr:cNvSpPr>
          <a:spLocks/>
        </xdr:cNvSpPr>
      </xdr:nvSpPr>
      <xdr:spPr>
        <a:xfrm>
          <a:off x="9553575" y="51435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29</xdr:col>
      <xdr:colOff>123825</xdr:colOff>
      <xdr:row>35</xdr:row>
      <xdr:rowOff>123825</xdr:rowOff>
    </xdr:from>
    <xdr:to>
      <xdr:col>29</xdr:col>
      <xdr:colOff>152400</xdr:colOff>
      <xdr:row>35</xdr:row>
      <xdr:rowOff>171450</xdr:rowOff>
    </xdr:to>
    <xdr:sp>
      <xdr:nvSpPr>
        <xdr:cNvPr id="405" name="Oval 563"/>
        <xdr:cNvSpPr>
          <a:spLocks/>
        </xdr:cNvSpPr>
      </xdr:nvSpPr>
      <xdr:spPr>
        <a:xfrm>
          <a:off x="9534525" y="6096000"/>
          <a:ext cx="28575" cy="47625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28</xdr:col>
      <xdr:colOff>419100</xdr:colOff>
      <xdr:row>27</xdr:row>
      <xdr:rowOff>180975</xdr:rowOff>
    </xdr:from>
    <xdr:to>
      <xdr:col>43</xdr:col>
      <xdr:colOff>19050</xdr:colOff>
      <xdr:row>30</xdr:row>
      <xdr:rowOff>142875</xdr:rowOff>
    </xdr:to>
    <xdr:grpSp>
      <xdr:nvGrpSpPr>
        <xdr:cNvPr id="406" name="Group 565"/>
        <xdr:cNvGrpSpPr>
          <a:grpSpLocks/>
        </xdr:cNvGrpSpPr>
      </xdr:nvGrpSpPr>
      <xdr:grpSpPr>
        <a:xfrm>
          <a:off x="9267825" y="4657725"/>
          <a:ext cx="3476625" cy="504825"/>
          <a:chOff x="238" y="471"/>
          <a:chExt cx="366" cy="77"/>
        </a:xfrm>
        <a:solidFill>
          <a:srgbClr val="FFFFFF"/>
        </a:solidFill>
      </xdr:grpSpPr>
      <xdr:sp>
        <xdr:nvSpPr>
          <xdr:cNvPr id="407" name="Text Box 566"/>
          <xdr:cNvSpPr txBox="1">
            <a:spLocks noChangeArrowheads="1"/>
          </xdr:cNvSpPr>
        </xdr:nvSpPr>
        <xdr:spPr>
          <a:xfrm>
            <a:off x="402" y="471"/>
            <a:ext cx="202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 DB.20 mm.x 18.00 m.</a:t>
            </a:r>
          </a:p>
        </xdr:txBody>
      </xdr:sp>
      <xdr:sp>
        <xdr:nvSpPr>
          <xdr:cNvPr id="408" name="Freeform 567"/>
          <xdr:cNvSpPr>
            <a:spLocks/>
          </xdr:cNvSpPr>
        </xdr:nvSpPr>
        <xdr:spPr>
          <a:xfrm>
            <a:off x="238" y="491"/>
            <a:ext cx="154" cy="57"/>
          </a:xfrm>
          <a:custGeom>
            <a:pathLst>
              <a:path h="54" w="139">
                <a:moveTo>
                  <a:pt x="0" y="54"/>
                </a:moveTo>
                <a:lnTo>
                  <a:pt x="76" y="0"/>
                </a:lnTo>
                <a:lnTo>
                  <a:pt x="139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26</xdr:col>
      <xdr:colOff>447675</xdr:colOff>
      <xdr:row>28</xdr:row>
      <xdr:rowOff>95250</xdr:rowOff>
    </xdr:from>
    <xdr:to>
      <xdr:col>27</xdr:col>
      <xdr:colOff>390525</xdr:colOff>
      <xdr:row>37</xdr:row>
      <xdr:rowOff>152400</xdr:rowOff>
    </xdr:to>
    <xdr:grpSp>
      <xdr:nvGrpSpPr>
        <xdr:cNvPr id="409" name="Group 568"/>
        <xdr:cNvGrpSpPr>
          <a:grpSpLocks/>
        </xdr:cNvGrpSpPr>
      </xdr:nvGrpSpPr>
      <xdr:grpSpPr>
        <a:xfrm>
          <a:off x="8172450" y="4838700"/>
          <a:ext cx="504825" cy="1628775"/>
          <a:chOff x="121" y="508"/>
          <a:chExt cx="53" cy="171"/>
        </a:xfrm>
        <a:solidFill>
          <a:srgbClr val="FFFFFF"/>
        </a:solidFill>
      </xdr:grpSpPr>
      <xdr:sp>
        <xdr:nvSpPr>
          <xdr:cNvPr id="410" name="Text 1572"/>
          <xdr:cNvSpPr txBox="1">
            <a:spLocks noChangeArrowheads="1"/>
          </xdr:cNvSpPr>
        </xdr:nvSpPr>
        <xdr:spPr>
          <a:xfrm>
            <a:off x="121" y="517"/>
            <a:ext cx="31" cy="2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411" name="Text 1573"/>
          <xdr:cNvSpPr txBox="1">
            <a:spLocks noChangeArrowheads="1"/>
          </xdr:cNvSpPr>
        </xdr:nvSpPr>
        <xdr:spPr>
          <a:xfrm>
            <a:off x="121" y="635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412" name="Line 571"/>
          <xdr:cNvSpPr>
            <a:spLocks/>
          </xdr:cNvSpPr>
        </xdr:nvSpPr>
        <xdr:spPr>
          <a:xfrm>
            <a:off x="160" y="508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3" name="Line 572"/>
          <xdr:cNvSpPr>
            <a:spLocks/>
          </xdr:cNvSpPr>
        </xdr:nvSpPr>
        <xdr:spPr>
          <a:xfrm>
            <a:off x="150" y="521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4" name="Line 573"/>
          <xdr:cNvSpPr>
            <a:spLocks/>
          </xdr:cNvSpPr>
        </xdr:nvSpPr>
        <xdr:spPr>
          <a:xfrm>
            <a:off x="150" y="66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5" name="Oval 574"/>
          <xdr:cNvSpPr>
            <a:spLocks/>
          </xdr:cNvSpPr>
        </xdr:nvSpPr>
        <xdr:spPr>
          <a:xfrm>
            <a:off x="157" y="51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6" name="Oval 575"/>
          <xdr:cNvSpPr>
            <a:spLocks/>
          </xdr:cNvSpPr>
        </xdr:nvSpPr>
        <xdr:spPr>
          <a:xfrm>
            <a:off x="157" y="65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7" name="Line 576"/>
          <xdr:cNvSpPr>
            <a:spLocks/>
          </xdr:cNvSpPr>
        </xdr:nvSpPr>
        <xdr:spPr>
          <a:xfrm>
            <a:off x="150" y="541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8" name="Oval 577"/>
          <xdr:cNvSpPr>
            <a:spLocks/>
          </xdr:cNvSpPr>
        </xdr:nvSpPr>
        <xdr:spPr>
          <a:xfrm>
            <a:off x="157" y="537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9" name="Line 578"/>
          <xdr:cNvSpPr>
            <a:spLocks/>
          </xdr:cNvSpPr>
        </xdr:nvSpPr>
        <xdr:spPr>
          <a:xfrm>
            <a:off x="149" y="643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0" name="Oval 579"/>
          <xdr:cNvSpPr>
            <a:spLocks/>
          </xdr:cNvSpPr>
        </xdr:nvSpPr>
        <xdr:spPr>
          <a:xfrm>
            <a:off x="157" y="63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27</xdr:col>
      <xdr:colOff>457200</xdr:colOff>
      <xdr:row>37</xdr:row>
      <xdr:rowOff>76200</xdr:rowOff>
    </xdr:from>
    <xdr:to>
      <xdr:col>33</xdr:col>
      <xdr:colOff>66675</xdr:colOff>
      <xdr:row>39</xdr:row>
      <xdr:rowOff>257175</xdr:rowOff>
    </xdr:to>
    <xdr:grpSp>
      <xdr:nvGrpSpPr>
        <xdr:cNvPr id="421" name="Group 580"/>
        <xdr:cNvGrpSpPr>
          <a:grpSpLocks/>
        </xdr:cNvGrpSpPr>
      </xdr:nvGrpSpPr>
      <xdr:grpSpPr>
        <a:xfrm>
          <a:off x="8743950" y="6391275"/>
          <a:ext cx="1428750" cy="714375"/>
          <a:chOff x="178" y="668"/>
          <a:chExt cx="150" cy="75"/>
        </a:xfrm>
        <a:solidFill>
          <a:srgbClr val="FFFFFF"/>
        </a:solidFill>
      </xdr:grpSpPr>
      <xdr:sp>
        <xdr:nvSpPr>
          <xdr:cNvPr id="422" name="Line 581"/>
          <xdr:cNvSpPr>
            <a:spLocks/>
          </xdr:cNvSpPr>
        </xdr:nvSpPr>
        <xdr:spPr>
          <a:xfrm>
            <a:off x="178" y="703"/>
            <a:ext cx="1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3" name="Line 582"/>
          <xdr:cNvSpPr>
            <a:spLocks/>
          </xdr:cNvSpPr>
        </xdr:nvSpPr>
        <xdr:spPr>
          <a:xfrm>
            <a:off x="189" y="694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4" name="Oval 583"/>
          <xdr:cNvSpPr>
            <a:spLocks/>
          </xdr:cNvSpPr>
        </xdr:nvSpPr>
        <xdr:spPr>
          <a:xfrm>
            <a:off x="186" y="699"/>
            <a:ext cx="7" cy="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grpSp>
        <xdr:nvGrpSpPr>
          <xdr:cNvPr id="425" name="Group 584"/>
          <xdr:cNvGrpSpPr>
            <a:grpSpLocks/>
          </xdr:cNvGrpSpPr>
        </xdr:nvGrpSpPr>
        <xdr:grpSpPr>
          <a:xfrm>
            <a:off x="310" y="694"/>
            <a:ext cx="7" cy="19"/>
            <a:chOff x="310" y="694"/>
            <a:chExt cx="7" cy="19"/>
          </a:xfrm>
          <a:solidFill>
            <a:srgbClr val="FFFFFF"/>
          </a:solidFill>
        </xdr:grpSpPr>
        <xdr:sp>
          <xdr:nvSpPr>
            <xdr:cNvPr id="426" name="Line 585"/>
            <xdr:cNvSpPr>
              <a:spLocks/>
            </xdr:cNvSpPr>
          </xdr:nvSpPr>
          <xdr:spPr>
            <a:xfrm>
              <a:off x="31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27" name="Oval 586"/>
            <xdr:cNvSpPr>
              <a:spLocks/>
            </xdr:cNvSpPr>
          </xdr:nvSpPr>
          <xdr:spPr>
            <a:xfrm>
              <a:off x="31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28" name="Group 587"/>
          <xdr:cNvGrpSpPr>
            <a:grpSpLocks/>
          </xdr:cNvGrpSpPr>
        </xdr:nvGrpSpPr>
        <xdr:grpSpPr>
          <a:xfrm>
            <a:off x="199" y="694"/>
            <a:ext cx="7" cy="19"/>
            <a:chOff x="201" y="694"/>
            <a:chExt cx="7" cy="19"/>
          </a:xfrm>
          <a:solidFill>
            <a:srgbClr val="FFFFFF"/>
          </a:solidFill>
        </xdr:grpSpPr>
        <xdr:sp>
          <xdr:nvSpPr>
            <xdr:cNvPr id="429" name="Line 588"/>
            <xdr:cNvSpPr>
              <a:spLocks/>
            </xdr:cNvSpPr>
          </xdr:nvSpPr>
          <xdr:spPr>
            <a:xfrm>
              <a:off x="205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30" name="Oval 589"/>
            <xdr:cNvSpPr>
              <a:spLocks/>
            </xdr:cNvSpPr>
          </xdr:nvSpPr>
          <xdr:spPr>
            <a:xfrm>
              <a:off x="201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31" name="Group 590"/>
          <xdr:cNvGrpSpPr>
            <a:grpSpLocks/>
          </xdr:cNvGrpSpPr>
        </xdr:nvGrpSpPr>
        <xdr:grpSpPr>
          <a:xfrm>
            <a:off x="296" y="694"/>
            <a:ext cx="7" cy="19"/>
            <a:chOff x="292" y="694"/>
            <a:chExt cx="7" cy="19"/>
          </a:xfrm>
          <a:solidFill>
            <a:srgbClr val="FFFFFF"/>
          </a:solidFill>
        </xdr:grpSpPr>
        <xdr:sp>
          <xdr:nvSpPr>
            <xdr:cNvPr id="432" name="Line 591"/>
            <xdr:cNvSpPr>
              <a:spLocks/>
            </xdr:cNvSpPr>
          </xdr:nvSpPr>
          <xdr:spPr>
            <a:xfrm>
              <a:off x="295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33" name="Oval 592"/>
            <xdr:cNvSpPr>
              <a:spLocks/>
            </xdr:cNvSpPr>
          </xdr:nvSpPr>
          <xdr:spPr>
            <a:xfrm>
              <a:off x="292" y="700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34" name="Group 593"/>
          <xdr:cNvGrpSpPr>
            <a:grpSpLocks/>
          </xdr:cNvGrpSpPr>
        </xdr:nvGrpSpPr>
        <xdr:grpSpPr>
          <a:xfrm>
            <a:off x="212" y="694"/>
            <a:ext cx="7" cy="19"/>
            <a:chOff x="218" y="694"/>
            <a:chExt cx="7" cy="19"/>
          </a:xfrm>
          <a:solidFill>
            <a:srgbClr val="FFFFFF"/>
          </a:solidFill>
        </xdr:grpSpPr>
        <xdr:sp>
          <xdr:nvSpPr>
            <xdr:cNvPr id="435" name="Line 594"/>
            <xdr:cNvSpPr>
              <a:spLocks/>
            </xdr:cNvSpPr>
          </xdr:nvSpPr>
          <xdr:spPr>
            <a:xfrm>
              <a:off x="221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36" name="Oval 595"/>
            <xdr:cNvSpPr>
              <a:spLocks/>
            </xdr:cNvSpPr>
          </xdr:nvSpPr>
          <xdr:spPr>
            <a:xfrm>
              <a:off x="218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37" name="Group 596"/>
          <xdr:cNvGrpSpPr>
            <a:grpSpLocks/>
          </xdr:cNvGrpSpPr>
        </xdr:nvGrpSpPr>
        <xdr:grpSpPr>
          <a:xfrm>
            <a:off x="225" y="695"/>
            <a:ext cx="7" cy="19"/>
            <a:chOff x="233" y="695"/>
            <a:chExt cx="7" cy="19"/>
          </a:xfrm>
          <a:solidFill>
            <a:srgbClr val="FFFFFF"/>
          </a:solidFill>
        </xdr:grpSpPr>
        <xdr:sp>
          <xdr:nvSpPr>
            <xdr:cNvPr id="438" name="Line 597"/>
            <xdr:cNvSpPr>
              <a:spLocks/>
            </xdr:cNvSpPr>
          </xdr:nvSpPr>
          <xdr:spPr>
            <a:xfrm>
              <a:off x="236" y="69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39" name="Oval 598"/>
            <xdr:cNvSpPr>
              <a:spLocks/>
            </xdr:cNvSpPr>
          </xdr:nvSpPr>
          <xdr:spPr>
            <a:xfrm>
              <a:off x="233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40" name="Group 599"/>
          <xdr:cNvGrpSpPr>
            <a:grpSpLocks/>
          </xdr:cNvGrpSpPr>
        </xdr:nvGrpSpPr>
        <xdr:grpSpPr>
          <a:xfrm>
            <a:off x="285" y="694"/>
            <a:ext cx="7" cy="19"/>
            <a:chOff x="276" y="694"/>
            <a:chExt cx="7" cy="19"/>
          </a:xfrm>
          <a:solidFill>
            <a:srgbClr val="FFFFFF"/>
          </a:solidFill>
        </xdr:grpSpPr>
        <xdr:sp>
          <xdr:nvSpPr>
            <xdr:cNvPr id="441" name="Line 600"/>
            <xdr:cNvSpPr>
              <a:spLocks/>
            </xdr:cNvSpPr>
          </xdr:nvSpPr>
          <xdr:spPr>
            <a:xfrm>
              <a:off x="280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42" name="Oval 601"/>
            <xdr:cNvSpPr>
              <a:spLocks/>
            </xdr:cNvSpPr>
          </xdr:nvSpPr>
          <xdr:spPr>
            <a:xfrm>
              <a:off x="276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43" name="Group 602"/>
          <xdr:cNvGrpSpPr>
            <a:grpSpLocks/>
          </xdr:cNvGrpSpPr>
        </xdr:nvGrpSpPr>
        <xdr:grpSpPr>
          <a:xfrm>
            <a:off x="273" y="694"/>
            <a:ext cx="7" cy="19"/>
            <a:chOff x="260" y="694"/>
            <a:chExt cx="7" cy="19"/>
          </a:xfrm>
          <a:solidFill>
            <a:srgbClr val="FFFFFF"/>
          </a:solidFill>
        </xdr:grpSpPr>
        <xdr:sp>
          <xdr:nvSpPr>
            <xdr:cNvPr id="444" name="Line 603"/>
            <xdr:cNvSpPr>
              <a:spLocks/>
            </xdr:cNvSpPr>
          </xdr:nvSpPr>
          <xdr:spPr>
            <a:xfrm>
              <a:off x="26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45" name="Oval 604"/>
            <xdr:cNvSpPr>
              <a:spLocks/>
            </xdr:cNvSpPr>
          </xdr:nvSpPr>
          <xdr:spPr>
            <a:xfrm>
              <a:off x="26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446" name="Text 1944"/>
          <xdr:cNvSpPr txBox="1">
            <a:spLocks noChangeArrowheads="1"/>
          </xdr:cNvSpPr>
        </xdr:nvSpPr>
        <xdr:spPr>
          <a:xfrm>
            <a:off x="184" y="668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447" name="Text 1945"/>
          <xdr:cNvSpPr txBox="1">
            <a:spLocks noChangeArrowheads="1"/>
          </xdr:cNvSpPr>
        </xdr:nvSpPr>
        <xdr:spPr>
          <a:xfrm>
            <a:off x="296" y="668"/>
            <a:ext cx="31" cy="32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5.0</a:t>
            </a:r>
          </a:p>
        </xdr:txBody>
      </xdr:sp>
      <xdr:sp>
        <xdr:nvSpPr>
          <xdr:cNvPr id="448" name="Text 1946"/>
          <xdr:cNvSpPr txBox="1">
            <a:spLocks noChangeArrowheads="1"/>
          </xdr:cNvSpPr>
        </xdr:nvSpPr>
        <xdr:spPr>
          <a:xfrm>
            <a:off x="198" y="708"/>
            <a:ext cx="27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449" name="Text 1947"/>
          <xdr:cNvSpPr txBox="1">
            <a:spLocks noChangeArrowheads="1"/>
          </xdr:cNvSpPr>
        </xdr:nvSpPr>
        <xdr:spPr>
          <a:xfrm>
            <a:off x="283" y="70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450" name="Text 1948"/>
          <xdr:cNvSpPr txBox="1">
            <a:spLocks noChangeArrowheads="1"/>
          </xdr:cNvSpPr>
        </xdr:nvSpPr>
        <xdr:spPr>
          <a:xfrm>
            <a:off x="212" y="66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451" name="Text 1949"/>
          <xdr:cNvSpPr txBox="1">
            <a:spLocks noChangeArrowheads="1"/>
          </xdr:cNvSpPr>
        </xdr:nvSpPr>
        <xdr:spPr>
          <a:xfrm>
            <a:off x="273" y="669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452" name="Text 1950"/>
          <xdr:cNvSpPr txBox="1">
            <a:spLocks noChangeArrowheads="1"/>
          </xdr:cNvSpPr>
        </xdr:nvSpPr>
        <xdr:spPr>
          <a:xfrm>
            <a:off x="225" y="708"/>
            <a:ext cx="24" cy="3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grpSp>
        <xdr:nvGrpSpPr>
          <xdr:cNvPr id="453" name="Group 612"/>
          <xdr:cNvGrpSpPr>
            <a:grpSpLocks/>
          </xdr:cNvGrpSpPr>
        </xdr:nvGrpSpPr>
        <xdr:grpSpPr>
          <a:xfrm>
            <a:off x="239" y="695"/>
            <a:ext cx="7" cy="19"/>
            <a:chOff x="233" y="695"/>
            <a:chExt cx="7" cy="19"/>
          </a:xfrm>
          <a:solidFill>
            <a:srgbClr val="FFFFFF"/>
          </a:solidFill>
        </xdr:grpSpPr>
        <xdr:sp>
          <xdr:nvSpPr>
            <xdr:cNvPr id="454" name="Line 613"/>
            <xdr:cNvSpPr>
              <a:spLocks/>
            </xdr:cNvSpPr>
          </xdr:nvSpPr>
          <xdr:spPr>
            <a:xfrm>
              <a:off x="236" y="69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55" name="Oval 614"/>
            <xdr:cNvSpPr>
              <a:spLocks/>
            </xdr:cNvSpPr>
          </xdr:nvSpPr>
          <xdr:spPr>
            <a:xfrm>
              <a:off x="233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grpSp>
        <xdr:nvGrpSpPr>
          <xdr:cNvPr id="456" name="Group 615"/>
          <xdr:cNvGrpSpPr>
            <a:grpSpLocks/>
          </xdr:cNvGrpSpPr>
        </xdr:nvGrpSpPr>
        <xdr:grpSpPr>
          <a:xfrm>
            <a:off x="259" y="694"/>
            <a:ext cx="7" cy="19"/>
            <a:chOff x="260" y="694"/>
            <a:chExt cx="7" cy="19"/>
          </a:xfrm>
          <a:solidFill>
            <a:srgbClr val="FFFFFF"/>
          </a:solidFill>
        </xdr:grpSpPr>
        <xdr:sp>
          <xdr:nvSpPr>
            <xdr:cNvPr id="457" name="Line 616"/>
            <xdr:cNvSpPr>
              <a:spLocks/>
            </xdr:cNvSpPr>
          </xdr:nvSpPr>
          <xdr:spPr>
            <a:xfrm>
              <a:off x="263" y="694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  <xdr:sp>
          <xdr:nvSpPr>
            <xdr:cNvPr id="458" name="Oval 617"/>
            <xdr:cNvSpPr>
              <a:spLocks/>
            </xdr:cNvSpPr>
          </xdr:nvSpPr>
          <xdr:spPr>
            <a:xfrm>
              <a:off x="260" y="699"/>
              <a:ext cx="7" cy="7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ngsanaUPC"/>
                  <a:ea typeface="AngsanaUPC"/>
                  <a:cs typeface="AngsanaUPC"/>
                </a:rPr>
                <a:t/>
              </a:r>
            </a:p>
          </xdr:txBody>
        </xdr:sp>
      </xdr:grpSp>
      <xdr:sp>
        <xdr:nvSpPr>
          <xdr:cNvPr id="459" name="Text 1949"/>
          <xdr:cNvSpPr txBox="1">
            <a:spLocks noChangeArrowheads="1"/>
          </xdr:cNvSpPr>
        </xdr:nvSpPr>
        <xdr:spPr>
          <a:xfrm>
            <a:off x="257" y="708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3.0</a:t>
            </a:r>
          </a:p>
        </xdr:txBody>
      </xdr:sp>
      <xdr:sp>
        <xdr:nvSpPr>
          <xdr:cNvPr id="460" name="Text 1949"/>
          <xdr:cNvSpPr txBox="1">
            <a:spLocks noChangeArrowheads="1"/>
          </xdr:cNvSpPr>
        </xdr:nvSpPr>
        <xdr:spPr>
          <a:xfrm>
            <a:off x="239" y="669"/>
            <a:ext cx="31" cy="3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50292" rIns="0" bIns="0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7.0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zoomScalePageLayoutView="0" workbookViewId="0" topLeftCell="A1">
      <selection activeCell="B15" sqref="B15"/>
    </sheetView>
  </sheetViews>
  <sheetFormatPr defaultColWidth="9.33203125" defaultRowHeight="21"/>
  <cols>
    <col min="1" max="1" width="2.83203125" style="0" customWidth="1"/>
    <col min="13" max="13" width="3.16015625" style="0" customWidth="1"/>
    <col min="14" max="14" width="4.83203125" style="0" customWidth="1"/>
  </cols>
  <sheetData>
    <row r="1" ht="10.5" customHeight="1" thickBot="1"/>
    <row r="2" spans="2:12" ht="38.25">
      <c r="B2" s="106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21">
      <c r="B3" s="13"/>
      <c r="C3" s="6"/>
      <c r="D3" s="6"/>
      <c r="E3" s="6"/>
      <c r="F3" s="6"/>
      <c r="G3" s="6"/>
      <c r="H3" s="6"/>
      <c r="I3" s="6"/>
      <c r="J3" s="6"/>
      <c r="K3" s="6"/>
      <c r="L3" s="15"/>
    </row>
    <row r="4" spans="2:12" ht="38.25">
      <c r="B4" s="107"/>
      <c r="C4" s="10"/>
      <c r="D4" s="10"/>
      <c r="E4" s="10"/>
      <c r="F4" s="10"/>
      <c r="G4" s="10"/>
      <c r="H4" s="10"/>
      <c r="I4" s="10"/>
      <c r="J4" s="10"/>
      <c r="K4" s="10"/>
      <c r="L4" s="108"/>
    </row>
    <row r="5" spans="2:12" ht="21">
      <c r="B5" s="13"/>
      <c r="C5" s="6"/>
      <c r="D5" s="6"/>
      <c r="E5" s="6"/>
      <c r="F5" s="6"/>
      <c r="G5" s="6"/>
      <c r="H5" s="6"/>
      <c r="I5" s="6"/>
      <c r="J5" s="6"/>
      <c r="K5" s="6"/>
      <c r="L5" s="15"/>
    </row>
    <row r="6" spans="2:12" ht="38.25">
      <c r="B6" s="107" t="s">
        <v>389</v>
      </c>
      <c r="C6" s="10"/>
      <c r="D6" s="10"/>
      <c r="E6" s="10"/>
      <c r="F6" s="10"/>
      <c r="G6" s="10"/>
      <c r="H6" s="10"/>
      <c r="I6" s="10"/>
      <c r="J6" s="10"/>
      <c r="K6" s="10"/>
      <c r="L6" s="108"/>
    </row>
    <row r="7" spans="2:12" ht="21">
      <c r="B7" s="13"/>
      <c r="C7" s="6"/>
      <c r="D7" s="6"/>
      <c r="E7" s="6"/>
      <c r="F7" s="6"/>
      <c r="G7" s="6"/>
      <c r="H7" s="6"/>
      <c r="I7" s="6"/>
      <c r="J7" s="6"/>
      <c r="K7" s="6"/>
      <c r="L7" s="15"/>
    </row>
    <row r="8" spans="2:12" ht="34.5">
      <c r="B8" s="458" t="s">
        <v>16</v>
      </c>
      <c r="C8" s="459"/>
      <c r="D8" s="459"/>
      <c r="E8" s="459"/>
      <c r="F8" s="459"/>
      <c r="G8" s="459"/>
      <c r="H8" s="459"/>
      <c r="I8" s="459"/>
      <c r="J8" s="459"/>
      <c r="K8" s="459"/>
      <c r="L8" s="460"/>
    </row>
    <row r="9" spans="2:12" ht="34.5"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60"/>
    </row>
    <row r="10" spans="2:12" ht="21">
      <c r="B10" s="13"/>
      <c r="C10" s="6"/>
      <c r="D10" s="6"/>
      <c r="E10" s="6"/>
      <c r="F10" s="6"/>
      <c r="G10" s="6"/>
      <c r="H10" s="6"/>
      <c r="I10" s="6"/>
      <c r="J10" s="6"/>
      <c r="K10" s="6"/>
      <c r="L10" s="15"/>
    </row>
    <row r="11" spans="2:12" ht="21">
      <c r="B11" s="13"/>
      <c r="C11" s="6"/>
      <c r="D11" s="6"/>
      <c r="E11" s="6"/>
      <c r="F11" s="6"/>
      <c r="G11" s="6"/>
      <c r="H11" s="6"/>
      <c r="I11" s="6"/>
      <c r="J11" s="6"/>
      <c r="K11" s="6"/>
      <c r="L11" s="15"/>
    </row>
    <row r="12" spans="2:12" ht="38.25">
      <c r="B12" s="109" t="s">
        <v>390</v>
      </c>
      <c r="C12" s="10"/>
      <c r="D12" s="10"/>
      <c r="E12" s="10"/>
      <c r="F12" s="10"/>
      <c r="G12" s="10"/>
      <c r="H12" s="10"/>
      <c r="I12" s="10"/>
      <c r="J12" s="10"/>
      <c r="K12" s="10"/>
      <c r="L12" s="108"/>
    </row>
    <row r="13" spans="2:12" ht="12.75" customHeight="1">
      <c r="B13" s="109"/>
      <c r="C13" s="10"/>
      <c r="D13" s="10"/>
      <c r="E13" s="10"/>
      <c r="F13" s="10"/>
      <c r="G13" s="10"/>
      <c r="H13" s="10"/>
      <c r="I13" s="10"/>
      <c r="J13" s="10"/>
      <c r="K13" s="10"/>
      <c r="L13" s="108"/>
    </row>
    <row r="14" spans="2:12" ht="38.25" customHeight="1">
      <c r="B14" s="109" t="s">
        <v>46</v>
      </c>
      <c r="C14" s="10"/>
      <c r="D14" s="10"/>
      <c r="E14" s="10"/>
      <c r="F14" s="10"/>
      <c r="G14" s="10"/>
      <c r="H14" s="10"/>
      <c r="I14" s="10"/>
      <c r="J14" s="10"/>
      <c r="K14" s="10"/>
      <c r="L14" s="108"/>
    </row>
    <row r="15" spans="2:12" ht="38.25" customHeight="1">
      <c r="B15" s="109" t="s">
        <v>45</v>
      </c>
      <c r="C15" s="10"/>
      <c r="D15" s="10"/>
      <c r="E15" s="10"/>
      <c r="F15" s="10"/>
      <c r="G15" s="10"/>
      <c r="H15" s="10"/>
      <c r="I15" s="10"/>
      <c r="J15" s="10"/>
      <c r="K15" s="10"/>
      <c r="L15" s="108"/>
    </row>
    <row r="16" spans="2:12" ht="21">
      <c r="B16" s="13"/>
      <c r="C16" s="6"/>
      <c r="D16" s="6"/>
      <c r="E16" s="6"/>
      <c r="F16" s="6"/>
      <c r="G16" s="6"/>
      <c r="H16" s="6"/>
      <c r="I16" s="6"/>
      <c r="J16" s="6"/>
      <c r="K16" s="6"/>
      <c r="L16" s="15"/>
    </row>
    <row r="17" spans="2:12" ht="21">
      <c r="B17" s="13"/>
      <c r="C17" s="6"/>
      <c r="D17" s="6"/>
      <c r="E17" s="6"/>
      <c r="F17" s="6"/>
      <c r="G17" s="6"/>
      <c r="H17" s="6"/>
      <c r="I17" s="6"/>
      <c r="J17" s="6"/>
      <c r="K17" s="6"/>
      <c r="L17" s="15"/>
    </row>
    <row r="18" spans="2:12" ht="21">
      <c r="B18" s="13"/>
      <c r="C18" s="6"/>
      <c r="D18" s="6"/>
      <c r="E18" s="6"/>
      <c r="F18" s="6"/>
      <c r="G18" s="6"/>
      <c r="H18" s="6"/>
      <c r="I18" s="6"/>
      <c r="J18" s="6"/>
      <c r="K18" s="6"/>
      <c r="L18" s="15"/>
    </row>
    <row r="19" spans="2:12" ht="21"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8"/>
    </row>
    <row r="20" spans="2:12" ht="23.25">
      <c r="B20" s="110"/>
      <c r="C20" s="10"/>
      <c r="D20" s="10"/>
      <c r="E20" s="10"/>
      <c r="F20" s="10"/>
      <c r="G20" s="10"/>
      <c r="H20" s="10"/>
      <c r="I20" s="10"/>
      <c r="J20" s="10"/>
      <c r="K20" s="10"/>
      <c r="L20" s="108"/>
    </row>
    <row r="21" spans="2:12" ht="21">
      <c r="B21" s="13"/>
      <c r="C21" s="6"/>
      <c r="D21" s="6"/>
      <c r="E21" s="6"/>
      <c r="F21" s="6"/>
      <c r="G21" s="6"/>
      <c r="H21" s="6"/>
      <c r="I21" s="6"/>
      <c r="J21" s="6"/>
      <c r="K21" s="6"/>
      <c r="L21" s="15"/>
    </row>
    <row r="22" spans="2:12" ht="21">
      <c r="B22" s="13"/>
      <c r="C22" s="6"/>
      <c r="D22" s="6"/>
      <c r="E22" s="6"/>
      <c r="F22" s="6"/>
      <c r="G22" s="6"/>
      <c r="H22" s="6"/>
      <c r="I22" s="6"/>
      <c r="J22" s="6"/>
      <c r="K22" s="6"/>
      <c r="L22" s="15"/>
    </row>
    <row r="23" spans="2:12" ht="21">
      <c r="B23" s="13"/>
      <c r="C23" s="6"/>
      <c r="D23" s="6"/>
      <c r="E23" s="6"/>
      <c r="F23" s="6"/>
      <c r="G23" s="6"/>
      <c r="H23" s="6"/>
      <c r="I23" s="6"/>
      <c r="J23" s="6"/>
      <c r="K23" s="6"/>
      <c r="L23" s="15"/>
    </row>
    <row r="24" spans="2:12" ht="21">
      <c r="B24" s="13"/>
      <c r="C24" s="6"/>
      <c r="D24" s="6"/>
      <c r="E24" s="6"/>
      <c r="F24" s="6"/>
      <c r="G24" s="6"/>
      <c r="H24" s="6"/>
      <c r="I24" s="6"/>
      <c r="J24" s="6"/>
      <c r="K24" s="6"/>
      <c r="L24" s="15"/>
    </row>
    <row r="25" spans="2:12" ht="21">
      <c r="B25" s="13"/>
      <c r="C25" s="6"/>
      <c r="D25" s="6"/>
      <c r="E25" s="6"/>
      <c r="F25" s="6"/>
      <c r="G25" s="6"/>
      <c r="H25" s="6"/>
      <c r="I25" s="6"/>
      <c r="J25" s="6"/>
      <c r="K25" s="6"/>
      <c r="L25" s="15"/>
    </row>
    <row r="26" spans="2:12" ht="21">
      <c r="B26" s="13"/>
      <c r="C26" s="6"/>
      <c r="D26" s="6"/>
      <c r="E26" s="6"/>
      <c r="F26" s="6"/>
      <c r="G26" s="6"/>
      <c r="H26" s="6"/>
      <c r="I26" s="6"/>
      <c r="J26" s="6"/>
      <c r="K26" s="6"/>
      <c r="L26" s="15"/>
    </row>
    <row r="27" spans="2:12" ht="21">
      <c r="B27" s="13"/>
      <c r="C27" s="6"/>
      <c r="D27" s="6"/>
      <c r="E27" s="6"/>
      <c r="F27" s="6"/>
      <c r="G27" s="6"/>
      <c r="H27" s="6"/>
      <c r="I27" s="6"/>
      <c r="J27" s="6"/>
      <c r="K27" s="6"/>
      <c r="L27" s="15"/>
    </row>
    <row r="28" spans="2:12" ht="21">
      <c r="B28" s="13"/>
      <c r="C28" s="6"/>
      <c r="D28" s="6"/>
      <c r="E28" s="6"/>
      <c r="F28" s="6"/>
      <c r="G28" s="6"/>
      <c r="H28" s="6"/>
      <c r="I28" s="6"/>
      <c r="J28" s="6"/>
      <c r="K28" s="6"/>
      <c r="L28" s="15"/>
    </row>
    <row r="29" spans="2:12" ht="21" customHeight="1">
      <c r="B29" s="13"/>
      <c r="C29" s="6"/>
      <c r="D29" s="6"/>
      <c r="E29" s="6"/>
      <c r="F29" s="111"/>
      <c r="G29" s="6"/>
      <c r="H29" s="6"/>
      <c r="I29" s="6"/>
      <c r="J29" s="6"/>
      <c r="K29" s="6"/>
      <c r="L29" s="15"/>
    </row>
    <row r="30" spans="2:12" ht="33" customHeight="1">
      <c r="B30" s="112" t="s">
        <v>492</v>
      </c>
      <c r="C30" s="10"/>
      <c r="D30" s="10"/>
      <c r="E30" s="10"/>
      <c r="F30" s="10"/>
      <c r="G30" s="10"/>
      <c r="H30" s="10"/>
      <c r="I30" s="10"/>
      <c r="J30" s="10"/>
      <c r="K30" s="10"/>
      <c r="L30" s="108"/>
    </row>
    <row r="31" spans="2:12" ht="32.25" thickBot="1">
      <c r="B31" s="19"/>
      <c r="C31" s="113"/>
      <c r="D31" s="113"/>
      <c r="E31" s="113"/>
      <c r="F31" s="113"/>
      <c r="G31" s="113"/>
      <c r="H31" s="113"/>
      <c r="I31" s="113"/>
      <c r="J31" s="113"/>
      <c r="K31" s="113"/>
      <c r="L31" s="114"/>
    </row>
  </sheetData>
  <sheetProtection/>
  <mergeCells count="2">
    <mergeCell ref="B8:L8"/>
    <mergeCell ref="B9:L9"/>
  </mergeCells>
  <printOptions/>
  <pageMargins left="0.73" right="0.51" top="0.66" bottom="0.47" header="0.5" footer="0.4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D1" sqref="D1"/>
    </sheetView>
  </sheetViews>
  <sheetFormatPr defaultColWidth="9.33203125" defaultRowHeight="21"/>
  <cols>
    <col min="1" max="1" width="4.16015625" style="38" customWidth="1"/>
    <col min="2" max="2" width="9.33203125" style="38" customWidth="1"/>
    <col min="3" max="3" width="7.33203125" style="38" customWidth="1"/>
    <col min="4" max="4" width="13.33203125" style="38" customWidth="1"/>
    <col min="5" max="11" width="9.33203125" style="38" customWidth="1"/>
    <col min="12" max="12" width="4.16015625" style="38" customWidth="1"/>
    <col min="13" max="16384" width="9.33203125" style="38" customWidth="1"/>
  </cols>
  <sheetData>
    <row r="1" spans="2:12" ht="31.5">
      <c r="B1" s="39"/>
      <c r="C1" s="40"/>
      <c r="D1" s="41"/>
      <c r="E1" s="41"/>
      <c r="F1" s="40"/>
      <c r="G1" s="40"/>
      <c r="H1" s="40"/>
      <c r="I1" s="40"/>
      <c r="J1" s="40"/>
      <c r="K1" s="40"/>
      <c r="L1" s="42"/>
    </row>
    <row r="2" spans="1:12" ht="39" customHeight="1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</row>
    <row r="3" spans="2:11" ht="13.5" customHeight="1" thickBot="1">
      <c r="B3" s="1"/>
      <c r="C3" s="2"/>
      <c r="D3" s="2"/>
      <c r="E3" s="2"/>
      <c r="F3" s="2"/>
      <c r="G3" s="2"/>
      <c r="H3" s="2"/>
      <c r="I3" s="2"/>
      <c r="J3" s="10"/>
      <c r="K3" s="3"/>
    </row>
    <row r="4" spans="1:12" ht="17.25" customHeight="1">
      <c r="A4" s="86" t="s">
        <v>12</v>
      </c>
      <c r="B4" s="87"/>
      <c r="C4" s="22"/>
      <c r="D4" s="22"/>
      <c r="E4" s="22"/>
      <c r="F4" s="23"/>
      <c r="G4" s="88" t="s">
        <v>374</v>
      </c>
      <c r="H4" s="89"/>
      <c r="I4" s="90" t="s">
        <v>375</v>
      </c>
      <c r="J4" s="91"/>
      <c r="K4" s="462" t="s">
        <v>391</v>
      </c>
      <c r="L4" s="463"/>
    </row>
    <row r="5" spans="1:12" ht="21">
      <c r="A5" s="474">
        <f>+ใบปะหน้า!B9</f>
        <v>0</v>
      </c>
      <c r="B5" s="475"/>
      <c r="C5" s="475"/>
      <c r="D5" s="475"/>
      <c r="E5" s="475"/>
      <c r="F5" s="476"/>
      <c r="G5" s="92" t="s">
        <v>376</v>
      </c>
      <c r="H5" s="93"/>
      <c r="I5" s="94" t="s">
        <v>377</v>
      </c>
      <c r="J5" s="95"/>
      <c r="K5" s="13"/>
      <c r="L5" s="15"/>
    </row>
    <row r="6" spans="1:12" ht="17.25" customHeight="1" thickBot="1">
      <c r="A6" s="19"/>
      <c r="B6" s="11"/>
      <c r="C6" s="11"/>
      <c r="D6" s="11"/>
      <c r="E6" s="11"/>
      <c r="F6" s="20"/>
      <c r="G6" s="96" t="s">
        <v>378</v>
      </c>
      <c r="H6" s="97"/>
      <c r="I6" s="98" t="s">
        <v>13</v>
      </c>
      <c r="J6" s="99"/>
      <c r="K6" s="19"/>
      <c r="L6" s="20"/>
    </row>
    <row r="7" spans="1:12" ht="48.75" customHeight="1">
      <c r="A7" s="43"/>
      <c r="B7" s="44" t="s">
        <v>392</v>
      </c>
      <c r="C7" s="45"/>
      <c r="D7" s="45"/>
      <c r="E7" s="45"/>
      <c r="F7" s="45"/>
      <c r="G7" s="45"/>
      <c r="H7" s="45"/>
      <c r="I7" s="45"/>
      <c r="J7" s="45"/>
      <c r="K7" s="45"/>
      <c r="L7" s="46"/>
    </row>
    <row r="8" spans="1:17" ht="21">
      <c r="A8" s="47"/>
      <c r="B8" s="48"/>
      <c r="C8" s="49" t="s">
        <v>393</v>
      </c>
      <c r="D8" s="49" t="s">
        <v>394</v>
      </c>
      <c r="E8" s="49"/>
      <c r="F8" s="49"/>
      <c r="G8" s="49"/>
      <c r="H8" s="49"/>
      <c r="I8" s="50" t="s">
        <v>385</v>
      </c>
      <c r="J8" s="50">
        <v>350</v>
      </c>
      <c r="K8" s="51" t="s">
        <v>368</v>
      </c>
      <c r="L8" s="52"/>
      <c r="M8" s="42"/>
      <c r="N8" s="42"/>
      <c r="O8" s="42"/>
      <c r="P8" s="42"/>
      <c r="Q8" s="42"/>
    </row>
    <row r="9" spans="1:12" ht="21">
      <c r="A9" s="47"/>
      <c r="B9" s="53"/>
      <c r="C9" s="53" t="s">
        <v>395</v>
      </c>
      <c r="D9" s="49" t="s">
        <v>396</v>
      </c>
      <c r="E9" s="49"/>
      <c r="F9" s="49"/>
      <c r="G9" s="49"/>
      <c r="H9" s="49"/>
      <c r="I9" s="50" t="s">
        <v>385</v>
      </c>
      <c r="J9" s="53">
        <v>280</v>
      </c>
      <c r="K9" s="51" t="s">
        <v>368</v>
      </c>
      <c r="L9" s="54"/>
    </row>
    <row r="10" spans="1:12" ht="26.25">
      <c r="A10" s="47"/>
      <c r="B10" s="55" t="s">
        <v>397</v>
      </c>
      <c r="C10" s="53"/>
      <c r="D10" s="53"/>
      <c r="E10" s="53"/>
      <c r="F10" s="53"/>
      <c r="G10" s="53"/>
      <c r="H10" s="53"/>
      <c r="I10" s="53"/>
      <c r="J10" s="53"/>
      <c r="K10" s="53"/>
      <c r="L10" s="54"/>
    </row>
    <row r="11" spans="1:12" ht="21">
      <c r="A11" s="47"/>
      <c r="B11" s="53"/>
      <c r="C11" s="53" t="s">
        <v>398</v>
      </c>
      <c r="D11" s="53"/>
      <c r="E11" s="53"/>
      <c r="F11" s="53"/>
      <c r="G11" s="53" t="s">
        <v>399</v>
      </c>
      <c r="H11" s="53" t="s">
        <v>400</v>
      </c>
      <c r="I11" s="50" t="s">
        <v>385</v>
      </c>
      <c r="J11" s="56">
        <f>0.6*J9</f>
        <v>168</v>
      </c>
      <c r="K11" s="51" t="s">
        <v>368</v>
      </c>
      <c r="L11" s="54"/>
    </row>
    <row r="12" spans="1:12" ht="21">
      <c r="A12" s="47"/>
      <c r="B12" s="53"/>
      <c r="C12" s="53" t="s">
        <v>401</v>
      </c>
      <c r="D12" s="53"/>
      <c r="E12" s="53"/>
      <c r="F12" s="53"/>
      <c r="G12" s="53" t="s">
        <v>402</v>
      </c>
      <c r="H12" s="57"/>
      <c r="I12" s="50" t="s">
        <v>385</v>
      </c>
      <c r="J12" s="56">
        <f>0.795*SQRT(280)</f>
        <v>13.302894421891802</v>
      </c>
      <c r="K12" s="51" t="s">
        <v>368</v>
      </c>
      <c r="L12" s="54"/>
    </row>
    <row r="13" spans="1:12" ht="26.25">
      <c r="A13" s="47"/>
      <c r="B13" s="55" t="s">
        <v>403</v>
      </c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21">
      <c r="A14" s="47"/>
      <c r="B14" s="53"/>
      <c r="C14" s="53" t="s">
        <v>404</v>
      </c>
      <c r="D14" s="53"/>
      <c r="E14" s="53"/>
      <c r="F14" s="53"/>
      <c r="G14" s="53"/>
      <c r="H14" s="53"/>
      <c r="I14" s="50" t="s">
        <v>385</v>
      </c>
      <c r="J14" s="56">
        <f>0.45*J8</f>
        <v>157.5</v>
      </c>
      <c r="K14" s="51" t="s">
        <v>368</v>
      </c>
      <c r="L14" s="54"/>
    </row>
    <row r="15" spans="1:12" ht="21">
      <c r="A15" s="47"/>
      <c r="B15" s="53"/>
      <c r="C15" s="53" t="s">
        <v>405</v>
      </c>
      <c r="D15" s="53"/>
      <c r="E15" s="53"/>
      <c r="F15" s="53"/>
      <c r="G15" s="53"/>
      <c r="H15" s="53"/>
      <c r="I15" s="50" t="s">
        <v>385</v>
      </c>
      <c r="J15" s="56">
        <f>1.59*SQRT(J8)</f>
        <v>29.74617622485284</v>
      </c>
      <c r="K15" s="51" t="s">
        <v>368</v>
      </c>
      <c r="L15" s="54"/>
    </row>
    <row r="16" spans="1:12" ht="26.25">
      <c r="A16" s="47"/>
      <c r="B16" s="55" t="s">
        <v>63</v>
      </c>
      <c r="C16" s="53"/>
      <c r="D16" s="53"/>
      <c r="E16" s="53"/>
      <c r="F16" s="53"/>
      <c r="G16" s="53"/>
      <c r="H16" s="53"/>
      <c r="I16" s="53"/>
      <c r="J16" s="53"/>
      <c r="K16" s="53"/>
      <c r="L16" s="54"/>
    </row>
    <row r="17" spans="1:15" ht="29.25">
      <c r="A17" s="47"/>
      <c r="B17" s="58"/>
      <c r="C17" s="49"/>
      <c r="D17" s="49"/>
      <c r="E17" s="49"/>
      <c r="F17" s="50" t="s">
        <v>406</v>
      </c>
      <c r="G17" s="50" t="s">
        <v>385</v>
      </c>
      <c r="H17" s="126" t="s">
        <v>62</v>
      </c>
      <c r="I17" s="49"/>
      <c r="J17" s="49"/>
      <c r="K17" s="49"/>
      <c r="L17" s="52"/>
      <c r="M17" s="42"/>
      <c r="N17" s="42"/>
      <c r="O17" s="42"/>
    </row>
    <row r="18" spans="1:12" ht="21">
      <c r="A18" s="47"/>
      <c r="B18" s="53"/>
      <c r="C18" s="53"/>
      <c r="D18" s="53"/>
      <c r="E18" s="53"/>
      <c r="F18" s="37" t="s">
        <v>5</v>
      </c>
      <c r="G18" s="50" t="s">
        <v>385</v>
      </c>
      <c r="H18" s="53" t="s">
        <v>407</v>
      </c>
      <c r="I18" s="53"/>
      <c r="J18" s="53"/>
      <c r="K18" s="53"/>
      <c r="L18" s="54"/>
    </row>
    <row r="19" spans="1:12" ht="21">
      <c r="A19" s="47"/>
      <c r="B19" s="53"/>
      <c r="C19" s="53"/>
      <c r="D19" s="53"/>
      <c r="E19" s="53"/>
      <c r="F19" s="50" t="s">
        <v>408</v>
      </c>
      <c r="G19" s="50" t="s">
        <v>385</v>
      </c>
      <c r="H19" s="84" t="s">
        <v>61</v>
      </c>
      <c r="I19" s="53"/>
      <c r="J19" s="53"/>
      <c r="K19" s="53"/>
      <c r="L19" s="54"/>
    </row>
    <row r="20" spans="1:12" ht="21">
      <c r="A20" s="47"/>
      <c r="B20" s="53" t="s">
        <v>409</v>
      </c>
      <c r="C20" s="53"/>
      <c r="D20" s="53"/>
      <c r="E20" s="53"/>
      <c r="F20" s="53"/>
      <c r="G20" s="53"/>
      <c r="H20" s="53"/>
      <c r="I20" s="50" t="s">
        <v>385</v>
      </c>
      <c r="J20" s="56">
        <v>0.75</v>
      </c>
      <c r="K20" s="51" t="s">
        <v>408</v>
      </c>
      <c r="L20" s="54"/>
    </row>
    <row r="21" spans="1:12" ht="21">
      <c r="A21" s="47"/>
      <c r="B21" s="53" t="s">
        <v>410</v>
      </c>
      <c r="C21" s="53"/>
      <c r="D21" s="53"/>
      <c r="E21" s="53"/>
      <c r="F21" s="53"/>
      <c r="H21" s="50" t="s">
        <v>411</v>
      </c>
      <c r="I21" s="50" t="s">
        <v>385</v>
      </c>
      <c r="J21" s="56">
        <v>0.63</v>
      </c>
      <c r="K21" s="51" t="s">
        <v>408</v>
      </c>
      <c r="L21" s="54"/>
    </row>
    <row r="22" spans="1:12" ht="11.25" customHeight="1">
      <c r="A22" s="47"/>
      <c r="B22" s="53"/>
      <c r="C22" s="53"/>
      <c r="D22" s="53"/>
      <c r="E22" s="59"/>
      <c r="F22" s="59"/>
      <c r="G22" s="53"/>
      <c r="H22" s="53"/>
      <c r="I22" s="53"/>
      <c r="J22" s="53"/>
      <c r="K22" s="53"/>
      <c r="L22" s="54"/>
    </row>
    <row r="23" spans="1:12" ht="23.25" customHeight="1">
      <c r="A23" s="47"/>
      <c r="B23" s="464" t="s">
        <v>412</v>
      </c>
      <c r="C23" s="465"/>
      <c r="D23" s="470" t="s">
        <v>5</v>
      </c>
      <c r="E23" s="472" t="s">
        <v>6</v>
      </c>
      <c r="F23" s="60" t="s">
        <v>413</v>
      </c>
      <c r="G23" s="61" t="s">
        <v>406</v>
      </c>
      <c r="H23" s="61" t="s">
        <v>408</v>
      </c>
      <c r="I23" s="100">
        <f>+J20</f>
        <v>0.75</v>
      </c>
      <c r="J23" s="61" t="s">
        <v>411</v>
      </c>
      <c r="K23" s="62" t="s">
        <v>414</v>
      </c>
      <c r="L23" s="54"/>
    </row>
    <row r="24" spans="1:14" s="68" customFormat="1" ht="22.5" customHeight="1">
      <c r="A24" s="63"/>
      <c r="B24" s="466"/>
      <c r="C24" s="467"/>
      <c r="D24" s="471"/>
      <c r="E24" s="473"/>
      <c r="F24" s="64" t="s">
        <v>415</v>
      </c>
      <c r="G24" s="64" t="s">
        <v>368</v>
      </c>
      <c r="H24" s="64" t="s">
        <v>416</v>
      </c>
      <c r="I24" s="64" t="s">
        <v>416</v>
      </c>
      <c r="J24" s="64" t="s">
        <v>416</v>
      </c>
      <c r="K24" s="65" t="s">
        <v>417</v>
      </c>
      <c r="L24" s="66"/>
      <c r="M24" s="67"/>
      <c r="N24" s="67"/>
    </row>
    <row r="25" spans="1:12" ht="21">
      <c r="A25" s="47"/>
      <c r="B25" s="69" t="s">
        <v>418</v>
      </c>
      <c r="C25" s="53"/>
      <c r="D25" s="60" t="s">
        <v>371</v>
      </c>
      <c r="E25" s="60">
        <v>1770</v>
      </c>
      <c r="F25" s="60">
        <v>0.126</v>
      </c>
      <c r="G25" s="70">
        <v>18000</v>
      </c>
      <c r="H25" s="71">
        <f aca="true" t="shared" si="0" ref="H25:H31">+F25*G25</f>
        <v>2268</v>
      </c>
      <c r="I25" s="71">
        <f>+H25*J20</f>
        <v>1701</v>
      </c>
      <c r="J25" s="71">
        <f>+H25*J21</f>
        <v>1428.84</v>
      </c>
      <c r="K25" s="72">
        <v>0.099</v>
      </c>
      <c r="L25" s="54"/>
    </row>
    <row r="26" spans="1:12" ht="21">
      <c r="A26" s="47"/>
      <c r="B26" s="69" t="s">
        <v>418</v>
      </c>
      <c r="C26" s="53"/>
      <c r="D26" s="60" t="s">
        <v>372</v>
      </c>
      <c r="E26" s="60">
        <v>1770</v>
      </c>
      <c r="F26" s="60">
        <v>0.196</v>
      </c>
      <c r="G26" s="70">
        <v>18000</v>
      </c>
      <c r="H26" s="71">
        <f t="shared" si="0"/>
        <v>3528</v>
      </c>
      <c r="I26" s="71">
        <f>+H26*J20</f>
        <v>2646</v>
      </c>
      <c r="J26" s="71">
        <f>+H26*J21</f>
        <v>2222.64</v>
      </c>
      <c r="K26" s="72">
        <v>0.154</v>
      </c>
      <c r="L26" s="54"/>
    </row>
    <row r="27" spans="1:12" ht="21">
      <c r="A27" s="47"/>
      <c r="B27" s="69" t="s">
        <v>418</v>
      </c>
      <c r="C27" s="53"/>
      <c r="D27" s="60" t="s">
        <v>373</v>
      </c>
      <c r="E27" s="60">
        <v>1670</v>
      </c>
      <c r="F27" s="60">
        <v>0.385</v>
      </c>
      <c r="G27" s="71">
        <v>17000</v>
      </c>
      <c r="H27" s="71">
        <f t="shared" si="0"/>
        <v>6545</v>
      </c>
      <c r="I27" s="71">
        <f>+H27*J20</f>
        <v>4908.75</v>
      </c>
      <c r="J27" s="71">
        <f>+H27*J21</f>
        <v>4123.35</v>
      </c>
      <c r="K27" s="72">
        <v>0.302</v>
      </c>
      <c r="L27" s="54"/>
    </row>
    <row r="28" spans="1:12" ht="21">
      <c r="A28" s="47"/>
      <c r="B28" s="73" t="s">
        <v>7</v>
      </c>
      <c r="C28" s="53"/>
      <c r="D28" s="74" t="s">
        <v>8</v>
      </c>
      <c r="E28" s="60">
        <v>1720</v>
      </c>
      <c r="F28" s="60">
        <v>0.516</v>
      </c>
      <c r="G28" s="71">
        <v>17500</v>
      </c>
      <c r="H28" s="71">
        <f t="shared" si="0"/>
        <v>9030</v>
      </c>
      <c r="I28" s="71">
        <f>+H28*J20</f>
        <v>6772.5</v>
      </c>
      <c r="J28" s="71">
        <f>+H28*J21</f>
        <v>5688.9</v>
      </c>
      <c r="K28" s="72">
        <v>0.405</v>
      </c>
      <c r="L28" s="54"/>
    </row>
    <row r="29" spans="1:12" ht="21">
      <c r="A29" s="47"/>
      <c r="B29" s="73" t="s">
        <v>7</v>
      </c>
      <c r="C29" s="53"/>
      <c r="D29" s="74" t="s">
        <v>9</v>
      </c>
      <c r="E29" s="60">
        <v>1860</v>
      </c>
      <c r="F29" s="60">
        <v>0.548</v>
      </c>
      <c r="G29" s="71">
        <v>19000</v>
      </c>
      <c r="H29" s="71">
        <f t="shared" si="0"/>
        <v>10412</v>
      </c>
      <c r="I29" s="71">
        <f>+H29*J20</f>
        <v>7809</v>
      </c>
      <c r="J29" s="71">
        <f>+H29*J21</f>
        <v>6559.56</v>
      </c>
      <c r="K29" s="72">
        <v>0.432</v>
      </c>
      <c r="L29" s="54"/>
    </row>
    <row r="30" spans="1:12" ht="21">
      <c r="A30" s="47"/>
      <c r="B30" s="73" t="s">
        <v>7</v>
      </c>
      <c r="C30" s="53"/>
      <c r="D30" s="74" t="s">
        <v>10</v>
      </c>
      <c r="E30" s="60">
        <v>1720</v>
      </c>
      <c r="F30" s="60">
        <v>0.929</v>
      </c>
      <c r="G30" s="71">
        <v>17500</v>
      </c>
      <c r="H30" s="71">
        <f t="shared" si="0"/>
        <v>16257.5</v>
      </c>
      <c r="I30" s="71">
        <f>+H30*J20</f>
        <v>12193.125</v>
      </c>
      <c r="J30" s="71">
        <f>+H30*J21</f>
        <v>10242.225</v>
      </c>
      <c r="K30" s="72">
        <v>0.729</v>
      </c>
      <c r="L30" s="54"/>
    </row>
    <row r="31" spans="1:12" ht="21">
      <c r="A31" s="47"/>
      <c r="B31" s="75" t="s">
        <v>7</v>
      </c>
      <c r="C31" s="59"/>
      <c r="D31" s="76" t="s">
        <v>11</v>
      </c>
      <c r="E31" s="77">
        <v>1860</v>
      </c>
      <c r="F31" s="78">
        <v>0.987</v>
      </c>
      <c r="G31" s="79">
        <v>19000</v>
      </c>
      <c r="H31" s="79">
        <f t="shared" si="0"/>
        <v>18753</v>
      </c>
      <c r="I31" s="79">
        <f>+H31*J20</f>
        <v>14064.75</v>
      </c>
      <c r="J31" s="79">
        <f>+H31*J21</f>
        <v>11814.39</v>
      </c>
      <c r="K31" s="80">
        <v>0.774</v>
      </c>
      <c r="L31" s="54"/>
    </row>
    <row r="32" spans="1:12" ht="21.75" thickBot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3"/>
    </row>
    <row r="33" spans="1:12" ht="2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2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21">
      <c r="A35" s="53"/>
      <c r="B35" s="53"/>
      <c r="C35" s="53"/>
      <c r="D35" s="53"/>
      <c r="E35" s="53"/>
      <c r="H35"/>
      <c r="I35"/>
      <c r="J35" s="84"/>
      <c r="L35" s="53"/>
    </row>
    <row r="36" spans="1:12" ht="21">
      <c r="A36" s="53"/>
      <c r="B36" s="53"/>
      <c r="C36" s="53"/>
      <c r="D36" s="53"/>
      <c r="E36" s="53"/>
      <c r="H36" s="469"/>
      <c r="I36" s="469"/>
      <c r="J36" s="469"/>
      <c r="K36" s="53"/>
      <c r="L36" s="53"/>
    </row>
    <row r="37" spans="8:10" ht="21">
      <c r="H37" s="469"/>
      <c r="I37" s="469"/>
      <c r="J37" s="469"/>
    </row>
    <row r="38" spans="2:10" ht="21">
      <c r="B38" s="85"/>
      <c r="H38" s="469"/>
      <c r="I38" s="469"/>
      <c r="J38" s="469"/>
    </row>
    <row r="39" spans="10:12" ht="21">
      <c r="J39" s="468"/>
      <c r="K39" s="468"/>
      <c r="L39" s="468"/>
    </row>
  </sheetData>
  <sheetProtection/>
  <mergeCells count="10">
    <mergeCell ref="A2:L2"/>
    <mergeCell ref="K4:L4"/>
    <mergeCell ref="B23:C24"/>
    <mergeCell ref="J39:L39"/>
    <mergeCell ref="H36:J36"/>
    <mergeCell ref="H37:J37"/>
    <mergeCell ref="H38:J38"/>
    <mergeCell ref="D23:D24"/>
    <mergeCell ref="E23:E24"/>
    <mergeCell ref="A5:F5"/>
  </mergeCells>
  <printOptions horizontalCentered="1"/>
  <pageMargins left="0.57" right="0.35433070866141736" top="0.35" bottom="0.32" header="0.06" footer="0.0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49"/>
  <sheetViews>
    <sheetView zoomScalePageLayoutView="0" workbookViewId="0" topLeftCell="A1">
      <selection activeCell="B223" sqref="B223"/>
    </sheetView>
  </sheetViews>
  <sheetFormatPr defaultColWidth="10.66015625" defaultRowHeight="21"/>
  <cols>
    <col min="1" max="1" width="2.33203125" style="128" customWidth="1"/>
    <col min="2" max="2" width="13.5" style="128" customWidth="1"/>
    <col min="3" max="3" width="12.33203125" style="128" customWidth="1"/>
    <col min="4" max="4" width="13.5" style="128" customWidth="1"/>
    <col min="5" max="5" width="11.66015625" style="128" bestFit="1" customWidth="1"/>
    <col min="6" max="6" width="11.5" style="128" customWidth="1"/>
    <col min="7" max="8" width="12.5" style="128" customWidth="1"/>
    <col min="9" max="9" width="11.66015625" style="128" customWidth="1"/>
    <col min="10" max="10" width="14.5" style="128" customWidth="1"/>
    <col min="11" max="11" width="10.66015625" style="128" customWidth="1"/>
    <col min="12" max="12" width="9.33203125" style="128" customWidth="1"/>
    <col min="13" max="13" width="12.66015625" style="128" customWidth="1"/>
    <col min="14" max="15" width="10.66015625" style="128" customWidth="1"/>
    <col min="16" max="16" width="14.5" style="128" customWidth="1"/>
    <col min="17" max="16384" width="10.66015625" style="128" customWidth="1"/>
  </cols>
  <sheetData>
    <row r="1" ht="26.25" customHeight="1"/>
    <row r="2" spans="1:12" ht="21.75">
      <c r="A2" s="127"/>
      <c r="B2" s="127"/>
      <c r="C2" s="127"/>
      <c r="D2" s="129"/>
      <c r="E2" s="127"/>
      <c r="F2" s="127"/>
      <c r="G2" s="127"/>
      <c r="H2" s="127"/>
      <c r="I2" s="127"/>
      <c r="J2" s="127"/>
      <c r="K2" s="127"/>
      <c r="L2" s="127"/>
    </row>
    <row r="3" spans="1:12" ht="12.75" customHeight="1">
      <c r="A3" s="127"/>
      <c r="B3" s="127"/>
      <c r="C3" s="127"/>
      <c r="D3" s="129"/>
      <c r="E3" s="127"/>
      <c r="F3" s="127"/>
      <c r="G3" s="127"/>
      <c r="H3" s="127"/>
      <c r="I3" s="127"/>
      <c r="J3" s="127"/>
      <c r="K3" s="127"/>
      <c r="L3" s="127"/>
    </row>
    <row r="4" spans="1:11" ht="23.25">
      <c r="A4" s="482" t="s">
        <v>32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3:11" ht="24" thickBot="1">
      <c r="C5" s="140"/>
      <c r="D5" s="140" t="s">
        <v>384</v>
      </c>
      <c r="E5" s="141">
        <f>+CERTIFICATE!A5</f>
        <v>0</v>
      </c>
      <c r="F5" s="140"/>
      <c r="G5" s="140"/>
      <c r="H5" s="140"/>
      <c r="I5" s="140"/>
      <c r="J5" s="140"/>
      <c r="K5" s="140"/>
    </row>
    <row r="6" spans="1:11" ht="23.25">
      <c r="A6" s="144"/>
      <c r="B6" s="145"/>
      <c r="C6" s="145"/>
      <c r="D6" s="146"/>
      <c r="E6" s="147" t="s">
        <v>273</v>
      </c>
      <c r="F6" s="146" t="s">
        <v>43</v>
      </c>
      <c r="G6" s="146"/>
      <c r="H6" s="146"/>
      <c r="I6" s="146" t="s">
        <v>33</v>
      </c>
      <c r="J6" s="146"/>
      <c r="K6" s="148"/>
    </row>
    <row r="7" spans="1:11" ht="24" thickBot="1">
      <c r="A7" s="149" t="s">
        <v>217</v>
      </c>
      <c r="B7" s="150"/>
      <c r="C7" s="127"/>
      <c r="D7" s="127"/>
      <c r="E7" s="127"/>
      <c r="F7" s="127"/>
      <c r="G7" s="127"/>
      <c r="H7" s="127"/>
      <c r="I7" s="127"/>
      <c r="J7" s="127"/>
      <c r="K7" s="151"/>
    </row>
    <row r="8" spans="1:11" ht="17.25" customHeight="1">
      <c r="A8" s="144"/>
      <c r="B8" s="145"/>
      <c r="C8" s="145"/>
      <c r="D8" s="152"/>
      <c r="E8" s="488" t="s">
        <v>68</v>
      </c>
      <c r="F8" s="488"/>
      <c r="G8" s="488"/>
      <c r="H8" s="488"/>
      <c r="I8" s="488"/>
      <c r="J8" s="488"/>
      <c r="K8" s="489"/>
    </row>
    <row r="9" spans="1:11" ht="17.25" customHeight="1">
      <c r="A9" s="153"/>
      <c r="B9" s="127"/>
      <c r="C9" s="127"/>
      <c r="D9" s="151"/>
      <c r="E9" s="154" t="s">
        <v>69</v>
      </c>
      <c r="F9" s="286" t="s">
        <v>70</v>
      </c>
      <c r="G9" s="286" t="s">
        <v>71</v>
      </c>
      <c r="H9" s="286" t="s">
        <v>72</v>
      </c>
      <c r="I9" s="286" t="s">
        <v>73</v>
      </c>
      <c r="J9" s="286" t="s">
        <v>74</v>
      </c>
      <c r="K9" s="287" t="s">
        <v>75</v>
      </c>
    </row>
    <row r="10" spans="1:13" ht="17.25" customHeight="1">
      <c r="A10" s="153"/>
      <c r="B10" s="127"/>
      <c r="C10" s="127"/>
      <c r="D10" s="151"/>
      <c r="E10" s="331">
        <v>40</v>
      </c>
      <c r="F10" s="450">
        <v>12</v>
      </c>
      <c r="G10" s="450">
        <v>16</v>
      </c>
      <c r="H10" s="333">
        <v>40</v>
      </c>
      <c r="I10" s="450">
        <v>11</v>
      </c>
      <c r="J10" s="450">
        <v>3</v>
      </c>
      <c r="K10" s="451">
        <v>12</v>
      </c>
      <c r="M10" s="305">
        <f>+IF(G10&gt;0,G10,IF(G10=0,E10))</f>
        <v>16</v>
      </c>
    </row>
    <row r="11" spans="1:11" ht="21.75">
      <c r="A11" s="153"/>
      <c r="B11" s="127"/>
      <c r="C11" s="127"/>
      <c r="D11" s="151"/>
      <c r="E11" s="127"/>
      <c r="F11" s="127" t="s">
        <v>208</v>
      </c>
      <c r="G11" s="127"/>
      <c r="I11" s="135" t="s">
        <v>419</v>
      </c>
      <c r="J11" s="330">
        <v>18</v>
      </c>
      <c r="K11" s="151" t="s">
        <v>274</v>
      </c>
    </row>
    <row r="12" spans="1:11" ht="24.75">
      <c r="A12" s="153"/>
      <c r="B12" s="127"/>
      <c r="C12" s="127"/>
      <c r="D12" s="151"/>
      <c r="E12" s="127"/>
      <c r="F12" s="127" t="s">
        <v>209</v>
      </c>
      <c r="G12" s="127"/>
      <c r="I12" s="135" t="s">
        <v>420</v>
      </c>
      <c r="J12" s="330">
        <v>1232</v>
      </c>
      <c r="K12" s="151" t="s">
        <v>275</v>
      </c>
    </row>
    <row r="13" spans="1:11" ht="21.75">
      <c r="A13" s="153"/>
      <c r="B13" s="127"/>
      <c r="C13" s="127"/>
      <c r="D13" s="151"/>
      <c r="E13" s="127"/>
      <c r="F13" s="127" t="s">
        <v>210</v>
      </c>
      <c r="G13" s="127"/>
      <c r="I13" s="135" t="s">
        <v>444</v>
      </c>
      <c r="J13" s="156">
        <f>+J12*0.24</f>
        <v>295.68</v>
      </c>
      <c r="K13" s="151" t="s">
        <v>276</v>
      </c>
    </row>
    <row r="14" spans="1:11" ht="24.75">
      <c r="A14" s="153"/>
      <c r="B14" s="127"/>
      <c r="C14" s="127"/>
      <c r="D14" s="151"/>
      <c r="E14" s="127"/>
      <c r="F14" s="127" t="s">
        <v>211</v>
      </c>
      <c r="G14" s="127"/>
      <c r="I14" s="135" t="s">
        <v>421</v>
      </c>
      <c r="J14" s="330">
        <v>206313.33</v>
      </c>
      <c r="K14" s="151" t="s">
        <v>277</v>
      </c>
    </row>
    <row r="15" spans="1:11" ht="24.75">
      <c r="A15" s="153"/>
      <c r="B15" s="127"/>
      <c r="C15" s="127"/>
      <c r="D15" s="151"/>
      <c r="E15" s="127"/>
      <c r="F15" s="127" t="s">
        <v>271</v>
      </c>
      <c r="G15" s="127"/>
      <c r="I15" s="135" t="s">
        <v>422</v>
      </c>
      <c r="J15" s="330">
        <v>10315.67</v>
      </c>
      <c r="K15" s="151" t="s">
        <v>278</v>
      </c>
    </row>
    <row r="16" spans="1:15" ht="21.75">
      <c r="A16" s="153"/>
      <c r="B16" s="127"/>
      <c r="C16" s="127"/>
      <c r="D16" s="151"/>
      <c r="E16" s="127"/>
      <c r="F16" s="127" t="s">
        <v>423</v>
      </c>
      <c r="G16" s="127"/>
      <c r="I16" s="135" t="s">
        <v>445</v>
      </c>
      <c r="J16" s="330">
        <v>12500</v>
      </c>
      <c r="K16" s="151" t="s">
        <v>279</v>
      </c>
      <c r="M16" s="127"/>
      <c r="N16" s="166"/>
      <c r="O16" s="127"/>
    </row>
    <row r="17" spans="1:15" ht="21.75">
      <c r="A17" s="153"/>
      <c r="B17" s="127"/>
      <c r="C17" s="127"/>
      <c r="D17" s="151"/>
      <c r="E17" s="127"/>
      <c r="F17" s="127" t="s">
        <v>424</v>
      </c>
      <c r="G17" s="127"/>
      <c r="I17" s="135" t="s">
        <v>448</v>
      </c>
      <c r="J17" s="156">
        <f>+J18-J16</f>
        <v>1800</v>
      </c>
      <c r="K17" s="151" t="s">
        <v>279</v>
      </c>
      <c r="M17" s="134"/>
      <c r="N17" s="166"/>
      <c r="O17" s="127"/>
    </row>
    <row r="18" spans="1:15" ht="21.75">
      <c r="A18" s="153"/>
      <c r="B18" s="127"/>
      <c r="C18" s="127"/>
      <c r="D18" s="151"/>
      <c r="E18" s="127"/>
      <c r="F18" s="127"/>
      <c r="G18" s="127"/>
      <c r="I18" s="135" t="s">
        <v>449</v>
      </c>
      <c r="J18" s="363">
        <v>14300</v>
      </c>
      <c r="K18" s="151" t="s">
        <v>279</v>
      </c>
      <c r="M18" s="127"/>
      <c r="N18" s="127"/>
      <c r="O18" s="127"/>
    </row>
    <row r="19" spans="1:15" ht="21.75">
      <c r="A19" s="153"/>
      <c r="B19" s="127"/>
      <c r="C19" s="127"/>
      <c r="D19" s="151"/>
      <c r="E19" s="127"/>
      <c r="F19" s="127" t="s">
        <v>212</v>
      </c>
      <c r="G19" s="127"/>
      <c r="I19" s="135" t="s">
        <v>450</v>
      </c>
      <c r="J19" s="330">
        <v>6600</v>
      </c>
      <c r="K19" s="151" t="s">
        <v>280</v>
      </c>
      <c r="M19" s="127"/>
      <c r="N19" s="127"/>
      <c r="O19" s="127"/>
    </row>
    <row r="20" spans="1:11" ht="22.5" thickBot="1">
      <c r="A20" s="157"/>
      <c r="B20" s="158"/>
      <c r="C20" s="158"/>
      <c r="D20" s="159"/>
      <c r="E20" s="158"/>
      <c r="F20" s="158"/>
      <c r="G20" s="158"/>
      <c r="H20" s="160"/>
      <c r="I20" s="158"/>
      <c r="J20" s="161"/>
      <c r="K20" s="159"/>
    </row>
    <row r="21" spans="1:11" ht="23.25">
      <c r="A21" s="149" t="s">
        <v>77</v>
      </c>
      <c r="B21" s="162"/>
      <c r="C21" s="127"/>
      <c r="D21" s="127"/>
      <c r="E21" s="127"/>
      <c r="F21" s="127"/>
      <c r="G21" s="127"/>
      <c r="H21" s="127"/>
      <c r="I21" s="127"/>
      <c r="J21" s="134"/>
      <c r="K21" s="151"/>
    </row>
    <row r="22" spans="1:11" ht="21.75">
      <c r="A22" s="153"/>
      <c r="B22" s="163" t="s">
        <v>215</v>
      </c>
      <c r="C22" s="127"/>
      <c r="D22" s="127"/>
      <c r="E22" s="127"/>
      <c r="F22" s="127"/>
      <c r="G22" s="127"/>
      <c r="H22" s="155" t="s">
        <v>213</v>
      </c>
      <c r="I22" s="134" t="s">
        <v>385</v>
      </c>
      <c r="J22" s="335">
        <v>400</v>
      </c>
      <c r="K22" s="151" t="s">
        <v>27</v>
      </c>
    </row>
    <row r="23" spans="1:11" ht="21.75">
      <c r="A23" s="153"/>
      <c r="B23" s="163" t="s">
        <v>218</v>
      </c>
      <c r="C23" s="127"/>
      <c r="D23" s="127"/>
      <c r="E23" s="127"/>
      <c r="F23" s="127"/>
      <c r="G23" s="127"/>
      <c r="H23" s="155" t="s">
        <v>214</v>
      </c>
      <c r="I23" s="134" t="s">
        <v>385</v>
      </c>
      <c r="J23" s="335">
        <f>+CERTIFICATE!J9</f>
        <v>280</v>
      </c>
      <c r="K23" s="151" t="s">
        <v>368</v>
      </c>
    </row>
    <row r="24" spans="1:11" ht="21.75">
      <c r="A24" s="153"/>
      <c r="B24" s="163" t="s">
        <v>216</v>
      </c>
      <c r="C24" s="127"/>
      <c r="D24" s="127"/>
      <c r="E24" s="127"/>
      <c r="F24" s="127"/>
      <c r="G24" s="127" t="s">
        <v>194</v>
      </c>
      <c r="H24" s="127"/>
      <c r="I24" s="134" t="s">
        <v>385</v>
      </c>
      <c r="J24" s="164">
        <f>15200*SQRT(J22)</f>
        <v>304000</v>
      </c>
      <c r="K24" s="151" t="s">
        <v>368</v>
      </c>
    </row>
    <row r="25" spans="1:11" ht="21.75">
      <c r="A25" s="153"/>
      <c r="B25" s="163" t="s">
        <v>272</v>
      </c>
      <c r="C25" s="127"/>
      <c r="D25" s="127"/>
      <c r="E25" s="127"/>
      <c r="F25" s="127"/>
      <c r="G25" s="127" t="s">
        <v>195</v>
      </c>
      <c r="H25" s="127"/>
      <c r="I25" s="134" t="s">
        <v>385</v>
      </c>
      <c r="J25" s="164">
        <f>15200*SQRT(J23)</f>
        <v>254344.64806635896</v>
      </c>
      <c r="K25" s="151" t="s">
        <v>368</v>
      </c>
    </row>
    <row r="26" spans="1:11" ht="21.75">
      <c r="A26" s="153"/>
      <c r="B26" s="163" t="s">
        <v>78</v>
      </c>
      <c r="C26" s="127"/>
      <c r="D26" s="127"/>
      <c r="E26" s="127" t="s">
        <v>79</v>
      </c>
      <c r="F26" s="127"/>
      <c r="G26" s="165" t="s">
        <v>196</v>
      </c>
      <c r="H26" s="165" t="s">
        <v>197</v>
      </c>
      <c r="I26" s="134" t="s">
        <v>385</v>
      </c>
      <c r="J26" s="166">
        <f>0.6*J23</f>
        <v>168</v>
      </c>
      <c r="K26" s="151" t="s">
        <v>368</v>
      </c>
    </row>
    <row r="27" spans="1:11" ht="21.75">
      <c r="A27" s="153"/>
      <c r="B27" s="127"/>
      <c r="C27" s="127"/>
      <c r="D27" s="127"/>
      <c r="E27" s="127" t="s">
        <v>80</v>
      </c>
      <c r="F27" s="127"/>
      <c r="G27" s="165" t="s">
        <v>198</v>
      </c>
      <c r="H27" s="165" t="s">
        <v>451</v>
      </c>
      <c r="I27" s="134"/>
      <c r="J27" s="166">
        <f>-0.795*SQRT(J23)</f>
        <v>-13.302894421891802</v>
      </c>
      <c r="K27" s="151" t="s">
        <v>368</v>
      </c>
    </row>
    <row r="28" spans="1:11" ht="21.75">
      <c r="A28" s="153"/>
      <c r="B28" s="163" t="s">
        <v>81</v>
      </c>
      <c r="C28" s="127"/>
      <c r="D28" s="127"/>
      <c r="E28" s="127" t="s">
        <v>79</v>
      </c>
      <c r="F28" s="127"/>
      <c r="G28" s="165" t="s">
        <v>199</v>
      </c>
      <c r="H28" s="165" t="s">
        <v>200</v>
      </c>
      <c r="I28" s="134" t="s">
        <v>385</v>
      </c>
      <c r="J28" s="166">
        <f>0.45*J22</f>
        <v>180</v>
      </c>
      <c r="K28" s="151" t="s">
        <v>368</v>
      </c>
    </row>
    <row r="29" spans="1:11" ht="21.75">
      <c r="A29" s="153"/>
      <c r="B29" s="127"/>
      <c r="C29" s="127"/>
      <c r="D29" s="127"/>
      <c r="E29" s="127" t="s">
        <v>80</v>
      </c>
      <c r="F29" s="127"/>
      <c r="G29" s="165" t="s">
        <v>201</v>
      </c>
      <c r="H29" s="165" t="s">
        <v>452</v>
      </c>
      <c r="I29" s="127"/>
      <c r="J29" s="166">
        <f>-1.59*SQRT(J22)</f>
        <v>-31.8</v>
      </c>
      <c r="K29" s="151" t="s">
        <v>368</v>
      </c>
    </row>
    <row r="30" spans="1:11" ht="21.75">
      <c r="A30" s="153"/>
      <c r="B30" s="163" t="s">
        <v>82</v>
      </c>
      <c r="C30" s="127"/>
      <c r="D30" s="127"/>
      <c r="E30" s="127"/>
      <c r="F30" s="127"/>
      <c r="G30" s="165" t="s">
        <v>202</v>
      </c>
      <c r="H30" s="165" t="s">
        <v>203</v>
      </c>
      <c r="I30" s="134" t="s">
        <v>385</v>
      </c>
      <c r="J30" s="166">
        <f>0.33*J22</f>
        <v>132</v>
      </c>
      <c r="K30" s="151" t="s">
        <v>368</v>
      </c>
    </row>
    <row r="31" spans="1:11" ht="22.5" thickBot="1">
      <c r="A31" s="153"/>
      <c r="B31" s="163" t="s">
        <v>83</v>
      </c>
      <c r="C31" s="127"/>
      <c r="D31" s="127"/>
      <c r="E31" s="127"/>
      <c r="F31" s="127"/>
      <c r="G31" s="127"/>
      <c r="H31" s="134" t="s">
        <v>204</v>
      </c>
      <c r="I31" s="167" t="s">
        <v>385</v>
      </c>
      <c r="J31" s="346">
        <f>P39</f>
        <v>1978256.8</v>
      </c>
      <c r="K31" s="151" t="s">
        <v>368</v>
      </c>
    </row>
    <row r="32" spans="1:15" ht="18.75" customHeight="1">
      <c r="A32" s="490" t="s">
        <v>84</v>
      </c>
      <c r="B32" s="491"/>
      <c r="C32" s="486" t="s">
        <v>85</v>
      </c>
      <c r="D32" s="169" t="s">
        <v>86</v>
      </c>
      <c r="E32" s="483" t="s">
        <v>88</v>
      </c>
      <c r="F32" s="484"/>
      <c r="G32" s="169" t="s">
        <v>89</v>
      </c>
      <c r="H32" s="168" t="s">
        <v>90</v>
      </c>
      <c r="I32" s="169" t="s">
        <v>91</v>
      </c>
      <c r="J32" s="483" t="s">
        <v>92</v>
      </c>
      <c r="K32" s="485"/>
      <c r="O32" s="130" t="s">
        <v>219</v>
      </c>
    </row>
    <row r="33" spans="1:15" ht="18.75" customHeight="1">
      <c r="A33" s="492"/>
      <c r="B33" s="493"/>
      <c r="C33" s="487"/>
      <c r="D33" s="171" t="s">
        <v>253</v>
      </c>
      <c r="E33" s="172" t="s">
        <v>93</v>
      </c>
      <c r="F33" s="173" t="s">
        <v>94</v>
      </c>
      <c r="G33" s="171" t="s">
        <v>95</v>
      </c>
      <c r="H33" s="170" t="s">
        <v>96</v>
      </c>
      <c r="I33" s="171" t="s">
        <v>254</v>
      </c>
      <c r="J33" s="172" t="s">
        <v>255</v>
      </c>
      <c r="K33" s="174" t="s">
        <v>256</v>
      </c>
      <c r="O33" s="130" t="s">
        <v>220</v>
      </c>
    </row>
    <row r="34" spans="1:16" ht="18.75" customHeight="1" thickBot="1">
      <c r="A34" s="494"/>
      <c r="B34" s="495"/>
      <c r="C34" s="175" t="s">
        <v>257</v>
      </c>
      <c r="D34" s="176" t="s">
        <v>97</v>
      </c>
      <c r="E34" s="177" t="s">
        <v>98</v>
      </c>
      <c r="F34" s="175" t="s">
        <v>98</v>
      </c>
      <c r="G34" s="176" t="s">
        <v>42</v>
      </c>
      <c r="H34" s="175" t="s">
        <v>42</v>
      </c>
      <c r="I34" s="176" t="s">
        <v>257</v>
      </c>
      <c r="J34" s="177" t="s">
        <v>98</v>
      </c>
      <c r="K34" s="178" t="s">
        <v>98</v>
      </c>
      <c r="N34" s="128" t="s">
        <v>370</v>
      </c>
      <c r="O34" s="130" t="s">
        <v>258</v>
      </c>
      <c r="P34" s="130" t="s">
        <v>204</v>
      </c>
    </row>
    <row r="35" spans="1:16" ht="21.75">
      <c r="A35" s="179" t="s">
        <v>478</v>
      </c>
      <c r="B35" s="180"/>
      <c r="C35" s="181">
        <v>0.126</v>
      </c>
      <c r="D35" s="182">
        <v>18000</v>
      </c>
      <c r="E35" s="336">
        <v>0</v>
      </c>
      <c r="F35" s="336">
        <v>0</v>
      </c>
      <c r="G35" s="288">
        <f aca="true" t="shared" si="0" ref="G35:G41">C35*D35*$G$49</f>
        <v>1701</v>
      </c>
      <c r="H35" s="288">
        <f aca="true" t="shared" si="1" ref="H35:H41">C35*D35*(E35+F35)*$G$49</f>
        <v>0</v>
      </c>
      <c r="I35" s="288">
        <f aca="true" t="shared" si="2" ref="I35:I41">(E35+F35)*C35</f>
        <v>0</v>
      </c>
      <c r="J35" s="448">
        <v>0</v>
      </c>
      <c r="K35" s="183">
        <f aca="true" t="shared" si="3" ref="K35:K41">IF(J35=0,J35,IF(J35&gt;0,M35))</f>
        <v>0</v>
      </c>
      <c r="M35" s="184">
        <f aca="true" t="shared" si="4" ref="M35:M41">$H$10-J35</f>
        <v>40</v>
      </c>
      <c r="N35" s="361">
        <v>4</v>
      </c>
      <c r="O35" s="258">
        <v>200</v>
      </c>
      <c r="P35" s="359">
        <f aca="true" t="shared" si="5" ref="P35:P41">+O35*10197.2</f>
        <v>2039440.0000000002</v>
      </c>
    </row>
    <row r="36" spans="1:16" ht="21.75">
      <c r="A36" s="185" t="s">
        <v>479</v>
      </c>
      <c r="B36" s="186"/>
      <c r="C36" s="187">
        <v>0.196</v>
      </c>
      <c r="D36" s="188">
        <v>18000</v>
      </c>
      <c r="E36" s="337">
        <v>0</v>
      </c>
      <c r="F36" s="337">
        <v>0</v>
      </c>
      <c r="G36" s="222">
        <f t="shared" si="0"/>
        <v>2646</v>
      </c>
      <c r="H36" s="222">
        <f t="shared" si="1"/>
        <v>0</v>
      </c>
      <c r="I36" s="222">
        <f t="shared" si="2"/>
        <v>0</v>
      </c>
      <c r="J36" s="337">
        <v>0</v>
      </c>
      <c r="K36" s="190">
        <f t="shared" si="3"/>
        <v>0</v>
      </c>
      <c r="M36" s="191">
        <f t="shared" si="4"/>
        <v>40</v>
      </c>
      <c r="N36" s="361">
        <v>5</v>
      </c>
      <c r="O36" s="258">
        <v>200</v>
      </c>
      <c r="P36" s="359">
        <f t="shared" si="5"/>
        <v>2039440.0000000002</v>
      </c>
    </row>
    <row r="37" spans="1:16" ht="21.75">
      <c r="A37" s="185" t="s">
        <v>480</v>
      </c>
      <c r="B37" s="186"/>
      <c r="C37" s="187">
        <v>0.385</v>
      </c>
      <c r="D37" s="188">
        <v>17000</v>
      </c>
      <c r="E37" s="338">
        <v>0</v>
      </c>
      <c r="F37" s="338">
        <v>0</v>
      </c>
      <c r="G37" s="222">
        <f t="shared" si="0"/>
        <v>4908.75</v>
      </c>
      <c r="H37" s="222">
        <f t="shared" si="1"/>
        <v>0</v>
      </c>
      <c r="I37" s="222">
        <f t="shared" si="2"/>
        <v>0</v>
      </c>
      <c r="J37" s="337">
        <v>0</v>
      </c>
      <c r="K37" s="190">
        <f t="shared" si="3"/>
        <v>0</v>
      </c>
      <c r="M37" s="191">
        <f t="shared" si="4"/>
        <v>40</v>
      </c>
      <c r="N37" s="361">
        <v>7</v>
      </c>
      <c r="O37" s="258">
        <v>200</v>
      </c>
      <c r="P37" s="359">
        <f t="shared" si="5"/>
        <v>2039440.0000000002</v>
      </c>
    </row>
    <row r="38" spans="1:16" ht="21.75">
      <c r="A38" s="185" t="s">
        <v>481</v>
      </c>
      <c r="B38" s="186"/>
      <c r="C38" s="187">
        <v>0.516</v>
      </c>
      <c r="D38" s="188">
        <v>17500</v>
      </c>
      <c r="E38" s="338">
        <v>0</v>
      </c>
      <c r="F38" s="338">
        <v>0</v>
      </c>
      <c r="G38" s="222">
        <f t="shared" si="0"/>
        <v>6772.5</v>
      </c>
      <c r="H38" s="222">
        <f t="shared" si="1"/>
        <v>0</v>
      </c>
      <c r="I38" s="222">
        <f t="shared" si="2"/>
        <v>0</v>
      </c>
      <c r="J38" s="337">
        <v>0</v>
      </c>
      <c r="K38" s="190">
        <f t="shared" si="3"/>
        <v>0</v>
      </c>
      <c r="M38" s="191">
        <f t="shared" si="4"/>
        <v>40</v>
      </c>
      <c r="N38" s="361" t="s">
        <v>221</v>
      </c>
      <c r="O38" s="258">
        <v>192</v>
      </c>
      <c r="P38" s="359">
        <f t="shared" si="5"/>
        <v>1957862.4000000001</v>
      </c>
    </row>
    <row r="39" spans="1:16" ht="21.75">
      <c r="A39" s="185" t="s">
        <v>482</v>
      </c>
      <c r="B39" s="186"/>
      <c r="C39" s="187">
        <v>0.548</v>
      </c>
      <c r="D39" s="188">
        <v>19000</v>
      </c>
      <c r="E39" s="447">
        <v>6</v>
      </c>
      <c r="F39" s="447">
        <v>8</v>
      </c>
      <c r="G39" s="222">
        <f t="shared" si="0"/>
        <v>7809</v>
      </c>
      <c r="H39" s="222">
        <f t="shared" si="1"/>
        <v>109326</v>
      </c>
      <c r="I39" s="222">
        <f t="shared" si="2"/>
        <v>7.672000000000001</v>
      </c>
      <c r="J39" s="337">
        <v>4</v>
      </c>
      <c r="K39" s="190">
        <f t="shared" si="3"/>
        <v>36</v>
      </c>
      <c r="M39" s="191">
        <f t="shared" si="4"/>
        <v>36</v>
      </c>
      <c r="N39" s="361" t="s">
        <v>222</v>
      </c>
      <c r="O39" s="258">
        <v>194</v>
      </c>
      <c r="P39" s="359">
        <f t="shared" si="5"/>
        <v>1978256.8</v>
      </c>
    </row>
    <row r="40" spans="1:16" ht="21.75">
      <c r="A40" s="185" t="s">
        <v>483</v>
      </c>
      <c r="B40" s="186"/>
      <c r="C40" s="187">
        <v>0.929</v>
      </c>
      <c r="D40" s="188">
        <v>17500</v>
      </c>
      <c r="E40" s="338">
        <v>0</v>
      </c>
      <c r="F40" s="338">
        <v>0</v>
      </c>
      <c r="G40" s="222">
        <f t="shared" si="0"/>
        <v>12193.125</v>
      </c>
      <c r="H40" s="222">
        <f t="shared" si="1"/>
        <v>0</v>
      </c>
      <c r="I40" s="222">
        <f t="shared" si="2"/>
        <v>0</v>
      </c>
      <c r="J40" s="337">
        <v>0</v>
      </c>
      <c r="K40" s="190">
        <f t="shared" si="3"/>
        <v>0</v>
      </c>
      <c r="M40" s="191">
        <f t="shared" si="4"/>
        <v>40</v>
      </c>
      <c r="N40" s="361" t="s">
        <v>224</v>
      </c>
      <c r="O40" s="258">
        <v>195</v>
      </c>
      <c r="P40" s="359">
        <f t="shared" si="5"/>
        <v>1988454.0000000002</v>
      </c>
    </row>
    <row r="41" spans="1:16" ht="22.5" thickBot="1">
      <c r="A41" s="192" t="s">
        <v>484</v>
      </c>
      <c r="B41" s="193"/>
      <c r="C41" s="194">
        <v>0.987</v>
      </c>
      <c r="D41" s="195">
        <v>19000</v>
      </c>
      <c r="E41" s="341">
        <v>0</v>
      </c>
      <c r="F41" s="341">
        <v>0</v>
      </c>
      <c r="G41" s="289">
        <f t="shared" si="0"/>
        <v>14064.75</v>
      </c>
      <c r="H41" s="289">
        <f t="shared" si="1"/>
        <v>0</v>
      </c>
      <c r="I41" s="289">
        <f t="shared" si="2"/>
        <v>0</v>
      </c>
      <c r="J41" s="449">
        <v>0</v>
      </c>
      <c r="K41" s="196">
        <f t="shared" si="3"/>
        <v>0</v>
      </c>
      <c r="M41" s="197">
        <f t="shared" si="4"/>
        <v>40</v>
      </c>
      <c r="N41" s="361" t="s">
        <v>226</v>
      </c>
      <c r="O41" s="258">
        <v>193</v>
      </c>
      <c r="P41" s="359">
        <f t="shared" si="5"/>
        <v>1968059.6</v>
      </c>
    </row>
    <row r="42" spans="1:16" ht="23.25" customHeight="1" thickBot="1">
      <c r="A42" s="290"/>
      <c r="B42" s="291"/>
      <c r="C42" s="292"/>
      <c r="D42" s="306"/>
      <c r="E42" s="307" t="s">
        <v>426</v>
      </c>
      <c r="F42" s="293"/>
      <c r="G42" s="294"/>
      <c r="H42" s="291"/>
      <c r="I42" s="291"/>
      <c r="J42" s="293"/>
      <c r="K42" s="229"/>
      <c r="L42" s="132"/>
      <c r="M42" s="304"/>
      <c r="N42" s="302"/>
      <c r="O42" s="302"/>
      <c r="P42" s="303"/>
    </row>
    <row r="43" spans="1:11" ht="21.75">
      <c r="A43" s="198"/>
      <c r="B43" s="199" t="s">
        <v>223</v>
      </c>
      <c r="C43" s="145"/>
      <c r="D43" s="200"/>
      <c r="E43" s="145"/>
      <c r="F43" s="201" t="s">
        <v>259</v>
      </c>
      <c r="G43" s="342">
        <v>19000</v>
      </c>
      <c r="H43" s="202" t="s">
        <v>99</v>
      </c>
      <c r="I43" s="200"/>
      <c r="J43" s="200"/>
      <c r="K43" s="203"/>
    </row>
    <row r="44" spans="1:11" ht="21.75">
      <c r="A44" s="204"/>
      <c r="B44" s="135" t="s">
        <v>225</v>
      </c>
      <c r="C44" s="127"/>
      <c r="D44" s="134"/>
      <c r="E44" s="127"/>
      <c r="F44" s="155" t="s">
        <v>260</v>
      </c>
      <c r="G44" s="343">
        <v>4</v>
      </c>
      <c r="H44" s="136" t="s">
        <v>14</v>
      </c>
      <c r="I44" s="134"/>
      <c r="J44" s="134"/>
      <c r="K44" s="205"/>
    </row>
    <row r="45" spans="1:11" ht="21.75">
      <c r="A45" s="204"/>
      <c r="B45" s="135" t="s">
        <v>225</v>
      </c>
      <c r="C45" s="127"/>
      <c r="D45" s="134"/>
      <c r="E45" s="127"/>
      <c r="F45" s="155" t="s">
        <v>261</v>
      </c>
      <c r="G45" s="137">
        <f>H10-G44</f>
        <v>36</v>
      </c>
      <c r="H45" s="136" t="s">
        <v>14</v>
      </c>
      <c r="I45" s="134"/>
      <c r="J45" s="134"/>
      <c r="K45" s="205"/>
    </row>
    <row r="46" spans="1:11" ht="21.75">
      <c r="A46" s="153"/>
      <c r="B46" s="127" t="s">
        <v>227</v>
      </c>
      <c r="C46" s="127"/>
      <c r="D46" s="127"/>
      <c r="E46" s="127"/>
      <c r="F46" s="127"/>
      <c r="G46" s="127"/>
      <c r="H46" s="134" t="s">
        <v>205</v>
      </c>
      <c r="I46" s="134" t="s">
        <v>385</v>
      </c>
      <c r="J46" s="295">
        <f>E35*C35+E36*C36+E37*C37+E38*C38+E39*C39+E40*C40+E41*C41</f>
        <v>3.2880000000000003</v>
      </c>
      <c r="K46" s="207" t="s">
        <v>206</v>
      </c>
    </row>
    <row r="47" spans="1:11" ht="21.75">
      <c r="A47" s="153"/>
      <c r="B47" s="127" t="s">
        <v>228</v>
      </c>
      <c r="C47" s="127"/>
      <c r="D47" s="127"/>
      <c r="E47" s="127"/>
      <c r="F47" s="127"/>
      <c r="G47" s="127"/>
      <c r="H47" s="134" t="s">
        <v>207</v>
      </c>
      <c r="I47" s="134" t="s">
        <v>385</v>
      </c>
      <c r="J47" s="295">
        <f>F35*C35+F36*C36+F37*C37+F38*C38+F39*C39+F40*C40+F41*C41</f>
        <v>4.384</v>
      </c>
      <c r="K47" s="207" t="s">
        <v>206</v>
      </c>
    </row>
    <row r="48" spans="1:11" ht="21.75">
      <c r="A48" s="153"/>
      <c r="B48" s="127" t="s">
        <v>229</v>
      </c>
      <c r="C48" s="127"/>
      <c r="D48" s="127"/>
      <c r="E48" s="127"/>
      <c r="F48" s="155" t="s">
        <v>262</v>
      </c>
      <c r="G48" s="127" t="s">
        <v>263</v>
      </c>
      <c r="H48" s="127"/>
      <c r="I48" s="134" t="s">
        <v>385</v>
      </c>
      <c r="J48" s="295">
        <f>J46+J47</f>
        <v>7.672000000000001</v>
      </c>
      <c r="K48" s="207" t="s">
        <v>206</v>
      </c>
    </row>
    <row r="49" spans="1:11" ht="21.75">
      <c r="A49" s="153"/>
      <c r="B49" s="127" t="s">
        <v>230</v>
      </c>
      <c r="C49" s="127"/>
      <c r="D49" s="127"/>
      <c r="E49" s="127"/>
      <c r="F49" s="155" t="s">
        <v>231</v>
      </c>
      <c r="G49" s="344">
        <f>+CERTIFICATE!J20</f>
        <v>0.75</v>
      </c>
      <c r="H49" s="127" t="s">
        <v>264</v>
      </c>
      <c r="I49" s="134" t="s">
        <v>385</v>
      </c>
      <c r="J49" s="164">
        <f>G49*(G43)*J48</f>
        <v>109326.00000000001</v>
      </c>
      <c r="K49" s="208" t="s">
        <v>42</v>
      </c>
    </row>
    <row r="50" spans="1:11" ht="21.75">
      <c r="A50" s="153"/>
      <c r="B50" s="127" t="s">
        <v>232</v>
      </c>
      <c r="C50" s="127"/>
      <c r="D50" s="127"/>
      <c r="E50" s="127"/>
      <c r="F50" s="127" t="s">
        <v>281</v>
      </c>
      <c r="G50" s="127"/>
      <c r="H50" s="127"/>
      <c r="I50" s="134" t="s">
        <v>385</v>
      </c>
      <c r="J50" s="164">
        <f>(J47*G45+J46*G44)/J48</f>
        <v>22.285714285714285</v>
      </c>
      <c r="K50" s="208" t="s">
        <v>14</v>
      </c>
    </row>
    <row r="51" spans="1:11" ht="21.75">
      <c r="A51" s="153"/>
      <c r="B51" s="127" t="s">
        <v>427</v>
      </c>
      <c r="C51" s="127"/>
      <c r="D51" s="155"/>
      <c r="E51" s="134" t="s">
        <v>233</v>
      </c>
      <c r="F51" s="127" t="s">
        <v>282</v>
      </c>
      <c r="G51" s="127"/>
      <c r="H51" s="127"/>
      <c r="I51" s="134" t="s">
        <v>385</v>
      </c>
      <c r="J51" s="280">
        <f>J50-H10/2</f>
        <v>2.2857142857142847</v>
      </c>
      <c r="K51" s="208" t="s">
        <v>14</v>
      </c>
    </row>
    <row r="52" spans="1:11" ht="23.25">
      <c r="A52" s="149" t="s">
        <v>100</v>
      </c>
      <c r="B52" s="150"/>
      <c r="C52" s="127"/>
      <c r="D52" s="127"/>
      <c r="E52" s="127"/>
      <c r="F52" s="127"/>
      <c r="G52" s="127"/>
      <c r="H52" s="127"/>
      <c r="I52" s="127"/>
      <c r="J52" s="127"/>
      <c r="K52" s="151"/>
    </row>
    <row r="53" spans="1:11" ht="21.75">
      <c r="A53" s="153"/>
      <c r="B53" s="209" t="s">
        <v>101</v>
      </c>
      <c r="C53" s="127"/>
      <c r="D53" s="127"/>
      <c r="E53" s="127"/>
      <c r="F53" s="127"/>
      <c r="G53" s="127"/>
      <c r="H53" s="127"/>
      <c r="I53" s="127"/>
      <c r="J53" s="127"/>
      <c r="K53" s="151"/>
    </row>
    <row r="54" spans="1:11" ht="21.75">
      <c r="A54" s="153"/>
      <c r="B54" s="127"/>
      <c r="C54" s="127" t="s">
        <v>102</v>
      </c>
      <c r="D54" s="127"/>
      <c r="E54" s="127"/>
      <c r="F54" s="134" t="s">
        <v>385</v>
      </c>
      <c r="G54" s="127" t="s">
        <v>103</v>
      </c>
      <c r="H54" s="127"/>
      <c r="I54" s="127"/>
      <c r="J54" s="127"/>
      <c r="K54" s="151"/>
    </row>
    <row r="55" spans="1:11" ht="24.75">
      <c r="A55" s="153"/>
      <c r="B55" s="127"/>
      <c r="C55" s="127" t="s">
        <v>283</v>
      </c>
      <c r="D55" s="127"/>
      <c r="E55" s="127"/>
      <c r="F55" s="133">
        <f>(I55*((J49/J12)+J49*((J51)^2)/J14))</f>
        <v>82.35639706529157</v>
      </c>
      <c r="G55" s="134" t="s">
        <v>99</v>
      </c>
      <c r="H55" s="127" t="s">
        <v>265</v>
      </c>
      <c r="I55" s="210">
        <v>0.9</v>
      </c>
      <c r="J55" s="127" t="s">
        <v>104</v>
      </c>
      <c r="K55" s="151"/>
    </row>
    <row r="56" spans="1:11" ht="21.75">
      <c r="A56" s="153"/>
      <c r="B56" s="127"/>
      <c r="C56" s="127" t="s">
        <v>105</v>
      </c>
      <c r="D56" s="127"/>
      <c r="E56" s="127"/>
      <c r="F56" s="134" t="s">
        <v>385</v>
      </c>
      <c r="G56" s="127" t="s">
        <v>284</v>
      </c>
      <c r="H56" s="127"/>
      <c r="I56" s="127"/>
      <c r="J56" s="127"/>
      <c r="K56" s="151"/>
    </row>
    <row r="57" spans="1:11" ht="21.75">
      <c r="A57" s="153"/>
      <c r="B57" s="127"/>
      <c r="C57" s="127" t="s">
        <v>106</v>
      </c>
      <c r="D57" s="127"/>
      <c r="E57" s="127"/>
      <c r="F57" s="134" t="s">
        <v>385</v>
      </c>
      <c r="G57" s="127" t="s">
        <v>285</v>
      </c>
      <c r="H57" s="127"/>
      <c r="I57" s="127" t="s">
        <v>266</v>
      </c>
      <c r="J57" s="211">
        <v>0</v>
      </c>
      <c r="K57" s="151"/>
    </row>
    <row r="58" spans="1:11" ht="21.75">
      <c r="A58" s="153"/>
      <c r="B58" s="127"/>
      <c r="C58" s="127" t="s">
        <v>107</v>
      </c>
      <c r="D58" s="127"/>
      <c r="E58" s="127"/>
      <c r="F58" s="134" t="s">
        <v>385</v>
      </c>
      <c r="G58" s="127" t="s">
        <v>108</v>
      </c>
      <c r="H58" s="127"/>
      <c r="I58" s="127" t="s">
        <v>234</v>
      </c>
      <c r="J58" s="211">
        <v>75</v>
      </c>
      <c r="K58" s="151"/>
    </row>
    <row r="59" spans="1:11" ht="22.5" thickBot="1">
      <c r="A59" s="157"/>
      <c r="B59" s="127"/>
      <c r="C59" s="127" t="s">
        <v>109</v>
      </c>
      <c r="D59" s="127"/>
      <c r="E59" s="127"/>
      <c r="F59" s="134" t="s">
        <v>385</v>
      </c>
      <c r="G59" s="127" t="s">
        <v>110</v>
      </c>
      <c r="H59" s="127"/>
      <c r="I59" s="127"/>
      <c r="J59" s="127"/>
      <c r="K59" s="159"/>
    </row>
    <row r="60" spans="1:11" ht="22.5" thickBot="1">
      <c r="A60" s="212"/>
      <c r="B60" s="500" t="s">
        <v>111</v>
      </c>
      <c r="C60" s="500"/>
      <c r="D60" s="501"/>
      <c r="E60" s="213" t="s">
        <v>112</v>
      </c>
      <c r="F60" s="213" t="s">
        <v>113</v>
      </c>
      <c r="G60" s="214" t="s">
        <v>114</v>
      </c>
      <c r="H60" s="213" t="s">
        <v>115</v>
      </c>
      <c r="I60" s="502" t="s">
        <v>116</v>
      </c>
      <c r="J60" s="500"/>
      <c r="K60" s="503"/>
    </row>
    <row r="61" spans="1:11" ht="21.75">
      <c r="A61" s="153"/>
      <c r="B61" s="215" t="s">
        <v>235</v>
      </c>
      <c r="C61" s="215"/>
      <c r="D61" s="216"/>
      <c r="E61" s="296">
        <f>J31*F55/J25</f>
        <v>640.5564408628974</v>
      </c>
      <c r="F61" s="296">
        <f>12*F55-7*J57</f>
        <v>988.276764783499</v>
      </c>
      <c r="G61" s="297">
        <f>1200-11*J58</f>
        <v>375</v>
      </c>
      <c r="H61" s="296">
        <f>1410-0.4*E61-0.2*(G61+F61)</f>
        <v>881.1220706981412</v>
      </c>
      <c r="I61" s="217"/>
      <c r="J61" s="218">
        <f>SUM(E61:H61)</f>
        <v>2884.9552763445377</v>
      </c>
      <c r="K61" s="219"/>
    </row>
    <row r="62" spans="1:11" ht="21.75">
      <c r="A62" s="220"/>
      <c r="B62" s="221" t="s">
        <v>236</v>
      </c>
      <c r="C62" s="221"/>
      <c r="D62" s="143"/>
      <c r="E62" s="298">
        <f>E61*$J$48</f>
        <v>4914.349014300149</v>
      </c>
      <c r="F62" s="298">
        <f>F61*$J$48</f>
        <v>7582.059339419005</v>
      </c>
      <c r="G62" s="189">
        <f>G61*$J$48</f>
        <v>2877</v>
      </c>
      <c r="H62" s="298">
        <f>H61*$J$48</f>
        <v>6759.96852639614</v>
      </c>
      <c r="I62" s="142"/>
      <c r="J62" s="223">
        <f>SUM(E62:H62)</f>
        <v>22133.376880115295</v>
      </c>
      <c r="K62" s="224"/>
    </row>
    <row r="63" spans="1:11" ht="22.5" thickBot="1">
      <c r="A63" s="157"/>
      <c r="B63" s="225" t="s">
        <v>237</v>
      </c>
      <c r="C63" s="225"/>
      <c r="D63" s="226"/>
      <c r="E63" s="299">
        <f>E62*100/$J$49</f>
        <v>4.495132918336122</v>
      </c>
      <c r="F63" s="299">
        <f>F62*100/$J$49</f>
        <v>6.935275542340343</v>
      </c>
      <c r="G63" s="300">
        <f>G62*100/$J$49</f>
        <v>2.631578947368421</v>
      </c>
      <c r="H63" s="299">
        <f>H62*100/$J$49</f>
        <v>6.183312776829061</v>
      </c>
      <c r="I63" s="227"/>
      <c r="J63" s="228">
        <f>SUM(E63:H63)</f>
        <v>20.245300184873948</v>
      </c>
      <c r="K63" s="229"/>
    </row>
    <row r="64" spans="1:11" ht="14.25" customHeight="1">
      <c r="A64" s="153"/>
      <c r="B64" s="127"/>
      <c r="C64" s="127"/>
      <c r="D64" s="127"/>
      <c r="E64" s="127"/>
      <c r="F64" s="127"/>
      <c r="G64" s="127"/>
      <c r="H64" s="127"/>
      <c r="I64" s="127"/>
      <c r="J64" s="127"/>
      <c r="K64" s="151"/>
    </row>
    <row r="65" spans="1:11" ht="21.75">
      <c r="A65" s="153"/>
      <c r="B65" s="209" t="s">
        <v>117</v>
      </c>
      <c r="C65" s="127"/>
      <c r="D65" s="127"/>
      <c r="E65" s="127"/>
      <c r="F65" s="127"/>
      <c r="G65" s="127"/>
      <c r="H65" s="127"/>
      <c r="I65" s="127"/>
      <c r="J65" s="127"/>
      <c r="K65" s="151"/>
    </row>
    <row r="66" spans="1:11" ht="21.75">
      <c r="A66" s="153"/>
      <c r="B66" s="127" t="s">
        <v>118</v>
      </c>
      <c r="C66" s="127"/>
      <c r="D66" s="127"/>
      <c r="E66" s="134" t="s">
        <v>286</v>
      </c>
      <c r="F66" s="134" t="s">
        <v>385</v>
      </c>
      <c r="G66" s="127" t="s">
        <v>119</v>
      </c>
      <c r="H66" s="127"/>
      <c r="I66" s="134" t="s">
        <v>385</v>
      </c>
      <c r="J66" s="164">
        <f>J49-E62</f>
        <v>104411.65098569986</v>
      </c>
      <c r="K66" s="151" t="s">
        <v>42</v>
      </c>
    </row>
    <row r="67" spans="1:11" ht="21.75">
      <c r="A67" s="153"/>
      <c r="B67" s="127" t="s">
        <v>120</v>
      </c>
      <c r="C67" s="127"/>
      <c r="D67" s="127"/>
      <c r="E67" s="134" t="s">
        <v>287</v>
      </c>
      <c r="F67" s="134" t="s">
        <v>385</v>
      </c>
      <c r="G67" s="127" t="s">
        <v>121</v>
      </c>
      <c r="H67" s="127"/>
      <c r="I67" s="134" t="s">
        <v>385</v>
      </c>
      <c r="J67" s="164">
        <f>J49-J62</f>
        <v>87192.62311988472</v>
      </c>
      <c r="K67" s="151" t="s">
        <v>42</v>
      </c>
    </row>
    <row r="68" spans="1:11" ht="24.75">
      <c r="A68" s="153"/>
      <c r="B68" s="127" t="s">
        <v>122</v>
      </c>
      <c r="C68" s="127"/>
      <c r="D68" s="127"/>
      <c r="E68" s="134" t="s">
        <v>369</v>
      </c>
      <c r="F68" s="134" t="s">
        <v>385</v>
      </c>
      <c r="G68" s="127" t="s">
        <v>288</v>
      </c>
      <c r="H68" s="127"/>
      <c r="I68" s="134" t="s">
        <v>385</v>
      </c>
      <c r="J68" s="164">
        <f>J13*((0.207*J11)^2)/2</f>
        <v>2052.4739558399997</v>
      </c>
      <c r="K68" s="151" t="s">
        <v>76</v>
      </c>
    </row>
    <row r="69" spans="1:11" ht="21.75">
      <c r="A69" s="153"/>
      <c r="B69" s="127" t="s">
        <v>123</v>
      </c>
      <c r="C69" s="127"/>
      <c r="D69" s="127"/>
      <c r="E69" s="134" t="s">
        <v>289</v>
      </c>
      <c r="F69" s="134" t="s">
        <v>385</v>
      </c>
      <c r="G69" s="127" t="s">
        <v>124</v>
      </c>
      <c r="H69" s="127"/>
      <c r="I69" s="134" t="s">
        <v>385</v>
      </c>
      <c r="J69" s="164">
        <f>1.5*J68</f>
        <v>3078.7109337599995</v>
      </c>
      <c r="K69" s="151" t="s">
        <v>76</v>
      </c>
    </row>
    <row r="70" spans="1:11" ht="21.75">
      <c r="A70" s="153"/>
      <c r="B70" s="127" t="s">
        <v>125</v>
      </c>
      <c r="C70" s="127"/>
      <c r="D70" s="127"/>
      <c r="E70" s="134" t="s">
        <v>290</v>
      </c>
      <c r="F70" s="134"/>
      <c r="G70" s="127"/>
      <c r="H70" s="127"/>
      <c r="I70" s="134" t="s">
        <v>385</v>
      </c>
      <c r="J70" s="164">
        <f>J16</f>
        <v>12500</v>
      </c>
      <c r="K70" s="151" t="s">
        <v>76</v>
      </c>
    </row>
    <row r="71" spans="1:11" ht="21.75">
      <c r="A71" s="153"/>
      <c r="B71" s="127" t="s">
        <v>126</v>
      </c>
      <c r="C71" s="127"/>
      <c r="D71" s="127"/>
      <c r="E71" s="134" t="s">
        <v>291</v>
      </c>
      <c r="F71" s="134" t="s">
        <v>385</v>
      </c>
      <c r="G71" s="127" t="s">
        <v>292</v>
      </c>
      <c r="H71" s="127"/>
      <c r="I71" s="134" t="s">
        <v>385</v>
      </c>
      <c r="J71" s="164">
        <f>1.7*J70</f>
        <v>21250</v>
      </c>
      <c r="K71" s="151" t="s">
        <v>76</v>
      </c>
    </row>
    <row r="72" spans="1:11" ht="18.75" customHeight="1" thickBot="1">
      <c r="A72" s="157"/>
      <c r="B72" s="209" t="s">
        <v>127</v>
      </c>
      <c r="C72" s="127"/>
      <c r="D72" s="127"/>
      <c r="E72" s="127"/>
      <c r="F72" s="127"/>
      <c r="G72" s="127"/>
      <c r="H72" s="127"/>
      <c r="I72" s="158"/>
      <c r="J72" s="158"/>
      <c r="K72" s="159"/>
    </row>
    <row r="73" spans="1:11" ht="17.25" customHeight="1">
      <c r="A73" s="153"/>
      <c r="B73" s="496" t="s">
        <v>128</v>
      </c>
      <c r="C73" s="496"/>
      <c r="D73" s="497"/>
      <c r="E73" s="504" t="s">
        <v>129</v>
      </c>
      <c r="F73" s="488"/>
      <c r="G73" s="504" t="s">
        <v>130</v>
      </c>
      <c r="H73" s="488"/>
      <c r="I73" s="504" t="s">
        <v>131</v>
      </c>
      <c r="J73" s="488"/>
      <c r="K73" s="489"/>
    </row>
    <row r="74" spans="1:11" ht="17.25" customHeight="1" thickBot="1">
      <c r="A74" s="230"/>
      <c r="B74" s="498"/>
      <c r="C74" s="498"/>
      <c r="D74" s="499"/>
      <c r="E74" s="231" t="s">
        <v>267</v>
      </c>
      <c r="F74" s="232" t="s">
        <v>268</v>
      </c>
      <c r="G74" s="231" t="s">
        <v>267</v>
      </c>
      <c r="H74" s="232" t="s">
        <v>268</v>
      </c>
      <c r="I74" s="231" t="s">
        <v>267</v>
      </c>
      <c r="J74" s="231" t="s">
        <v>268</v>
      </c>
      <c r="K74" s="233"/>
    </row>
    <row r="75" spans="1:11" ht="18.75" customHeight="1">
      <c r="A75" s="153"/>
      <c r="B75" s="127"/>
      <c r="C75" s="145" t="s">
        <v>293</v>
      </c>
      <c r="D75" s="234"/>
      <c r="E75" s="235">
        <f>$J$66/$J$12</f>
        <v>84.74971670917196</v>
      </c>
      <c r="F75" s="235">
        <f>$J$66/$J$12</f>
        <v>84.74971670917196</v>
      </c>
      <c r="G75" s="235"/>
      <c r="H75" s="235"/>
      <c r="I75" s="235"/>
      <c r="J75" s="235"/>
      <c r="K75" s="152"/>
    </row>
    <row r="76" spans="1:11" ht="18.75" customHeight="1">
      <c r="A76" s="220"/>
      <c r="B76" s="221"/>
      <c r="C76" s="221" t="s">
        <v>294</v>
      </c>
      <c r="D76" s="143"/>
      <c r="E76" s="236">
        <f>-($J$66*$J$51/$J$15)</f>
        <v>-23.13521101906402</v>
      </c>
      <c r="F76" s="236">
        <f>($J$66*$J$51/$J$15)</f>
        <v>23.13521101906402</v>
      </c>
      <c r="G76" s="236"/>
      <c r="H76" s="236"/>
      <c r="I76" s="236"/>
      <c r="J76" s="236"/>
      <c r="K76" s="237"/>
    </row>
    <row r="77" spans="1:11" ht="18.75" customHeight="1">
      <c r="A77" s="153"/>
      <c r="B77" s="221"/>
      <c r="C77" s="221" t="s">
        <v>132</v>
      </c>
      <c r="D77" s="143"/>
      <c r="E77" s="236"/>
      <c r="F77" s="236"/>
      <c r="G77" s="236"/>
      <c r="H77" s="236"/>
      <c r="I77" s="236"/>
      <c r="J77" s="236"/>
      <c r="K77" s="237"/>
    </row>
    <row r="78" spans="1:11" ht="18.75" customHeight="1">
      <c r="A78" s="220"/>
      <c r="B78" s="221"/>
      <c r="C78" s="221" t="s">
        <v>295</v>
      </c>
      <c r="D78" s="143"/>
      <c r="E78" s="236"/>
      <c r="F78" s="236"/>
      <c r="G78" s="236">
        <f>$J$67/$J$12</f>
        <v>70.77323305185449</v>
      </c>
      <c r="H78" s="236">
        <f>$J$67/$J$12</f>
        <v>70.77323305185449</v>
      </c>
      <c r="I78" s="236">
        <f>$J$67/$J$12</f>
        <v>70.77323305185449</v>
      </c>
      <c r="J78" s="236">
        <f>$J$67/$J$12</f>
        <v>70.77323305185449</v>
      </c>
      <c r="K78" s="237"/>
    </row>
    <row r="79" spans="1:11" ht="18.75" customHeight="1">
      <c r="A79" s="153"/>
      <c r="B79" s="221"/>
      <c r="C79" s="221" t="s">
        <v>296</v>
      </c>
      <c r="D79" s="143"/>
      <c r="E79" s="236"/>
      <c r="F79" s="236"/>
      <c r="G79" s="236">
        <f>-($J$67*$J$51/$J$15)</f>
        <v>-19.319872027122052</v>
      </c>
      <c r="H79" s="236">
        <f>($J$67*$J$51/$J$15)</f>
        <v>19.319872027122052</v>
      </c>
      <c r="I79" s="236">
        <f>-($J$67*$J$51/$J$15)</f>
        <v>-19.319872027122052</v>
      </c>
      <c r="J79" s="236">
        <f>($J$67*$J$51/$J$15)</f>
        <v>19.319872027122052</v>
      </c>
      <c r="K79" s="237"/>
    </row>
    <row r="80" spans="1:11" ht="18.75" customHeight="1">
      <c r="A80" s="220"/>
      <c r="B80" s="221"/>
      <c r="C80" s="221" t="s">
        <v>297</v>
      </c>
      <c r="D80" s="143"/>
      <c r="E80" s="236"/>
      <c r="F80" s="236"/>
      <c r="G80" s="236">
        <f>($J$69*100/$J$15)</f>
        <v>29.844992460596348</v>
      </c>
      <c r="H80" s="236">
        <f>-($J$69*100/$J$15)</f>
        <v>-29.844992460596348</v>
      </c>
      <c r="I80" s="236"/>
      <c r="J80" s="236"/>
      <c r="K80" s="237"/>
    </row>
    <row r="81" spans="1:11" ht="18.75" customHeight="1">
      <c r="A81" s="153"/>
      <c r="B81" s="139"/>
      <c r="C81" s="139" t="s">
        <v>298</v>
      </c>
      <c r="D81" s="238"/>
      <c r="E81" s="235"/>
      <c r="F81" s="235"/>
      <c r="G81" s="235"/>
      <c r="H81" s="235"/>
      <c r="I81" s="235">
        <f>$J$70*100/$J$15</f>
        <v>121.17487279061854</v>
      </c>
      <c r="J81" s="235">
        <f>-($J$70*100/$J$15)</f>
        <v>-121.17487279061854</v>
      </c>
      <c r="K81" s="237"/>
    </row>
    <row r="82" spans="1:11" ht="21.75">
      <c r="A82" s="220"/>
      <c r="B82" s="221" t="s">
        <v>238</v>
      </c>
      <c r="C82" s="221"/>
      <c r="D82" s="143"/>
      <c r="E82" s="236">
        <f aca="true" t="shared" si="6" ref="E82:J82">SUM(E75:E81)</f>
        <v>61.61450569010795</v>
      </c>
      <c r="F82" s="236">
        <f t="shared" si="6"/>
        <v>107.88492772823598</v>
      </c>
      <c r="G82" s="236">
        <f t="shared" si="6"/>
        <v>81.29835348532879</v>
      </c>
      <c r="H82" s="236">
        <f t="shared" si="6"/>
        <v>60.248112618380205</v>
      </c>
      <c r="I82" s="236">
        <f t="shared" si="6"/>
        <v>172.62823381535097</v>
      </c>
      <c r="J82" s="236">
        <f t="shared" si="6"/>
        <v>-31.081767711641987</v>
      </c>
      <c r="K82" s="237"/>
    </row>
    <row r="83" spans="1:13" ht="21.75">
      <c r="A83" s="239"/>
      <c r="B83" s="240" t="s">
        <v>239</v>
      </c>
      <c r="C83" s="240"/>
      <c r="D83" s="241"/>
      <c r="E83" s="242" t="s">
        <v>299</v>
      </c>
      <c r="F83" s="242" t="s">
        <v>299</v>
      </c>
      <c r="G83" s="242" t="s">
        <v>300</v>
      </c>
      <c r="H83" s="242" t="s">
        <v>300</v>
      </c>
      <c r="I83" s="242" t="s">
        <v>300</v>
      </c>
      <c r="J83" s="243" t="s">
        <v>301</v>
      </c>
      <c r="K83" s="237"/>
      <c r="M83" s="252" t="s">
        <v>490</v>
      </c>
    </row>
    <row r="84" spans="1:13" ht="21.75">
      <c r="A84" s="244"/>
      <c r="B84" s="139"/>
      <c r="C84" s="139"/>
      <c r="D84" s="238"/>
      <c r="E84" s="245">
        <f>0.6*J23</f>
        <v>168</v>
      </c>
      <c r="F84" s="245">
        <f>0.6*J23</f>
        <v>168</v>
      </c>
      <c r="G84" s="245">
        <f>0.45*J22</f>
        <v>180</v>
      </c>
      <c r="H84" s="245">
        <f>0.45*J22</f>
        <v>180</v>
      </c>
      <c r="I84" s="245">
        <f>0.45*J22</f>
        <v>180</v>
      </c>
      <c r="J84" s="246">
        <f>-1.59*SQRT(J22)</f>
        <v>-31.8</v>
      </c>
      <c r="K84" s="237"/>
      <c r="M84" s="256" t="s">
        <v>133</v>
      </c>
    </row>
    <row r="85" spans="1:11" ht="18.75" customHeight="1" thickBot="1">
      <c r="A85" s="157"/>
      <c r="B85" s="247" t="s">
        <v>240</v>
      </c>
      <c r="C85" s="225"/>
      <c r="D85" s="226"/>
      <c r="E85" s="232" t="str">
        <f>IF(E82&lt;(E84),$M$83,IF(E82&gt;(E84),$M$84))</f>
        <v>OK.</v>
      </c>
      <c r="F85" s="232" t="str">
        <f>IF(F82&lt;(F84),$M$83,IF(F82&gt;(F84),$M$84))</f>
        <v>OK.</v>
      </c>
      <c r="G85" s="232" t="str">
        <f>IF(G82&lt;(G84),$M$83,IF(G82&gt;(G84),$M$84))</f>
        <v>OK.</v>
      </c>
      <c r="H85" s="232" t="str">
        <f>IF(H82&lt;(H84),$M$83,IF(H82&gt;(H84),$M$84))</f>
        <v>OK.</v>
      </c>
      <c r="I85" s="232" t="str">
        <f>IF(I82&lt;(I84),$M$83,IF(I82&gt;(I84),$M$84))</f>
        <v>OK.</v>
      </c>
      <c r="J85" s="232" t="str">
        <f>IF(J82&gt;(J84),$M$83,IF(J82&lt;(J84),$M$84))</f>
        <v>OK.</v>
      </c>
      <c r="K85" s="233"/>
    </row>
    <row r="86" spans="1:11" ht="15.75" customHeight="1" thickBot="1">
      <c r="A86" s="157"/>
      <c r="B86" s="477" t="str">
        <f>+F6</f>
        <v>I. 0.40x0.40 (1232) x 18.00 m.</v>
      </c>
      <c r="C86" s="477"/>
      <c r="D86" s="351" t="str">
        <f>+I6</f>
        <v>(KING PILE)</v>
      </c>
      <c r="E86" s="307" t="s">
        <v>428</v>
      </c>
      <c r="F86" s="158"/>
      <c r="G86" s="248" t="s">
        <v>134</v>
      </c>
      <c r="H86" s="158"/>
      <c r="I86" s="158"/>
      <c r="J86" s="158"/>
      <c r="K86" s="159"/>
    </row>
    <row r="87" spans="1:11" ht="23.25">
      <c r="A87" s="249" t="s">
        <v>135</v>
      </c>
      <c r="B87" s="250"/>
      <c r="C87" s="145"/>
      <c r="D87" s="145"/>
      <c r="E87" s="145"/>
      <c r="F87" s="145"/>
      <c r="G87" s="145"/>
      <c r="H87" s="145"/>
      <c r="I87" s="145"/>
      <c r="J87" s="145"/>
      <c r="K87" s="152"/>
    </row>
    <row r="88" spans="1:11" ht="24.75">
      <c r="A88" s="153"/>
      <c r="B88" s="134" t="s">
        <v>302</v>
      </c>
      <c r="C88" s="163" t="s">
        <v>136</v>
      </c>
      <c r="D88" s="127"/>
      <c r="E88" s="127"/>
      <c r="F88" s="127"/>
      <c r="G88" s="127"/>
      <c r="H88" s="127"/>
      <c r="I88" s="127"/>
      <c r="J88" s="127"/>
      <c r="K88" s="151" t="s">
        <v>303</v>
      </c>
    </row>
    <row r="89" spans="1:11" ht="21.75">
      <c r="A89" s="153"/>
      <c r="B89" s="134" t="s">
        <v>304</v>
      </c>
      <c r="C89" s="163" t="s">
        <v>137</v>
      </c>
      <c r="D89" s="127"/>
      <c r="E89" s="127"/>
      <c r="F89" s="127"/>
      <c r="G89" s="127"/>
      <c r="H89" s="127"/>
      <c r="I89" s="127"/>
      <c r="J89" s="127"/>
      <c r="K89" s="151" t="s">
        <v>305</v>
      </c>
    </row>
    <row r="90" spans="1:11" ht="21.75">
      <c r="A90" s="153"/>
      <c r="B90" s="134" t="s">
        <v>306</v>
      </c>
      <c r="C90" s="163" t="s">
        <v>138</v>
      </c>
      <c r="D90" s="127"/>
      <c r="E90" s="127"/>
      <c r="F90" s="127"/>
      <c r="G90" s="127"/>
      <c r="H90" s="127"/>
      <c r="I90" s="127"/>
      <c r="J90" s="127"/>
      <c r="K90" s="151" t="s">
        <v>305</v>
      </c>
    </row>
    <row r="91" spans="1:11" ht="21.75">
      <c r="A91" s="153"/>
      <c r="B91" s="134" t="s">
        <v>139</v>
      </c>
      <c r="C91" s="163" t="s">
        <v>140</v>
      </c>
      <c r="D91" s="127"/>
      <c r="E91" s="127"/>
      <c r="F91" s="127"/>
      <c r="G91" s="127"/>
      <c r="H91" s="127"/>
      <c r="I91" s="127"/>
      <c r="J91" s="127"/>
      <c r="K91" s="151" t="s">
        <v>305</v>
      </c>
    </row>
    <row r="92" spans="1:11" ht="21.75">
      <c r="A92" s="153"/>
      <c r="B92" s="134" t="s">
        <v>453</v>
      </c>
      <c r="C92" s="163" t="s">
        <v>141</v>
      </c>
      <c r="D92" s="127"/>
      <c r="E92" s="127"/>
      <c r="F92" s="127"/>
      <c r="G92" s="127"/>
      <c r="H92" s="127"/>
      <c r="I92" s="127"/>
      <c r="J92" s="127"/>
      <c r="K92" s="151" t="s">
        <v>142</v>
      </c>
    </row>
    <row r="93" spans="1:11" ht="21.75">
      <c r="A93" s="153"/>
      <c r="B93" s="134" t="s">
        <v>307</v>
      </c>
      <c r="C93" s="163" t="s">
        <v>429</v>
      </c>
      <c r="D93" s="127"/>
      <c r="E93" s="127"/>
      <c r="F93" s="127"/>
      <c r="G93" s="127"/>
      <c r="H93" s="127"/>
      <c r="I93" s="127"/>
      <c r="J93" s="127"/>
      <c r="K93" s="151" t="s">
        <v>142</v>
      </c>
    </row>
    <row r="94" spans="1:11" ht="21.75">
      <c r="A94" s="153"/>
      <c r="B94" s="134" t="s">
        <v>308</v>
      </c>
      <c r="C94" s="163" t="s">
        <v>143</v>
      </c>
      <c r="D94" s="127"/>
      <c r="E94" s="127"/>
      <c r="F94" s="127"/>
      <c r="G94" s="127"/>
      <c r="H94" s="127"/>
      <c r="I94" s="127"/>
      <c r="J94" s="127"/>
      <c r="K94" s="151" t="s">
        <v>142</v>
      </c>
    </row>
    <row r="95" spans="1:11" ht="21.75">
      <c r="A95" s="153"/>
      <c r="B95" s="134" t="s">
        <v>309</v>
      </c>
      <c r="C95" s="163" t="s">
        <v>144</v>
      </c>
      <c r="D95" s="127"/>
      <c r="E95" s="127"/>
      <c r="F95" s="127"/>
      <c r="G95" s="127"/>
      <c r="H95" s="127"/>
      <c r="I95" s="127"/>
      <c r="J95" s="127"/>
      <c r="K95" s="151" t="s">
        <v>142</v>
      </c>
    </row>
    <row r="96" spans="1:11" ht="21.75">
      <c r="A96" s="153"/>
      <c r="B96" s="134" t="s">
        <v>310</v>
      </c>
      <c r="C96" s="163" t="s">
        <v>145</v>
      </c>
      <c r="D96" s="127"/>
      <c r="E96" s="127"/>
      <c r="F96" s="127"/>
      <c r="G96" s="127"/>
      <c r="H96" s="127"/>
      <c r="I96" s="127"/>
      <c r="J96" s="127"/>
      <c r="K96" s="151" t="s">
        <v>146</v>
      </c>
    </row>
    <row r="97" spans="1:11" ht="21.75">
      <c r="A97" s="153"/>
      <c r="B97" s="134" t="s">
        <v>311</v>
      </c>
      <c r="C97" s="163" t="s">
        <v>147</v>
      </c>
      <c r="D97" s="127"/>
      <c r="E97" s="127"/>
      <c r="F97" s="127"/>
      <c r="G97" s="127"/>
      <c r="H97" s="127"/>
      <c r="I97" s="127"/>
      <c r="J97" s="127"/>
      <c r="K97" s="151" t="s">
        <v>146</v>
      </c>
    </row>
    <row r="98" spans="1:11" ht="21.75">
      <c r="A98" s="153"/>
      <c r="B98" s="134" t="s">
        <v>312</v>
      </c>
      <c r="C98" s="163" t="s">
        <v>148</v>
      </c>
      <c r="D98" s="127"/>
      <c r="E98" s="127"/>
      <c r="F98" s="127"/>
      <c r="G98" s="127"/>
      <c r="H98" s="127"/>
      <c r="I98" s="127"/>
      <c r="J98" s="127"/>
      <c r="K98" s="151" t="s">
        <v>146</v>
      </c>
    </row>
    <row r="99" spans="1:11" ht="21.75">
      <c r="A99" s="153"/>
      <c r="B99" s="134" t="s">
        <v>313</v>
      </c>
      <c r="C99" s="163" t="s">
        <v>149</v>
      </c>
      <c r="D99" s="127"/>
      <c r="E99" s="127"/>
      <c r="F99" s="127"/>
      <c r="G99" s="127"/>
      <c r="H99" s="127"/>
      <c r="I99" s="127"/>
      <c r="J99" s="127"/>
      <c r="K99" s="151" t="s">
        <v>146</v>
      </c>
    </row>
    <row r="100" spans="1:11" ht="21.75">
      <c r="A100" s="153"/>
      <c r="B100" s="134" t="s">
        <v>314</v>
      </c>
      <c r="C100" s="163" t="s">
        <v>150</v>
      </c>
      <c r="D100" s="127"/>
      <c r="E100" s="127"/>
      <c r="F100" s="127"/>
      <c r="G100" s="127"/>
      <c r="H100" s="127"/>
      <c r="I100" s="127"/>
      <c r="J100" s="127"/>
      <c r="K100" s="151" t="s">
        <v>146</v>
      </c>
    </row>
    <row r="101" spans="1:11" ht="21.75">
      <c r="A101" s="153"/>
      <c r="B101" s="127"/>
      <c r="C101" s="134" t="s">
        <v>313</v>
      </c>
      <c r="D101" s="127"/>
      <c r="E101" s="127"/>
      <c r="F101" s="127"/>
      <c r="G101" s="127"/>
      <c r="H101" s="134"/>
      <c r="I101" s="134" t="s">
        <v>385</v>
      </c>
      <c r="J101" s="166">
        <f>J19</f>
        <v>6600</v>
      </c>
      <c r="K101" s="151" t="s">
        <v>42</v>
      </c>
    </row>
    <row r="102" spans="1:11" ht="21.75">
      <c r="A102" s="153"/>
      <c r="B102" s="127"/>
      <c r="C102" s="134" t="s">
        <v>314</v>
      </c>
      <c r="D102" s="134" t="s">
        <v>385</v>
      </c>
      <c r="E102" s="134" t="s">
        <v>315</v>
      </c>
      <c r="F102" s="127"/>
      <c r="G102" s="127"/>
      <c r="H102" s="127"/>
      <c r="I102" s="134" t="s">
        <v>385</v>
      </c>
      <c r="J102" s="166">
        <f>1.7*J101</f>
        <v>11220</v>
      </c>
      <c r="K102" s="151" t="s">
        <v>42</v>
      </c>
    </row>
    <row r="103" spans="1:16" ht="21.75">
      <c r="A103" s="153"/>
      <c r="B103" s="127"/>
      <c r="C103" s="134" t="s">
        <v>306</v>
      </c>
      <c r="D103" s="134" t="s">
        <v>385</v>
      </c>
      <c r="E103" s="127" t="s">
        <v>316</v>
      </c>
      <c r="F103" s="127"/>
      <c r="G103" s="127"/>
      <c r="H103" s="127"/>
      <c r="I103" s="134" t="s">
        <v>385</v>
      </c>
      <c r="J103" s="133">
        <f>G45</f>
        <v>36</v>
      </c>
      <c r="K103" s="151" t="s">
        <v>14</v>
      </c>
      <c r="N103" s="251" t="s">
        <v>241</v>
      </c>
      <c r="O103" s="252" t="s">
        <v>489</v>
      </c>
      <c r="P103" s="252"/>
    </row>
    <row r="104" spans="1:16" ht="24.75">
      <c r="A104" s="153"/>
      <c r="B104" s="127"/>
      <c r="C104" s="134" t="s">
        <v>304</v>
      </c>
      <c r="D104" s="134"/>
      <c r="E104" s="127"/>
      <c r="F104" s="127"/>
      <c r="G104" s="127"/>
      <c r="H104" s="127"/>
      <c r="I104" s="134" t="s">
        <v>385</v>
      </c>
      <c r="J104" s="308">
        <f>M10</f>
        <v>16</v>
      </c>
      <c r="K104" s="151" t="s">
        <v>14</v>
      </c>
      <c r="N104" s="253" t="s">
        <v>242</v>
      </c>
      <c r="O104" s="254" t="s">
        <v>269</v>
      </c>
      <c r="P104" s="254" t="s">
        <v>302</v>
      </c>
    </row>
    <row r="105" spans="1:16" ht="24.75">
      <c r="A105" s="153"/>
      <c r="C105" s="127" t="s">
        <v>243</v>
      </c>
      <c r="D105" s="127"/>
      <c r="E105" s="345">
        <v>4.5</v>
      </c>
      <c r="F105" s="127" t="s">
        <v>28</v>
      </c>
      <c r="G105" s="127"/>
      <c r="H105" s="134"/>
      <c r="I105" s="135" t="s">
        <v>454</v>
      </c>
      <c r="J105" s="133">
        <f>+IF(E105=3,(O105),IF(E105=4,(O106),IF(E105=4.5,(O107)*2,IF(E105=6,(O108),IF(E105=9,(O109),IF(E105=12,O110))))))</f>
        <v>0.636174</v>
      </c>
      <c r="K105" s="151" t="s">
        <v>193</v>
      </c>
      <c r="N105" s="254">
        <v>3</v>
      </c>
      <c r="O105" s="255">
        <f aca="true" t="shared" si="7" ref="O105:O110">+P105*2</f>
        <v>0.141372</v>
      </c>
      <c r="P105" s="256">
        <f aca="true" t="shared" si="8" ref="P105:P110">(0.7854*(N105*N105))/100</f>
        <v>0.070686</v>
      </c>
    </row>
    <row r="106" spans="1:16" ht="21.75">
      <c r="A106" s="153"/>
      <c r="B106" s="127"/>
      <c r="C106" s="134" t="s">
        <v>309</v>
      </c>
      <c r="D106" s="134" t="s">
        <v>385</v>
      </c>
      <c r="E106" s="335">
        <v>5500</v>
      </c>
      <c r="F106" s="257" t="s">
        <v>152</v>
      </c>
      <c r="G106" s="134">
        <v>4200</v>
      </c>
      <c r="H106" s="163" t="s">
        <v>317</v>
      </c>
      <c r="I106" s="134" t="s">
        <v>385</v>
      </c>
      <c r="J106" s="164">
        <f>IF(E106&lt;4200,E106,IF(E106&gt;4200,G106))</f>
        <v>4200</v>
      </c>
      <c r="K106" s="151" t="s">
        <v>99</v>
      </c>
      <c r="N106" s="258">
        <v>4</v>
      </c>
      <c r="O106" s="259">
        <f t="shared" si="7"/>
        <v>0.251328</v>
      </c>
      <c r="P106" s="260">
        <f t="shared" si="8"/>
        <v>0.125664</v>
      </c>
    </row>
    <row r="107" spans="1:16" ht="21.75">
      <c r="A107" s="153"/>
      <c r="B107" s="127"/>
      <c r="C107" s="134" t="s">
        <v>310</v>
      </c>
      <c r="D107" s="134" t="s">
        <v>385</v>
      </c>
      <c r="E107" s="127" t="s">
        <v>318</v>
      </c>
      <c r="F107" s="127"/>
      <c r="G107" s="127"/>
      <c r="H107" s="127"/>
      <c r="I107" s="134" t="s">
        <v>385</v>
      </c>
      <c r="J107" s="164">
        <f>(0.16*SQRT(J22)+49*(J102*J103/(J71*100)))*J104*J103</f>
        <v>7208.017919999999</v>
      </c>
      <c r="K107" s="151" t="s">
        <v>42</v>
      </c>
      <c r="N107" s="258">
        <v>4.5</v>
      </c>
      <c r="O107" s="259">
        <f t="shared" si="7"/>
        <v>0.318087</v>
      </c>
      <c r="P107" s="260">
        <f t="shared" si="8"/>
        <v>0.1590435</v>
      </c>
    </row>
    <row r="108" spans="1:16" ht="21.75">
      <c r="A108" s="153"/>
      <c r="B108" s="127"/>
      <c r="C108" s="134" t="s">
        <v>319</v>
      </c>
      <c r="D108" s="134" t="s">
        <v>385</v>
      </c>
      <c r="E108" s="127" t="s">
        <v>320</v>
      </c>
      <c r="F108" s="127"/>
      <c r="G108" s="127"/>
      <c r="H108" s="127"/>
      <c r="I108" s="134" t="s">
        <v>385</v>
      </c>
      <c r="J108" s="166">
        <f>0.53*SQRT(J22)*J104*J103</f>
        <v>6105.6</v>
      </c>
      <c r="K108" s="151" t="s">
        <v>42</v>
      </c>
      <c r="N108" s="258">
        <v>6</v>
      </c>
      <c r="O108" s="259">
        <f t="shared" si="7"/>
        <v>0.565488</v>
      </c>
      <c r="P108" s="260">
        <f t="shared" si="8"/>
        <v>0.282744</v>
      </c>
    </row>
    <row r="109" spans="1:16" ht="21.75">
      <c r="A109" s="153"/>
      <c r="B109" s="127"/>
      <c r="C109" s="134" t="s">
        <v>321</v>
      </c>
      <c r="D109" s="134" t="s">
        <v>385</v>
      </c>
      <c r="E109" s="127" t="s">
        <v>322</v>
      </c>
      <c r="F109" s="127"/>
      <c r="G109" s="127"/>
      <c r="H109" s="127"/>
      <c r="I109" s="134" t="s">
        <v>385</v>
      </c>
      <c r="J109" s="166">
        <f>1.33*SQRT(J22)*J104*J103</f>
        <v>15321.6</v>
      </c>
      <c r="K109" s="151" t="s">
        <v>42</v>
      </c>
      <c r="N109" s="258">
        <v>9</v>
      </c>
      <c r="O109" s="259">
        <f t="shared" si="7"/>
        <v>1.272348</v>
      </c>
      <c r="P109" s="260">
        <f t="shared" si="8"/>
        <v>0.636174</v>
      </c>
    </row>
    <row r="110" spans="1:16" ht="21.75">
      <c r="A110" s="261" t="s">
        <v>41</v>
      </c>
      <c r="B110" s="262"/>
      <c r="C110" s="127"/>
      <c r="D110" s="127"/>
      <c r="E110" s="127"/>
      <c r="F110" s="263" t="s">
        <v>153</v>
      </c>
      <c r="G110" s="264" t="s">
        <v>323</v>
      </c>
      <c r="H110" s="264" t="s">
        <v>385</v>
      </c>
      <c r="I110" s="265">
        <f>IF(J107&gt;J109,J109,IF(J107&lt;J108,J108,J107))</f>
        <v>7208.017919999999</v>
      </c>
      <c r="J110" s="263" t="s">
        <v>42</v>
      </c>
      <c r="K110" s="266" t="str">
        <f>IF(I110&lt;J108,M84,IF(I110&gt;J109,M84,IF(I110&gt;J108,M83,IF(I110&lt;J109,M83))))</f>
        <v>OK.</v>
      </c>
      <c r="N110" s="258">
        <v>12</v>
      </c>
      <c r="O110" s="259">
        <f t="shared" si="7"/>
        <v>2.261952</v>
      </c>
      <c r="P110" s="260">
        <f t="shared" si="8"/>
        <v>1.130976</v>
      </c>
    </row>
    <row r="111" spans="1:11" ht="21.75">
      <c r="A111" s="261" t="s">
        <v>488</v>
      </c>
      <c r="B111" s="262"/>
      <c r="C111" s="134" t="s">
        <v>324</v>
      </c>
      <c r="D111" s="134" t="s">
        <v>385</v>
      </c>
      <c r="E111" s="480">
        <f>0.85*I110</f>
        <v>6126.815231999999</v>
      </c>
      <c r="F111" s="481"/>
      <c r="G111" s="127" t="s">
        <v>42</v>
      </c>
      <c r="H111" s="134" t="str">
        <f>IF(E111&gt;J102,A110,IF(E111&lt;J102,A111))</f>
        <v>&lt;</v>
      </c>
      <c r="I111" s="134" t="s">
        <v>314</v>
      </c>
      <c r="J111" s="127"/>
      <c r="K111" s="151" t="str">
        <f>IF(E111&gt;J102,M83,IF(E111&lt;J102,K112))</f>
        <v>Try for Vs</v>
      </c>
    </row>
    <row r="112" spans="1:11" ht="21.75">
      <c r="A112" s="153"/>
      <c r="B112" s="127"/>
      <c r="C112" s="127" t="s">
        <v>154</v>
      </c>
      <c r="D112" s="127"/>
      <c r="E112" s="127"/>
      <c r="F112" s="127"/>
      <c r="G112" s="127"/>
      <c r="H112" s="127"/>
      <c r="I112" s="127"/>
      <c r="J112" s="267">
        <f>J105*J106*G45/((J102/0.85)-I110)</f>
        <v>16.05303679412873</v>
      </c>
      <c r="K112" s="268" t="s">
        <v>325</v>
      </c>
    </row>
    <row r="113" spans="1:11" ht="21.75">
      <c r="A113" s="153"/>
      <c r="B113" s="127"/>
      <c r="C113" s="127" t="s">
        <v>155</v>
      </c>
      <c r="D113" s="134" t="s">
        <v>385</v>
      </c>
      <c r="E113" s="127" t="s">
        <v>326</v>
      </c>
      <c r="F113" s="127"/>
      <c r="G113" s="127" t="s">
        <v>327</v>
      </c>
      <c r="H113" s="127"/>
      <c r="I113" s="127"/>
      <c r="J113" s="301">
        <f>IF(J112&lt;0,0,IF(J112&gt;0,J112))</f>
        <v>16.05303679412873</v>
      </c>
      <c r="K113" s="151" t="s">
        <v>14</v>
      </c>
    </row>
    <row r="114" spans="1:11" ht="21.75">
      <c r="A114" s="153"/>
      <c r="B114" s="127"/>
      <c r="C114" s="127" t="s">
        <v>328</v>
      </c>
      <c r="D114" s="127"/>
      <c r="E114" s="127" t="s">
        <v>329</v>
      </c>
      <c r="F114" s="127"/>
      <c r="G114" s="127"/>
      <c r="H114" s="127"/>
      <c r="I114" s="264" t="s">
        <v>385</v>
      </c>
      <c r="J114" s="133">
        <f>80*J105*J106*J103/(J47*G43*SQRT(J103/J104))</f>
        <v>61.5888774490972</v>
      </c>
      <c r="K114" s="151" t="s">
        <v>14</v>
      </c>
    </row>
    <row r="115" spans="1:11" ht="21.75">
      <c r="A115" s="153"/>
      <c r="B115" s="127"/>
      <c r="C115" s="127" t="s">
        <v>330</v>
      </c>
      <c r="D115" s="127"/>
      <c r="E115" s="127" t="s">
        <v>331</v>
      </c>
      <c r="F115" s="127"/>
      <c r="G115" s="127"/>
      <c r="H115" s="127"/>
      <c r="I115" s="264" t="s">
        <v>385</v>
      </c>
      <c r="J115" s="133">
        <f>J105*J106/(3.52*J104)</f>
        <v>47.441953125000005</v>
      </c>
      <c r="K115" s="151" t="s">
        <v>14</v>
      </c>
    </row>
    <row r="116" spans="1:11" ht="21.75">
      <c r="A116" s="153"/>
      <c r="B116" s="127"/>
      <c r="C116" s="127" t="s">
        <v>156</v>
      </c>
      <c r="D116" s="127"/>
      <c r="E116" s="127"/>
      <c r="F116" s="127"/>
      <c r="G116" s="127"/>
      <c r="H116" s="127"/>
      <c r="I116" s="264" t="s">
        <v>385</v>
      </c>
      <c r="J116" s="164">
        <f>0.75*H10</f>
        <v>30</v>
      </c>
      <c r="K116" s="151" t="s">
        <v>14</v>
      </c>
    </row>
    <row r="117" spans="1:11" ht="21.75">
      <c r="A117" s="153"/>
      <c r="B117" s="127"/>
      <c r="C117" s="127"/>
      <c r="D117" s="127"/>
      <c r="E117" s="127"/>
      <c r="F117" s="127"/>
      <c r="G117" s="127" t="s">
        <v>157</v>
      </c>
      <c r="H117" s="127"/>
      <c r="I117" s="264" t="s">
        <v>385</v>
      </c>
      <c r="J117" s="346">
        <v>16</v>
      </c>
      <c r="K117" s="151" t="s">
        <v>14</v>
      </c>
    </row>
    <row r="118" spans="1:11" ht="21.75">
      <c r="A118" s="153"/>
      <c r="B118" s="127"/>
      <c r="C118" s="127" t="s">
        <v>270</v>
      </c>
      <c r="D118" s="127"/>
      <c r="E118" s="166">
        <f>J105*J106*G45/J117</f>
        <v>6011.844300000001</v>
      </c>
      <c r="F118" s="127" t="s">
        <v>332</v>
      </c>
      <c r="G118" s="127"/>
      <c r="H118" s="127"/>
      <c r="I118" s="166">
        <f>1.06*SQRT(J22)*J104*G45</f>
        <v>12211.2</v>
      </c>
      <c r="J118" s="127" t="s">
        <v>42</v>
      </c>
      <c r="K118" s="266" t="str">
        <f>IF(E118&lt;I118,M83,IF(E118&gt;I118,M84))</f>
        <v>OK.</v>
      </c>
    </row>
    <row r="119" spans="1:11" ht="21.75">
      <c r="A119" s="153"/>
      <c r="B119" s="127"/>
      <c r="C119" s="127"/>
      <c r="D119" s="127"/>
      <c r="E119" s="127"/>
      <c r="F119" s="127" t="s">
        <v>333</v>
      </c>
      <c r="G119" s="127"/>
      <c r="H119" s="127"/>
      <c r="I119" s="166">
        <f>2.12*SQRT(J22)*J104*G45</f>
        <v>24422.4</v>
      </c>
      <c r="J119" s="127" t="s">
        <v>42</v>
      </c>
      <c r="K119" s="266" t="str">
        <f>IF(E118&lt;I119,M83,IF(E118&gt;I119,M84))</f>
        <v>OK.</v>
      </c>
    </row>
    <row r="120" spans="1:11" ht="21.75">
      <c r="A120" s="153"/>
      <c r="B120" s="127"/>
      <c r="C120" s="134" t="s">
        <v>311</v>
      </c>
      <c r="D120" s="134" t="s">
        <v>385</v>
      </c>
      <c r="E120" s="134" t="s">
        <v>334</v>
      </c>
      <c r="F120" s="127"/>
      <c r="G120" s="127"/>
      <c r="H120" s="264" t="s">
        <v>385</v>
      </c>
      <c r="I120" s="166">
        <f>E118+I110</f>
        <v>13219.862219999999</v>
      </c>
      <c r="J120" s="127" t="s">
        <v>42</v>
      </c>
      <c r="K120" s="266"/>
    </row>
    <row r="121" spans="1:11" ht="21.75">
      <c r="A121" s="153"/>
      <c r="B121" s="127"/>
      <c r="C121" s="134" t="s">
        <v>335</v>
      </c>
      <c r="D121" s="134" t="s">
        <v>385</v>
      </c>
      <c r="E121" s="480">
        <f>0.85*I120</f>
        <v>11236.882887</v>
      </c>
      <c r="F121" s="480"/>
      <c r="G121" s="127" t="s">
        <v>42</v>
      </c>
      <c r="H121" s="134" t="str">
        <f>IF(E121&gt;J102,A110,IF(E121&lt;J102,A111))</f>
        <v>&gt;</v>
      </c>
      <c r="I121" s="134" t="s">
        <v>314</v>
      </c>
      <c r="J121" s="127"/>
      <c r="K121" s="266" t="str">
        <f>IF(E121&gt;J102,M83,IF(E121&lt;J102,M84))</f>
        <v>OK.</v>
      </c>
    </row>
    <row r="122" spans="1:11" ht="21.75">
      <c r="A122" s="153"/>
      <c r="B122" s="127"/>
      <c r="C122" s="134"/>
      <c r="D122" s="134"/>
      <c r="E122" s="138"/>
      <c r="F122" s="138"/>
      <c r="G122" s="127"/>
      <c r="H122" s="134"/>
      <c r="I122" s="134"/>
      <c r="J122" s="127"/>
      <c r="K122" s="266"/>
    </row>
    <row r="123" spans="1:11" ht="21.75">
      <c r="A123" s="153"/>
      <c r="B123" s="127"/>
      <c r="C123" s="134"/>
      <c r="D123" s="134"/>
      <c r="E123" s="138"/>
      <c r="F123" s="138"/>
      <c r="G123" s="127"/>
      <c r="H123" s="134"/>
      <c r="I123" s="134"/>
      <c r="J123" s="127"/>
      <c r="K123" s="266"/>
    </row>
    <row r="124" spans="1:11" ht="21.75">
      <c r="A124" s="153"/>
      <c r="B124" s="127"/>
      <c r="C124" s="134"/>
      <c r="D124" s="134"/>
      <c r="E124" s="138"/>
      <c r="F124" s="138"/>
      <c r="G124" s="127"/>
      <c r="H124" s="134"/>
      <c r="I124" s="134"/>
      <c r="J124" s="127"/>
      <c r="K124" s="266"/>
    </row>
    <row r="125" spans="1:11" ht="21.75">
      <c r="A125" s="153"/>
      <c r="B125" s="127"/>
      <c r="C125" s="134"/>
      <c r="D125" s="134"/>
      <c r="E125" s="138"/>
      <c r="F125" s="138"/>
      <c r="G125" s="127"/>
      <c r="H125" s="134"/>
      <c r="I125" s="134"/>
      <c r="J125" s="127"/>
      <c r="K125" s="266"/>
    </row>
    <row r="126" spans="1:11" ht="21.75">
      <c r="A126" s="153"/>
      <c r="B126" s="127"/>
      <c r="C126" s="134"/>
      <c r="D126" s="134"/>
      <c r="E126" s="138"/>
      <c r="F126" s="138"/>
      <c r="G126" s="127"/>
      <c r="H126" s="134"/>
      <c r="I126" s="134"/>
      <c r="J126" s="127"/>
      <c r="K126" s="266"/>
    </row>
    <row r="127" spans="1:11" ht="22.5" thickBot="1">
      <c r="A127" s="157"/>
      <c r="B127" s="479" t="str">
        <f>+B86</f>
        <v>I. 0.40x0.40 (1232) x 18.00 m.</v>
      </c>
      <c r="C127" s="479"/>
      <c r="D127" s="351" t="str">
        <f>+I6</f>
        <v>(KING PILE)</v>
      </c>
      <c r="E127" s="307" t="s">
        <v>430</v>
      </c>
      <c r="F127" s="158"/>
      <c r="G127" s="158"/>
      <c r="H127" s="158"/>
      <c r="I127" s="158"/>
      <c r="J127" s="158"/>
      <c r="K127" s="159"/>
    </row>
    <row r="128" spans="1:11" ht="23.25">
      <c r="A128" s="249" t="s">
        <v>158</v>
      </c>
      <c r="B128" s="250"/>
      <c r="C128" s="145"/>
      <c r="D128" s="145"/>
      <c r="E128" s="145"/>
      <c r="F128" s="145"/>
      <c r="G128" s="145"/>
      <c r="H128" s="145"/>
      <c r="I128" s="145"/>
      <c r="J128" s="145"/>
      <c r="K128" s="152"/>
    </row>
    <row r="129" spans="1:11" ht="21.75">
      <c r="A129" s="153"/>
      <c r="B129" s="269" t="s">
        <v>411</v>
      </c>
      <c r="C129" s="127" t="s">
        <v>244</v>
      </c>
      <c r="D129" s="127"/>
      <c r="E129" s="127"/>
      <c r="F129" s="127"/>
      <c r="G129" s="127"/>
      <c r="H129" s="127"/>
      <c r="I129" s="127"/>
      <c r="J129" s="127"/>
      <c r="K129" s="151"/>
    </row>
    <row r="130" spans="1:11" ht="21.75">
      <c r="A130" s="153"/>
      <c r="B130" s="269" t="s">
        <v>170</v>
      </c>
      <c r="C130" s="127" t="s">
        <v>245</v>
      </c>
      <c r="D130" s="127"/>
      <c r="E130" s="127"/>
      <c r="F130" s="127"/>
      <c r="G130" s="127"/>
      <c r="H130" s="127"/>
      <c r="I130" s="127"/>
      <c r="J130" s="127"/>
      <c r="K130" s="151"/>
    </row>
    <row r="131" spans="1:11" ht="24.75">
      <c r="A131" s="153"/>
      <c r="B131" s="134" t="s">
        <v>207</v>
      </c>
      <c r="C131" s="127" t="s">
        <v>159</v>
      </c>
      <c r="D131" s="127"/>
      <c r="E131" s="127"/>
      <c r="F131" s="127"/>
      <c r="G131" s="127"/>
      <c r="H131" s="127"/>
      <c r="I131" s="127"/>
      <c r="J131" s="127"/>
      <c r="K131" s="151" t="s">
        <v>303</v>
      </c>
    </row>
    <row r="132" spans="1:11" ht="24.75">
      <c r="A132" s="153"/>
      <c r="B132" s="134" t="s">
        <v>336</v>
      </c>
      <c r="C132" s="127" t="s">
        <v>160</v>
      </c>
      <c r="D132" s="127"/>
      <c r="E132" s="127"/>
      <c r="F132" s="127"/>
      <c r="G132" s="127"/>
      <c r="H132" s="127"/>
      <c r="I132" s="127"/>
      <c r="J132" s="127"/>
      <c r="K132" s="151" t="s">
        <v>303</v>
      </c>
    </row>
    <row r="133" spans="1:11" ht="24.75">
      <c r="A133" s="153"/>
      <c r="B133" s="134" t="s">
        <v>455</v>
      </c>
      <c r="C133" s="127" t="s">
        <v>161</v>
      </c>
      <c r="D133" s="127"/>
      <c r="E133" s="127"/>
      <c r="F133" s="127"/>
      <c r="G133" s="127"/>
      <c r="H133" s="127"/>
      <c r="I133" s="127"/>
      <c r="J133" s="127"/>
      <c r="K133" s="151" t="s">
        <v>303</v>
      </c>
    </row>
    <row r="134" spans="1:11" ht="21.75">
      <c r="A134" s="153"/>
      <c r="B134" s="134" t="s">
        <v>66</v>
      </c>
      <c r="C134" s="127" t="s">
        <v>162</v>
      </c>
      <c r="D134" s="127"/>
      <c r="E134" s="127"/>
      <c r="F134" s="127"/>
      <c r="G134" s="127"/>
      <c r="H134" s="127"/>
      <c r="I134" s="127"/>
      <c r="J134" s="127"/>
      <c r="K134" s="151" t="s">
        <v>305</v>
      </c>
    </row>
    <row r="135" spans="1:11" ht="21.75">
      <c r="A135" s="153"/>
      <c r="B135" s="134" t="s">
        <v>67</v>
      </c>
      <c r="C135" s="127" t="s">
        <v>163</v>
      </c>
      <c r="D135" s="127"/>
      <c r="E135" s="127"/>
      <c r="F135" s="127"/>
      <c r="G135" s="127"/>
      <c r="H135" s="127"/>
      <c r="I135" s="127"/>
      <c r="J135" s="127"/>
      <c r="K135" s="151" t="s">
        <v>305</v>
      </c>
    </row>
    <row r="136" spans="1:11" ht="21.75">
      <c r="A136" s="153"/>
      <c r="B136" s="134" t="s">
        <v>65</v>
      </c>
      <c r="C136" s="127" t="s">
        <v>246</v>
      </c>
      <c r="D136" s="127"/>
      <c r="E136" s="127"/>
      <c r="F136" s="127"/>
      <c r="G136" s="127"/>
      <c r="H136" s="127"/>
      <c r="I136" s="127"/>
      <c r="J136" s="127"/>
      <c r="K136" s="151"/>
    </row>
    <row r="137" spans="1:11" ht="21.75">
      <c r="A137" s="153"/>
      <c r="B137" s="134"/>
      <c r="C137" s="127" t="s">
        <v>247</v>
      </c>
      <c r="D137" s="127"/>
      <c r="E137" s="127"/>
      <c r="F137" s="127"/>
      <c r="G137" s="127"/>
      <c r="H137" s="127"/>
      <c r="I137" s="127"/>
      <c r="J137" s="127"/>
      <c r="K137" s="151" t="s">
        <v>305</v>
      </c>
    </row>
    <row r="138" spans="1:11" ht="21.75">
      <c r="A138" s="153"/>
      <c r="B138" s="134" t="s">
        <v>248</v>
      </c>
      <c r="C138" s="127" t="s">
        <v>246</v>
      </c>
      <c r="D138" s="127"/>
      <c r="E138" s="127"/>
      <c r="F138" s="127"/>
      <c r="G138" s="127"/>
      <c r="H138" s="127"/>
      <c r="I138" s="127"/>
      <c r="J138" s="127"/>
      <c r="K138" s="151"/>
    </row>
    <row r="139" spans="1:11" ht="21.75">
      <c r="A139" s="153"/>
      <c r="B139" s="134"/>
      <c r="C139" s="127" t="s">
        <v>249</v>
      </c>
      <c r="D139" s="127"/>
      <c r="E139" s="127"/>
      <c r="F139" s="127"/>
      <c r="G139" s="127"/>
      <c r="H139" s="127"/>
      <c r="I139" s="127"/>
      <c r="J139" s="127"/>
      <c r="K139" s="151" t="s">
        <v>305</v>
      </c>
    </row>
    <row r="140" spans="1:11" ht="21.75">
      <c r="A140" s="153"/>
      <c r="B140" s="134" t="s">
        <v>204</v>
      </c>
      <c r="C140" s="127" t="s">
        <v>164</v>
      </c>
      <c r="D140" s="127"/>
      <c r="E140" s="127"/>
      <c r="F140" s="127"/>
      <c r="G140" s="127"/>
      <c r="H140" s="127"/>
      <c r="I140" s="127"/>
      <c r="J140" s="127"/>
      <c r="K140" s="151" t="s">
        <v>142</v>
      </c>
    </row>
    <row r="141" spans="1:11" ht="21.75">
      <c r="A141" s="153"/>
      <c r="B141" s="134" t="s">
        <v>337</v>
      </c>
      <c r="C141" s="127" t="s">
        <v>165</v>
      </c>
      <c r="D141" s="127"/>
      <c r="E141" s="127"/>
      <c r="F141" s="127"/>
      <c r="G141" s="127"/>
      <c r="H141" s="127"/>
      <c r="I141" s="127"/>
      <c r="J141" s="127"/>
      <c r="K141" s="151" t="s">
        <v>142</v>
      </c>
    </row>
    <row r="142" spans="1:11" ht="21.75">
      <c r="A142" s="153"/>
      <c r="B142" s="134" t="s">
        <v>456</v>
      </c>
      <c r="C142" s="127" t="s">
        <v>431</v>
      </c>
      <c r="D142" s="127"/>
      <c r="E142" s="127"/>
      <c r="F142" s="127"/>
      <c r="G142" s="127"/>
      <c r="H142" s="127"/>
      <c r="I142" s="127"/>
      <c r="J142" s="127"/>
      <c r="K142" s="151" t="s">
        <v>142</v>
      </c>
    </row>
    <row r="143" spans="1:11" ht="21.75">
      <c r="A143" s="153"/>
      <c r="B143" s="134" t="s">
        <v>338</v>
      </c>
      <c r="C143" s="127" t="s">
        <v>166</v>
      </c>
      <c r="D143" s="127"/>
      <c r="E143" s="127"/>
      <c r="F143" s="127"/>
      <c r="G143" s="127"/>
      <c r="H143" s="127"/>
      <c r="I143" s="127"/>
      <c r="J143" s="127"/>
      <c r="K143" s="151" t="s">
        <v>142</v>
      </c>
    </row>
    <row r="144" spans="1:11" ht="21.75">
      <c r="A144" s="153"/>
      <c r="B144" s="134" t="s">
        <v>339</v>
      </c>
      <c r="C144" s="127" t="s">
        <v>167</v>
      </c>
      <c r="D144" s="127"/>
      <c r="E144" s="127"/>
      <c r="F144" s="127"/>
      <c r="G144" s="127"/>
      <c r="H144" s="127"/>
      <c r="I144" s="127"/>
      <c r="J144" s="127"/>
      <c r="K144" s="151" t="s">
        <v>142</v>
      </c>
    </row>
    <row r="145" spans="1:11" ht="21.75">
      <c r="A145" s="153"/>
      <c r="B145" s="134" t="s">
        <v>309</v>
      </c>
      <c r="C145" s="127" t="s">
        <v>432</v>
      </c>
      <c r="D145" s="127"/>
      <c r="E145" s="127"/>
      <c r="F145" s="127"/>
      <c r="G145" s="127"/>
      <c r="H145" s="127"/>
      <c r="I145" s="127"/>
      <c r="J145" s="127"/>
      <c r="K145" s="151" t="s">
        <v>142</v>
      </c>
    </row>
    <row r="146" spans="1:11" ht="21.75">
      <c r="A146" s="153"/>
      <c r="B146" s="269" t="s">
        <v>204</v>
      </c>
      <c r="C146" s="127" t="s">
        <v>340</v>
      </c>
      <c r="D146" s="127"/>
      <c r="E146" s="127"/>
      <c r="F146" s="127"/>
      <c r="G146" s="127"/>
      <c r="H146" s="127"/>
      <c r="I146" s="127"/>
      <c r="J146" s="127"/>
      <c r="K146" s="151"/>
    </row>
    <row r="147" spans="1:11" ht="21.75">
      <c r="A147" s="153"/>
      <c r="B147" s="270" t="s">
        <v>341</v>
      </c>
      <c r="C147" s="127" t="s">
        <v>168</v>
      </c>
      <c r="D147" s="127"/>
      <c r="E147" s="127"/>
      <c r="F147" s="127"/>
      <c r="G147" s="127"/>
      <c r="H147" s="127"/>
      <c r="I147" s="127"/>
      <c r="J147" s="127"/>
      <c r="K147" s="151"/>
    </row>
    <row r="148" spans="1:11" ht="21.75">
      <c r="A148" s="153"/>
      <c r="B148" s="309" t="s">
        <v>457</v>
      </c>
      <c r="C148" s="127" t="s">
        <v>433</v>
      </c>
      <c r="D148" s="127"/>
      <c r="E148" s="127"/>
      <c r="F148" s="127"/>
      <c r="G148" s="127"/>
      <c r="H148" s="127"/>
      <c r="I148" s="127"/>
      <c r="J148" s="127"/>
      <c r="K148" s="151"/>
    </row>
    <row r="149" spans="1:11" ht="21.75">
      <c r="A149" s="153"/>
      <c r="B149" s="309" t="s">
        <v>458</v>
      </c>
      <c r="C149" s="127" t="s">
        <v>434</v>
      </c>
      <c r="D149" s="127"/>
      <c r="E149" s="127"/>
      <c r="F149" s="127"/>
      <c r="G149" s="127"/>
      <c r="H149" s="127"/>
      <c r="I149" s="127"/>
      <c r="J149" s="127"/>
      <c r="K149" s="151"/>
    </row>
    <row r="150" spans="1:11" ht="21.75">
      <c r="A150" s="153"/>
      <c r="B150" s="309" t="s">
        <v>459</v>
      </c>
      <c r="C150" s="127" t="s">
        <v>435</v>
      </c>
      <c r="D150" s="127"/>
      <c r="E150" s="127"/>
      <c r="F150" s="127"/>
      <c r="G150" s="127"/>
      <c r="H150" s="127"/>
      <c r="I150" s="127"/>
      <c r="J150" s="127"/>
      <c r="K150" s="151"/>
    </row>
    <row r="151" spans="1:11" ht="21.75">
      <c r="A151" s="153"/>
      <c r="B151" s="310" t="s">
        <v>460</v>
      </c>
      <c r="C151" s="127" t="s">
        <v>436</v>
      </c>
      <c r="D151" s="127"/>
      <c r="E151" s="127"/>
      <c r="F151" s="127"/>
      <c r="G151" s="127"/>
      <c r="H151" s="127"/>
      <c r="I151" s="127"/>
      <c r="J151" s="127"/>
      <c r="K151" s="151"/>
    </row>
    <row r="152" spans="1:11" ht="21.75">
      <c r="A152" s="153"/>
      <c r="B152" s="310" t="s">
        <v>461</v>
      </c>
      <c r="C152" s="127" t="s">
        <v>437</v>
      </c>
      <c r="D152" s="127"/>
      <c r="E152" s="127"/>
      <c r="F152" s="127"/>
      <c r="G152" s="127"/>
      <c r="H152" s="127"/>
      <c r="I152" s="127"/>
      <c r="J152" s="127"/>
      <c r="K152" s="151"/>
    </row>
    <row r="153" spans="1:11" ht="21.75">
      <c r="A153" s="153"/>
      <c r="C153" s="134" t="s">
        <v>291</v>
      </c>
      <c r="D153" s="134" t="s">
        <v>385</v>
      </c>
      <c r="E153" s="135" t="s">
        <v>462</v>
      </c>
      <c r="F153" s="127"/>
      <c r="G153" s="127"/>
      <c r="H153" s="127"/>
      <c r="I153" s="134" t="s">
        <v>385</v>
      </c>
      <c r="J153" s="164">
        <f>1.7*J18</f>
        <v>24310</v>
      </c>
      <c r="K153" s="151" t="s">
        <v>76</v>
      </c>
    </row>
    <row r="154" spans="1:11" ht="21.75">
      <c r="A154" s="153"/>
      <c r="B154" s="127"/>
      <c r="C154" s="134" t="s">
        <v>338</v>
      </c>
      <c r="D154" s="134" t="s">
        <v>385</v>
      </c>
      <c r="E154" s="135" t="s">
        <v>342</v>
      </c>
      <c r="F154" s="127"/>
      <c r="G154" s="127"/>
      <c r="H154" s="127"/>
      <c r="I154" s="134" t="s">
        <v>385</v>
      </c>
      <c r="J154" s="164">
        <f>0.75*G43-J61</f>
        <v>11365.044723655463</v>
      </c>
      <c r="K154" s="151" t="s">
        <v>99</v>
      </c>
    </row>
    <row r="155" spans="1:17" ht="27" customHeight="1">
      <c r="A155" s="153"/>
      <c r="B155" s="127"/>
      <c r="C155" s="270" t="s">
        <v>341</v>
      </c>
      <c r="D155" s="134" t="s">
        <v>385</v>
      </c>
      <c r="E155" s="135" t="s">
        <v>343</v>
      </c>
      <c r="F155" s="127"/>
      <c r="G155" s="127"/>
      <c r="H155" s="271" t="s">
        <v>344</v>
      </c>
      <c r="I155" s="134" t="s">
        <v>385</v>
      </c>
      <c r="J155" s="164">
        <f>0.85-(0.0008*(J22-300))</f>
        <v>0.77</v>
      </c>
      <c r="K155" s="266" t="str">
        <f>IF(J155=0.65,M83,IF(J155&gt;0.65,M83,IF(J155&lt;0.65,M84)))</f>
        <v>OK.</v>
      </c>
      <c r="M155" s="272"/>
      <c r="N155" s="241"/>
      <c r="O155" s="273" t="s">
        <v>250</v>
      </c>
      <c r="P155" s="274" t="s">
        <v>413</v>
      </c>
      <c r="Q155" s="241"/>
    </row>
    <row r="156" spans="1:17" ht="24.75">
      <c r="A156" s="153"/>
      <c r="B156" s="127"/>
      <c r="C156" s="134" t="s">
        <v>204</v>
      </c>
      <c r="D156" s="134"/>
      <c r="E156" s="127"/>
      <c r="F156" s="127"/>
      <c r="G156" s="127"/>
      <c r="H156" s="127"/>
      <c r="I156" s="134" t="s">
        <v>385</v>
      </c>
      <c r="J156" s="166">
        <f>J31</f>
        <v>1978256.8</v>
      </c>
      <c r="K156" s="151" t="s">
        <v>99</v>
      </c>
      <c r="M156" s="275" t="s">
        <v>370</v>
      </c>
      <c r="N156" s="238"/>
      <c r="O156" s="275" t="s">
        <v>251</v>
      </c>
      <c r="P156" s="276" t="s">
        <v>269</v>
      </c>
      <c r="Q156" s="180" t="s">
        <v>337</v>
      </c>
    </row>
    <row r="157" spans="1:17" ht="21.75">
      <c r="A157" s="153"/>
      <c r="B157" s="127"/>
      <c r="C157" s="134" t="s">
        <v>66</v>
      </c>
      <c r="D157" s="134" t="s">
        <v>385</v>
      </c>
      <c r="E157" s="277" t="s">
        <v>345</v>
      </c>
      <c r="F157" s="127"/>
      <c r="G157" s="127"/>
      <c r="H157" s="127"/>
      <c r="I157" s="127"/>
      <c r="J157" s="127"/>
      <c r="K157" s="151"/>
      <c r="M157" s="353"/>
      <c r="N157" s="354">
        <v>4</v>
      </c>
      <c r="O157" s="354">
        <v>20.5</v>
      </c>
      <c r="P157" s="355">
        <f aca="true" t="shared" si="9" ref="P157:P163">+C35</f>
        <v>0.126</v>
      </c>
      <c r="Q157" s="260">
        <f aca="true" t="shared" si="10" ref="Q157:Q163">+O157/P157*100</f>
        <v>16269.84126984127</v>
      </c>
    </row>
    <row r="158" spans="1:17" ht="21.75">
      <c r="A158" s="153"/>
      <c r="B158" s="127"/>
      <c r="C158" s="134" t="s">
        <v>65</v>
      </c>
      <c r="D158" s="127"/>
      <c r="E158" s="127"/>
      <c r="F158" s="127"/>
      <c r="G158" s="127"/>
      <c r="H158" s="127"/>
      <c r="I158" s="134" t="s">
        <v>385</v>
      </c>
      <c r="J158" s="311">
        <f>+H10-J159</f>
        <v>35</v>
      </c>
      <c r="K158" s="151" t="s">
        <v>14</v>
      </c>
      <c r="M158" s="353"/>
      <c r="N158" s="354">
        <v>5</v>
      </c>
      <c r="O158" s="354">
        <v>32.2</v>
      </c>
      <c r="P158" s="355">
        <f t="shared" si="9"/>
        <v>0.196</v>
      </c>
      <c r="Q158" s="260">
        <f t="shared" si="10"/>
        <v>16428.57142857143</v>
      </c>
    </row>
    <row r="159" spans="1:17" ht="21.75">
      <c r="A159" s="153"/>
      <c r="B159" s="127"/>
      <c r="C159" s="134" t="s">
        <v>248</v>
      </c>
      <c r="D159" s="127"/>
      <c r="E159" s="127"/>
      <c r="F159" s="127"/>
      <c r="G159" s="127"/>
      <c r="H159" s="127"/>
      <c r="I159" s="134" t="s">
        <v>385</v>
      </c>
      <c r="J159" s="311">
        <v>5</v>
      </c>
      <c r="K159" s="151" t="s">
        <v>14</v>
      </c>
      <c r="M159" s="353"/>
      <c r="N159" s="354">
        <v>7</v>
      </c>
      <c r="O159" s="354">
        <v>56.7</v>
      </c>
      <c r="P159" s="355">
        <f t="shared" si="9"/>
        <v>0.385</v>
      </c>
      <c r="Q159" s="260">
        <f t="shared" si="10"/>
        <v>14727.272727272728</v>
      </c>
    </row>
    <row r="160" spans="1:17" ht="21.75">
      <c r="A160" s="261" t="s">
        <v>169</v>
      </c>
      <c r="B160" s="262"/>
      <c r="C160" s="134" t="s">
        <v>337</v>
      </c>
      <c r="D160" s="127"/>
      <c r="E160" s="127"/>
      <c r="F160" s="127"/>
      <c r="G160" s="127"/>
      <c r="H160" s="127"/>
      <c r="I160" s="134" t="s">
        <v>385</v>
      </c>
      <c r="J160" s="311">
        <f>Q161</f>
        <v>17609.48905109489</v>
      </c>
      <c r="K160" s="151" t="s">
        <v>14</v>
      </c>
      <c r="M160" s="353" t="s">
        <v>221</v>
      </c>
      <c r="N160" s="354">
        <v>9.3</v>
      </c>
      <c r="O160" s="354">
        <v>87.5</v>
      </c>
      <c r="P160" s="355">
        <f t="shared" si="9"/>
        <v>0.516</v>
      </c>
      <c r="Q160" s="260">
        <f t="shared" si="10"/>
        <v>16957.36434108527</v>
      </c>
    </row>
    <row r="161" spans="1:17" ht="21.75">
      <c r="A161" s="261"/>
      <c r="B161" s="262"/>
      <c r="C161" s="134" t="s">
        <v>309</v>
      </c>
      <c r="D161" s="127"/>
      <c r="E161" s="127"/>
      <c r="F161" s="127"/>
      <c r="G161" s="127"/>
      <c r="H161" s="127"/>
      <c r="I161" s="134" t="s">
        <v>385</v>
      </c>
      <c r="J161" s="311">
        <v>4000</v>
      </c>
      <c r="K161" s="151" t="s">
        <v>99</v>
      </c>
      <c r="M161" s="353" t="s">
        <v>222</v>
      </c>
      <c r="N161" s="354">
        <v>9.5</v>
      </c>
      <c r="O161" s="354">
        <v>96.5</v>
      </c>
      <c r="P161" s="355">
        <f t="shared" si="9"/>
        <v>0.548</v>
      </c>
      <c r="Q161" s="260">
        <f t="shared" si="10"/>
        <v>17609.48905109489</v>
      </c>
    </row>
    <row r="162" spans="1:17" ht="21.75">
      <c r="A162" s="261"/>
      <c r="B162" s="262"/>
      <c r="C162" s="134" t="s">
        <v>456</v>
      </c>
      <c r="D162" s="127"/>
      <c r="E162" s="127"/>
      <c r="F162" s="127"/>
      <c r="G162" s="127"/>
      <c r="H162" s="127"/>
      <c r="I162" s="134" t="s">
        <v>385</v>
      </c>
      <c r="J162" s="311">
        <v>2040000</v>
      </c>
      <c r="K162" s="151" t="s">
        <v>99</v>
      </c>
      <c r="M162" s="353" t="s">
        <v>224</v>
      </c>
      <c r="N162" s="354">
        <v>12.7</v>
      </c>
      <c r="O162" s="354">
        <v>167</v>
      </c>
      <c r="P162" s="355">
        <f t="shared" si="9"/>
        <v>0.929</v>
      </c>
      <c r="Q162" s="260">
        <f t="shared" si="10"/>
        <v>17976.31862217438</v>
      </c>
    </row>
    <row r="163" spans="1:17" ht="27" customHeight="1">
      <c r="A163" s="261" t="s">
        <v>488</v>
      </c>
      <c r="B163" s="262"/>
      <c r="C163" s="134" t="s">
        <v>346</v>
      </c>
      <c r="D163" s="134" t="s">
        <v>385</v>
      </c>
      <c r="E163" s="164">
        <f>IF(H163&gt;0.9,0.28,IF(H163=0.9,0.28,IF(H163&lt;0.9,0.4)))</f>
        <v>0.28</v>
      </c>
      <c r="F163" s="127"/>
      <c r="G163" s="135" t="s">
        <v>347</v>
      </c>
      <c r="H163" s="133">
        <f>J160/G43</f>
        <v>0.9268152132155205</v>
      </c>
      <c r="I163" s="134" t="str">
        <f>IF(H163&gt;J163,A160,IF(H163=J163,A160,IF(H163&lt;J163,A163)))</f>
        <v>&gt;=</v>
      </c>
      <c r="J163" s="278">
        <v>0.9</v>
      </c>
      <c r="K163" s="151"/>
      <c r="M163" s="353" t="s">
        <v>226</v>
      </c>
      <c r="N163" s="354">
        <v>15.2</v>
      </c>
      <c r="O163" s="354">
        <v>234</v>
      </c>
      <c r="P163" s="355">
        <f t="shared" si="9"/>
        <v>0.987</v>
      </c>
      <c r="Q163" s="260">
        <f t="shared" si="10"/>
        <v>23708.20668693009</v>
      </c>
    </row>
    <row r="164" spans="1:18" ht="21.75">
      <c r="A164" s="153"/>
      <c r="B164" s="127"/>
      <c r="C164" s="134" t="s">
        <v>348</v>
      </c>
      <c r="D164" s="134" t="s">
        <v>385</v>
      </c>
      <c r="E164" s="134" t="s">
        <v>463</v>
      </c>
      <c r="F164" s="127"/>
      <c r="G164" s="127"/>
      <c r="H164" s="127"/>
      <c r="I164" s="134" t="s">
        <v>385</v>
      </c>
      <c r="J164" s="206">
        <f>J47/(E10*J103)</f>
        <v>0.0030444444444444447</v>
      </c>
      <c r="K164" s="151"/>
      <c r="M164" s="356"/>
      <c r="N164" s="356"/>
      <c r="O164" s="356"/>
      <c r="P164" s="357"/>
      <c r="Q164" s="358"/>
      <c r="R164" s="358"/>
    </row>
    <row r="165" spans="1:18" ht="21.75">
      <c r="A165" s="153"/>
      <c r="B165" s="127"/>
      <c r="C165" s="269" t="s">
        <v>411</v>
      </c>
      <c r="D165" s="134" t="s">
        <v>385</v>
      </c>
      <c r="E165" s="134" t="s">
        <v>464</v>
      </c>
      <c r="F165" s="127"/>
      <c r="G165" s="127"/>
      <c r="H165" s="127"/>
      <c r="I165" s="134" t="s">
        <v>385</v>
      </c>
      <c r="J165" s="316">
        <f>+J183/(E10*J158)</f>
        <v>0.0008071428571428571</v>
      </c>
      <c r="K165" s="151"/>
      <c r="M165" s="356"/>
      <c r="N165" s="356"/>
      <c r="O165" s="356"/>
      <c r="P165" s="357"/>
      <c r="Q165" s="358"/>
      <c r="R165" s="358"/>
    </row>
    <row r="166" spans="1:18" ht="21.75">
      <c r="A166" s="153"/>
      <c r="B166" s="127"/>
      <c r="C166" s="269" t="s">
        <v>170</v>
      </c>
      <c r="D166" s="134" t="s">
        <v>385</v>
      </c>
      <c r="E166" s="134" t="s">
        <v>465</v>
      </c>
      <c r="F166" s="127"/>
      <c r="G166" s="127"/>
      <c r="H166" s="127"/>
      <c r="I166" s="134" t="s">
        <v>385</v>
      </c>
      <c r="J166" s="316">
        <f>+J184/(E10*J158)</f>
        <v>0.0008071428571428571</v>
      </c>
      <c r="K166" s="151"/>
      <c r="M166" s="358"/>
      <c r="N166" s="358"/>
      <c r="O166" s="358"/>
      <c r="P166" s="358"/>
      <c r="Q166" s="358"/>
      <c r="R166" s="358"/>
    </row>
    <row r="167" spans="1:11" ht="22.5" thickBot="1">
      <c r="A167" s="157"/>
      <c r="B167" s="479" t="str">
        <f>+F6</f>
        <v>I. 0.40x0.40 (1232) x 18.00 m.</v>
      </c>
      <c r="C167" s="479"/>
      <c r="D167" s="352" t="str">
        <f>+I6</f>
        <v>(KING PILE)</v>
      </c>
      <c r="E167" s="307" t="s">
        <v>438</v>
      </c>
      <c r="F167" s="158"/>
      <c r="G167" s="158"/>
      <c r="H167" s="158"/>
      <c r="I167" s="291"/>
      <c r="J167" s="312"/>
      <c r="K167" s="159"/>
    </row>
    <row r="168" spans="1:11" ht="21.75">
      <c r="A168" s="144"/>
      <c r="B168" s="313"/>
      <c r="C168" s="314" t="s">
        <v>466</v>
      </c>
      <c r="D168" s="315" t="s">
        <v>385</v>
      </c>
      <c r="E168" s="200" t="s">
        <v>467</v>
      </c>
      <c r="F168" s="145"/>
      <c r="G168" s="145"/>
      <c r="H168" s="145"/>
      <c r="I168" s="200" t="s">
        <v>385</v>
      </c>
      <c r="J168" s="347">
        <f>+(J164*J171)/J22</f>
        <v>0.13700661167227834</v>
      </c>
      <c r="K168" s="152"/>
    </row>
    <row r="169" spans="1:11" ht="21.75">
      <c r="A169" s="153"/>
      <c r="B169" s="127"/>
      <c r="C169" s="269" t="s">
        <v>64</v>
      </c>
      <c r="D169" s="134" t="s">
        <v>385</v>
      </c>
      <c r="E169" s="134" t="s">
        <v>349</v>
      </c>
      <c r="F169" s="127"/>
      <c r="G169" s="127"/>
      <c r="H169" s="127"/>
      <c r="I169" s="134" t="s">
        <v>385</v>
      </c>
      <c r="J169" s="316">
        <f>J165*J106/J22</f>
        <v>0.008475</v>
      </c>
      <c r="K169" s="151"/>
    </row>
    <row r="170" spans="1:11" ht="21.75">
      <c r="A170" s="153"/>
      <c r="B170" s="127"/>
      <c r="C170" s="269" t="s">
        <v>171</v>
      </c>
      <c r="D170" s="134" t="s">
        <v>385</v>
      </c>
      <c r="E170" s="134" t="s">
        <v>350</v>
      </c>
      <c r="F170" s="127"/>
      <c r="G170" s="127"/>
      <c r="H170" s="127"/>
      <c r="I170" s="134" t="s">
        <v>385</v>
      </c>
      <c r="J170" s="316">
        <f>J166*J106/J22</f>
        <v>0.008475</v>
      </c>
      <c r="K170" s="151"/>
    </row>
    <row r="171" spans="1:11" ht="21.75">
      <c r="A171" s="153"/>
      <c r="B171" s="127"/>
      <c r="C171" s="134" t="s">
        <v>339</v>
      </c>
      <c r="D171" s="134" t="s">
        <v>385</v>
      </c>
      <c r="E171" s="135" t="s">
        <v>351</v>
      </c>
      <c r="F171" s="127"/>
      <c r="G171" s="127"/>
      <c r="H171" s="127"/>
      <c r="I171" s="134" t="s">
        <v>385</v>
      </c>
      <c r="J171" s="164">
        <f>G43*(1-(E163/J155)*((J164*G43/J22)+(J158/J103)*(J169-J170)))</f>
        <v>18000.868686868685</v>
      </c>
      <c r="K171" s="151" t="s">
        <v>99</v>
      </c>
    </row>
    <row r="172" spans="1:11" ht="21.75">
      <c r="A172" s="153"/>
      <c r="B172" s="127"/>
      <c r="C172" s="269" t="s">
        <v>60</v>
      </c>
      <c r="D172" s="134" t="s">
        <v>385</v>
      </c>
      <c r="E172" s="269" t="s">
        <v>380</v>
      </c>
      <c r="F172" s="127"/>
      <c r="G172" s="127"/>
      <c r="H172" s="127"/>
      <c r="I172" s="127"/>
      <c r="J172" s="127"/>
      <c r="K172" s="151"/>
    </row>
    <row r="173" spans="1:11" ht="21.75">
      <c r="A173" s="153"/>
      <c r="B173" s="127"/>
      <c r="C173" s="134" t="s">
        <v>352</v>
      </c>
      <c r="D173" s="134" t="s">
        <v>385</v>
      </c>
      <c r="E173" s="134" t="s">
        <v>353</v>
      </c>
      <c r="F173" s="127"/>
      <c r="G173" s="127"/>
      <c r="H173" s="127"/>
      <c r="I173" s="127"/>
      <c r="J173" s="127"/>
      <c r="K173" s="151"/>
    </row>
    <row r="174" spans="1:11" ht="21.75">
      <c r="A174" s="153"/>
      <c r="B174" s="127"/>
      <c r="C174" s="134" t="s">
        <v>66</v>
      </c>
      <c r="D174" s="134" t="s">
        <v>385</v>
      </c>
      <c r="E174" s="135" t="s">
        <v>354</v>
      </c>
      <c r="F174" s="127"/>
      <c r="G174" s="127"/>
      <c r="H174" s="127"/>
      <c r="I174" s="134" t="s">
        <v>385</v>
      </c>
      <c r="J174" s="164">
        <f>(J47*J171)/(0.85*J22*E10)</f>
        <v>5.8026329649435535</v>
      </c>
      <c r="K174" s="151" t="s">
        <v>14</v>
      </c>
    </row>
    <row r="175" spans="1:11" ht="25.5">
      <c r="A175" s="153"/>
      <c r="B175" s="127"/>
      <c r="C175" s="127" t="s">
        <v>172</v>
      </c>
      <c r="D175" s="127"/>
      <c r="E175" s="127"/>
      <c r="F175" s="127"/>
      <c r="G175" s="127"/>
      <c r="H175" s="279" t="s">
        <v>355</v>
      </c>
      <c r="I175" s="134" t="s">
        <v>385</v>
      </c>
      <c r="J175" s="280">
        <f>I10+J10</f>
        <v>14</v>
      </c>
      <c r="K175" s="151" t="s">
        <v>14</v>
      </c>
    </row>
    <row r="176" spans="1:13" ht="21.75">
      <c r="A176" s="153"/>
      <c r="B176" s="127"/>
      <c r="C176" s="134" t="s">
        <v>468</v>
      </c>
      <c r="D176" s="134" t="s">
        <v>385</v>
      </c>
      <c r="E176" s="135" t="s">
        <v>356</v>
      </c>
      <c r="F176" s="127"/>
      <c r="G176" s="127"/>
      <c r="H176" s="127"/>
      <c r="I176" s="134" t="s">
        <v>385</v>
      </c>
      <c r="J176" s="166">
        <f>(J47*J171*(G45-J174/2))/100</f>
        <v>26120.093642205862</v>
      </c>
      <c r="K176" s="151" t="s">
        <v>76</v>
      </c>
      <c r="M176" s="131"/>
    </row>
    <row r="177" spans="1:11" ht="21.75">
      <c r="A177" s="153"/>
      <c r="B177" s="127"/>
      <c r="C177" s="134" t="s">
        <v>469</v>
      </c>
      <c r="D177" s="127"/>
      <c r="E177" s="127"/>
      <c r="F177" s="127"/>
      <c r="G177" s="127"/>
      <c r="H177" s="127"/>
      <c r="I177" s="134" t="s">
        <v>385</v>
      </c>
      <c r="J177" s="166">
        <f>0.9*J176</f>
        <v>23508.084277985276</v>
      </c>
      <c r="K177" s="151" t="s">
        <v>76</v>
      </c>
    </row>
    <row r="178" spans="1:11" ht="21.75">
      <c r="A178" s="153"/>
      <c r="B178" s="127"/>
      <c r="C178" s="127"/>
      <c r="D178" s="127"/>
      <c r="E178" s="127"/>
      <c r="F178" s="127"/>
      <c r="G178" s="134" t="s">
        <v>469</v>
      </c>
      <c r="H178" s="134" t="str">
        <f>IF(J177&gt;J153,A110,IF(J177&lt;J153,A111))</f>
        <v>&lt;</v>
      </c>
      <c r="I178" s="134" t="s">
        <v>291</v>
      </c>
      <c r="J178" s="127"/>
      <c r="K178" s="266" t="str">
        <f>IF(J177&gt;J153,M83,IF(J177&lt;J153,M84))</f>
        <v>FAIL</v>
      </c>
    </row>
    <row r="179" spans="1:11" ht="21.75">
      <c r="A179" s="153"/>
      <c r="B179" s="127"/>
      <c r="C179" s="127"/>
      <c r="D179" s="127"/>
      <c r="E179" s="127"/>
      <c r="F179" s="127"/>
      <c r="G179" s="134"/>
      <c r="H179" s="134"/>
      <c r="I179" s="360" t="s">
        <v>439</v>
      </c>
      <c r="J179" s="127"/>
      <c r="K179" s="266"/>
    </row>
    <row r="180" spans="1:14" ht="21.75">
      <c r="A180" s="153"/>
      <c r="B180" s="127"/>
      <c r="C180" s="134" t="s">
        <v>470</v>
      </c>
      <c r="D180" s="134" t="s">
        <v>385</v>
      </c>
      <c r="E180" s="127" t="s">
        <v>471</v>
      </c>
      <c r="F180" s="127"/>
      <c r="G180" s="134"/>
      <c r="H180" s="134"/>
      <c r="I180" s="134" t="s">
        <v>385</v>
      </c>
      <c r="J180" s="317">
        <f>+(J153/0.9)-J176</f>
        <v>891.0174689052474</v>
      </c>
      <c r="K180" s="151" t="s">
        <v>76</v>
      </c>
      <c r="M180" s="101"/>
      <c r="N180" s="102" t="s">
        <v>379</v>
      </c>
    </row>
    <row r="181" spans="1:14" ht="24.75">
      <c r="A181" s="153"/>
      <c r="B181" s="318"/>
      <c r="C181" s="319" t="s">
        <v>472</v>
      </c>
      <c r="D181" s="320" t="s">
        <v>385</v>
      </c>
      <c r="E181" s="318" t="s">
        <v>440</v>
      </c>
      <c r="F181" s="318"/>
      <c r="G181" s="320"/>
      <c r="H181" s="320"/>
      <c r="I181" s="320" t="s">
        <v>385</v>
      </c>
      <c r="J181" s="321">
        <f>0.9*(G45-J174)</f>
        <v>27.1776303315508</v>
      </c>
      <c r="K181" s="322" t="s">
        <v>387</v>
      </c>
      <c r="M181" s="101"/>
      <c r="N181" s="102" t="s">
        <v>415</v>
      </c>
    </row>
    <row r="182" spans="1:14" ht="24.75">
      <c r="A182" s="153"/>
      <c r="B182" s="318"/>
      <c r="C182" s="320" t="s">
        <v>473</v>
      </c>
      <c r="D182" s="134" t="s">
        <v>385</v>
      </c>
      <c r="E182" s="127" t="s">
        <v>474</v>
      </c>
      <c r="F182" s="127"/>
      <c r="G182" s="134"/>
      <c r="H182" s="134"/>
      <c r="I182" s="134" t="s">
        <v>385</v>
      </c>
      <c r="J182" s="317">
        <f>+((J153/0.9)-J176)/(J161*J181)*100</f>
        <v>0.8196239499501687</v>
      </c>
      <c r="K182" s="151" t="s">
        <v>269</v>
      </c>
      <c r="M182" s="103" t="s">
        <v>17</v>
      </c>
      <c r="N182" s="102">
        <v>0.07</v>
      </c>
    </row>
    <row r="183" spans="1:14" ht="24">
      <c r="A183" s="153"/>
      <c r="B183" s="318"/>
      <c r="C183" s="319"/>
      <c r="D183" s="348" t="s">
        <v>39</v>
      </c>
      <c r="E183" s="348" t="s">
        <v>491</v>
      </c>
      <c r="F183" s="452">
        <v>1</v>
      </c>
      <c r="G183" s="453" t="str">
        <f>M187</f>
        <v>DB.12 mm.</v>
      </c>
      <c r="H183" s="348" t="s">
        <v>485</v>
      </c>
      <c r="I183" s="348" t="s">
        <v>385</v>
      </c>
      <c r="J183" s="362">
        <f>F183*N187</f>
        <v>1.13</v>
      </c>
      <c r="K183" s="349" t="s">
        <v>486</v>
      </c>
      <c r="M183" s="103" t="s">
        <v>18</v>
      </c>
      <c r="N183" s="102">
        <v>0.13</v>
      </c>
    </row>
    <row r="184" spans="1:14" ht="24">
      <c r="A184" s="153"/>
      <c r="B184" s="318"/>
      <c r="C184" s="324"/>
      <c r="D184" s="348" t="s">
        <v>40</v>
      </c>
      <c r="E184" s="348" t="s">
        <v>491</v>
      </c>
      <c r="F184" s="452">
        <f>F183</f>
        <v>1</v>
      </c>
      <c r="G184" s="453" t="str">
        <f>G183</f>
        <v>DB.12 mm.</v>
      </c>
      <c r="H184" s="348" t="s">
        <v>487</v>
      </c>
      <c r="I184" s="348" t="s">
        <v>385</v>
      </c>
      <c r="J184" s="362">
        <f>J183</f>
        <v>1.13</v>
      </c>
      <c r="K184" s="349" t="s">
        <v>486</v>
      </c>
      <c r="M184" s="103" t="s">
        <v>19</v>
      </c>
      <c r="N184" s="102">
        <v>0.28</v>
      </c>
    </row>
    <row r="185" spans="1:14" ht="21.75">
      <c r="A185" s="153"/>
      <c r="B185" s="318"/>
      <c r="C185" s="324"/>
      <c r="D185" s="323" t="s">
        <v>441</v>
      </c>
      <c r="E185" s="325" t="s">
        <v>475</v>
      </c>
      <c r="F185" s="320"/>
      <c r="G185" s="134"/>
      <c r="H185" s="127"/>
      <c r="I185" s="127"/>
      <c r="J185" s="127"/>
      <c r="K185" s="322"/>
      <c r="M185" s="103" t="s">
        <v>20</v>
      </c>
      <c r="N185" s="102">
        <v>0.64</v>
      </c>
    </row>
    <row r="186" spans="1:14" ht="21.75">
      <c r="A186" s="153"/>
      <c r="B186" s="127"/>
      <c r="C186" s="127"/>
      <c r="D186" s="127"/>
      <c r="E186" s="325" t="s">
        <v>476</v>
      </c>
      <c r="F186" s="127"/>
      <c r="G186" s="127"/>
      <c r="H186" s="127"/>
      <c r="I186" s="320" t="s">
        <v>385</v>
      </c>
      <c r="J186" s="326">
        <f>+J168+(J169-J170)*(J158/G45)</f>
        <v>0.13700661167227834</v>
      </c>
      <c r="K186" s="322"/>
      <c r="M186" s="103" t="s">
        <v>21</v>
      </c>
      <c r="N186" s="102">
        <v>0.79</v>
      </c>
    </row>
    <row r="187" spans="1:16" ht="21.75">
      <c r="A187" s="153"/>
      <c r="B187" s="127"/>
      <c r="C187" s="327"/>
      <c r="D187" s="263"/>
      <c r="E187" s="325" t="s">
        <v>477</v>
      </c>
      <c r="F187" s="263"/>
      <c r="G187" s="264"/>
      <c r="H187" s="127"/>
      <c r="I187" s="264" t="s">
        <v>385</v>
      </c>
      <c r="J187" s="328">
        <f>0.36*J155</f>
        <v>0.2772</v>
      </c>
      <c r="K187" s="266" t="str">
        <f>+IF(J186&lt;=J187,O187,IF(J186&gt;J187,P187))</f>
        <v>OK</v>
      </c>
      <c r="M187" s="103" t="s">
        <v>22</v>
      </c>
      <c r="N187" s="102">
        <v>1.13</v>
      </c>
      <c r="O187" s="260" t="s">
        <v>386</v>
      </c>
      <c r="P187" s="260" t="s">
        <v>133</v>
      </c>
    </row>
    <row r="188" spans="1:14" ht="23.25">
      <c r="A188" s="149" t="s">
        <v>173</v>
      </c>
      <c r="B188" s="150"/>
      <c r="C188" s="127"/>
      <c r="D188" s="127"/>
      <c r="E188" s="127"/>
      <c r="F188" s="127"/>
      <c r="G188" s="127"/>
      <c r="H188" s="127"/>
      <c r="I188" s="127"/>
      <c r="J188" s="127"/>
      <c r="K188" s="151"/>
      <c r="M188" s="103" t="s">
        <v>23</v>
      </c>
      <c r="N188" s="102">
        <v>2.01</v>
      </c>
    </row>
    <row r="189" spans="1:14" ht="21.75">
      <c r="A189" s="153"/>
      <c r="B189" s="134" t="s">
        <v>388</v>
      </c>
      <c r="C189" s="127" t="s">
        <v>87</v>
      </c>
      <c r="D189" s="127"/>
      <c r="E189" s="127"/>
      <c r="F189" s="127"/>
      <c r="G189" s="127"/>
      <c r="H189" s="127"/>
      <c r="I189" s="127"/>
      <c r="J189" s="127"/>
      <c r="K189" s="151"/>
      <c r="M189" s="103" t="s">
        <v>24</v>
      </c>
      <c r="N189" s="102">
        <v>3.14</v>
      </c>
    </row>
    <row r="190" spans="1:14" ht="21.75">
      <c r="A190" s="153"/>
      <c r="B190" s="134" t="s">
        <v>358</v>
      </c>
      <c r="C190" s="127" t="s">
        <v>175</v>
      </c>
      <c r="D190" s="127"/>
      <c r="E190" s="127"/>
      <c r="F190" s="127"/>
      <c r="G190" s="165" t="s">
        <v>359</v>
      </c>
      <c r="H190" s="127"/>
      <c r="I190" s="134" t="s">
        <v>385</v>
      </c>
      <c r="J190" s="133">
        <f>(H10/2)-J51</f>
        <v>17.714285714285715</v>
      </c>
      <c r="K190" s="151" t="s">
        <v>14</v>
      </c>
      <c r="M190" s="103" t="s">
        <v>25</v>
      </c>
      <c r="N190" s="102">
        <v>4.91</v>
      </c>
    </row>
    <row r="191" spans="1:14" ht="21.75">
      <c r="A191" s="153"/>
      <c r="B191" s="134" t="s">
        <v>176</v>
      </c>
      <c r="C191" s="127" t="s">
        <v>177</v>
      </c>
      <c r="D191" s="127"/>
      <c r="E191" s="134" t="s">
        <v>385</v>
      </c>
      <c r="F191" s="127" t="s">
        <v>178</v>
      </c>
      <c r="G191" s="165"/>
      <c r="H191" s="127"/>
      <c r="I191" s="134" t="s">
        <v>385</v>
      </c>
      <c r="J191" s="133">
        <f>SQRT(J14/J12)</f>
        <v>12.940715533018006</v>
      </c>
      <c r="K191" s="151" t="s">
        <v>14</v>
      </c>
      <c r="M191" s="118" t="s">
        <v>26</v>
      </c>
      <c r="N191" s="115">
        <v>6.16</v>
      </c>
    </row>
    <row r="192" spans="1:11" ht="21.75">
      <c r="A192" s="153"/>
      <c r="B192" s="127" t="s">
        <v>179</v>
      </c>
      <c r="C192" s="127"/>
      <c r="D192" s="127"/>
      <c r="E192" s="134" t="s">
        <v>360</v>
      </c>
      <c r="F192" s="134" t="s">
        <v>385</v>
      </c>
      <c r="G192" s="127" t="s">
        <v>361</v>
      </c>
      <c r="H192" s="127"/>
      <c r="I192" s="134" t="s">
        <v>385</v>
      </c>
      <c r="J192" s="164">
        <f>2*SQRT(J22)</f>
        <v>40</v>
      </c>
      <c r="K192" s="151" t="s">
        <v>99</v>
      </c>
    </row>
    <row r="193" spans="1:11" ht="24.75">
      <c r="A193" s="153"/>
      <c r="B193" s="127" t="s">
        <v>180</v>
      </c>
      <c r="C193" s="127"/>
      <c r="D193" s="134" t="s">
        <v>362</v>
      </c>
      <c r="E193" s="134" t="s">
        <v>385</v>
      </c>
      <c r="F193" s="127" t="s">
        <v>363</v>
      </c>
      <c r="G193" s="127"/>
      <c r="H193" s="127"/>
      <c r="I193" s="134" t="s">
        <v>385</v>
      </c>
      <c r="J193" s="164">
        <f>(J67*(J51+(J191^2)/J190)+J192*J14/J190)/100</f>
        <v>14894.422799236923</v>
      </c>
      <c r="K193" s="151" t="s">
        <v>76</v>
      </c>
    </row>
    <row r="194" spans="1:11" ht="21.75">
      <c r="A194" s="153"/>
      <c r="B194" s="127"/>
      <c r="C194" s="127"/>
      <c r="D194" s="134" t="s">
        <v>364</v>
      </c>
      <c r="E194" s="134"/>
      <c r="F194" s="127"/>
      <c r="G194" s="127"/>
      <c r="H194" s="127"/>
      <c r="I194" s="134" t="s">
        <v>385</v>
      </c>
      <c r="J194" s="166">
        <f>1.2*J193</f>
        <v>17873.30735908431</v>
      </c>
      <c r="K194" s="151" t="s">
        <v>76</v>
      </c>
    </row>
    <row r="195" spans="1:11" ht="21.75">
      <c r="A195" s="153"/>
      <c r="B195" s="127"/>
      <c r="C195" s="127"/>
      <c r="D195" s="127"/>
      <c r="E195" s="127"/>
      <c r="F195" s="127"/>
      <c r="G195" s="134" t="s">
        <v>364</v>
      </c>
      <c r="H195" s="134" t="str">
        <f>IF(J194&gt;J177,A110,IF(J194&lt;J177,A111))</f>
        <v>&lt;</v>
      </c>
      <c r="I195" s="134" t="s">
        <v>357</v>
      </c>
      <c r="J195" s="127"/>
      <c r="K195" s="266" t="str">
        <f>IF(J194&lt;J177,M83,IF(J194&gt;J177,M84))</f>
        <v>OK.</v>
      </c>
    </row>
    <row r="196" spans="1:11" ht="21.75">
      <c r="A196" s="153"/>
      <c r="B196" s="127"/>
      <c r="C196" s="127"/>
      <c r="D196" s="127"/>
      <c r="E196" s="127"/>
      <c r="F196" s="127"/>
      <c r="G196" s="134"/>
      <c r="H196" s="134"/>
      <c r="I196" s="134"/>
      <c r="J196" s="127"/>
      <c r="K196" s="266"/>
    </row>
    <row r="197" spans="1:11" ht="21.75">
      <c r="A197" s="153"/>
      <c r="B197" s="127"/>
      <c r="C197" s="127"/>
      <c r="D197" s="127"/>
      <c r="E197" s="127"/>
      <c r="F197" s="127"/>
      <c r="G197" s="134"/>
      <c r="H197" s="134"/>
      <c r="I197" s="134"/>
      <c r="J197" s="127"/>
      <c r="K197" s="266"/>
    </row>
    <row r="198" spans="1:11" ht="21.75">
      <c r="A198" s="153"/>
      <c r="B198" s="127"/>
      <c r="C198" s="127"/>
      <c r="D198" s="127"/>
      <c r="E198" s="127"/>
      <c r="F198" s="127"/>
      <c r="G198" s="134"/>
      <c r="H198" s="134"/>
      <c r="I198" s="134"/>
      <c r="J198" s="127"/>
      <c r="K198" s="266"/>
    </row>
    <row r="199" spans="1:11" ht="21.75">
      <c r="A199" s="153"/>
      <c r="B199" s="127"/>
      <c r="C199" s="127"/>
      <c r="D199" s="127"/>
      <c r="E199" s="127"/>
      <c r="F199" s="127"/>
      <c r="G199" s="134"/>
      <c r="H199" s="134"/>
      <c r="I199" s="134"/>
      <c r="J199" s="127"/>
      <c r="K199" s="266"/>
    </row>
    <row r="200" spans="1:11" ht="21.75">
      <c r="A200" s="153"/>
      <c r="B200" s="127"/>
      <c r="C200" s="127"/>
      <c r="D200" s="127"/>
      <c r="E200" s="127"/>
      <c r="F200" s="127"/>
      <c r="G200" s="134"/>
      <c r="H200" s="134"/>
      <c r="I200" s="134"/>
      <c r="J200" s="127"/>
      <c r="K200" s="266"/>
    </row>
    <row r="201" spans="1:11" ht="21.75">
      <c r="A201" s="153"/>
      <c r="B201" s="127"/>
      <c r="C201" s="127"/>
      <c r="D201" s="127"/>
      <c r="E201" s="127"/>
      <c r="F201" s="127"/>
      <c r="G201" s="134"/>
      <c r="H201" s="134"/>
      <c r="I201" s="134"/>
      <c r="J201" s="127"/>
      <c r="K201" s="266"/>
    </row>
    <row r="202" spans="1:11" ht="21.75">
      <c r="A202" s="153"/>
      <c r="B202" s="127"/>
      <c r="C202" s="127"/>
      <c r="D202" s="127"/>
      <c r="E202" s="127"/>
      <c r="F202" s="127"/>
      <c r="G202" s="134"/>
      <c r="H202" s="134"/>
      <c r="I202" s="134"/>
      <c r="J202" s="127"/>
      <c r="K202" s="266"/>
    </row>
    <row r="203" spans="1:11" ht="21.75">
      <c r="A203" s="153"/>
      <c r="B203" s="127"/>
      <c r="C203" s="127"/>
      <c r="D203" s="127"/>
      <c r="E203" s="127"/>
      <c r="F203" s="127"/>
      <c r="G203" s="134"/>
      <c r="H203" s="134"/>
      <c r="I203" s="134"/>
      <c r="J203" s="127"/>
      <c r="K203" s="266"/>
    </row>
    <row r="204" spans="1:11" ht="21.75">
      <c r="A204" s="153"/>
      <c r="B204" s="127"/>
      <c r="C204" s="127"/>
      <c r="D204" s="127"/>
      <c r="E204" s="127"/>
      <c r="F204" s="127"/>
      <c r="G204" s="134"/>
      <c r="H204" s="134"/>
      <c r="I204" s="134"/>
      <c r="J204" s="127"/>
      <c r="K204" s="266"/>
    </row>
    <row r="205" spans="1:11" ht="21.75">
      <c r="A205" s="153"/>
      <c r="B205" s="127"/>
      <c r="C205" s="127"/>
      <c r="D205" s="127"/>
      <c r="E205" s="127"/>
      <c r="F205" s="127"/>
      <c r="G205" s="134"/>
      <c r="H205" s="134"/>
      <c r="I205" s="134"/>
      <c r="J205" s="127"/>
      <c r="K205" s="266"/>
    </row>
    <row r="206" spans="1:11" ht="21.75">
      <c r="A206" s="153"/>
      <c r="B206" s="127"/>
      <c r="C206" s="127"/>
      <c r="D206" s="127"/>
      <c r="E206" s="127"/>
      <c r="F206" s="127"/>
      <c r="G206" s="134"/>
      <c r="H206" s="134"/>
      <c r="I206" s="134"/>
      <c r="J206" s="127"/>
      <c r="K206" s="266"/>
    </row>
    <row r="207" spans="1:11" ht="21.75">
      <c r="A207" s="153"/>
      <c r="B207" s="127"/>
      <c r="C207" s="127"/>
      <c r="D207" s="127"/>
      <c r="E207" s="127"/>
      <c r="F207" s="127"/>
      <c r="G207" s="134"/>
      <c r="H207" s="134"/>
      <c r="I207" s="134"/>
      <c r="J207" s="127"/>
      <c r="K207" s="266"/>
    </row>
    <row r="208" spans="1:11" ht="22.5" thickBot="1">
      <c r="A208" s="157"/>
      <c r="B208" s="479" t="str">
        <f>+F6</f>
        <v>I. 0.40x0.40 (1232) x 18.00 m.</v>
      </c>
      <c r="C208" s="479"/>
      <c r="D208" s="351" t="str">
        <f>+I6</f>
        <v>(KING PILE)</v>
      </c>
      <c r="E208" s="307" t="s">
        <v>442</v>
      </c>
      <c r="F208" s="158"/>
      <c r="G208" s="158"/>
      <c r="H208" s="158"/>
      <c r="I208" s="158"/>
      <c r="J208" s="158"/>
      <c r="K208" s="159"/>
    </row>
    <row r="209" spans="1:11" ht="23.25">
      <c r="A209" s="249" t="s">
        <v>181</v>
      </c>
      <c r="B209" s="250"/>
      <c r="C209" s="145"/>
      <c r="D209" s="145"/>
      <c r="E209" s="145"/>
      <c r="F209" s="145"/>
      <c r="G209" s="145"/>
      <c r="H209" s="145"/>
      <c r="I209" s="145"/>
      <c r="J209" s="145"/>
      <c r="K209" s="152"/>
    </row>
    <row r="210" spans="1:11" ht="21.75">
      <c r="A210" s="153"/>
      <c r="B210" s="127"/>
      <c r="C210" s="127" t="s">
        <v>182</v>
      </c>
      <c r="D210" s="127"/>
      <c r="E210" s="134" t="s">
        <v>385</v>
      </c>
      <c r="F210" s="127" t="s">
        <v>183</v>
      </c>
      <c r="G210" s="127"/>
      <c r="H210" s="127"/>
      <c r="I210" s="134" t="s">
        <v>385</v>
      </c>
      <c r="J210" s="166">
        <f>J11*100/360</f>
        <v>5</v>
      </c>
      <c r="K210" s="151" t="s">
        <v>14</v>
      </c>
    </row>
    <row r="211" spans="1:11" ht="21.75">
      <c r="A211" s="153"/>
      <c r="B211" s="127"/>
      <c r="C211" s="134" t="s">
        <v>286</v>
      </c>
      <c r="D211" s="134" t="s">
        <v>385</v>
      </c>
      <c r="E211" s="127" t="s">
        <v>184</v>
      </c>
      <c r="F211" s="127"/>
      <c r="G211" s="127"/>
      <c r="H211" s="127"/>
      <c r="I211" s="134" t="s">
        <v>385</v>
      </c>
      <c r="J211" s="166">
        <f>J66</f>
        <v>104411.65098569986</v>
      </c>
      <c r="K211" s="151" t="s">
        <v>42</v>
      </c>
    </row>
    <row r="212" spans="1:11" ht="21.75">
      <c r="A212" s="153"/>
      <c r="B212" s="127"/>
      <c r="C212" s="134" t="s">
        <v>388</v>
      </c>
      <c r="D212" s="134" t="s">
        <v>385</v>
      </c>
      <c r="E212" s="127" t="s">
        <v>174</v>
      </c>
      <c r="F212" s="127"/>
      <c r="G212" s="127"/>
      <c r="H212" s="127"/>
      <c r="I212" s="134" t="s">
        <v>385</v>
      </c>
      <c r="J212" s="280">
        <f>J51</f>
        <v>2.2857142857142847</v>
      </c>
      <c r="K212" s="151" t="s">
        <v>14</v>
      </c>
    </row>
    <row r="213" spans="1:11" ht="24.75">
      <c r="A213" s="153"/>
      <c r="B213" s="127" t="s">
        <v>185</v>
      </c>
      <c r="C213" s="127"/>
      <c r="D213" s="127"/>
      <c r="E213" s="127"/>
      <c r="F213" s="165" t="s">
        <v>365</v>
      </c>
      <c r="G213" s="127"/>
      <c r="H213" s="127"/>
      <c r="I213" s="134" t="s">
        <v>385</v>
      </c>
      <c r="J213" s="280">
        <f>(J211*J212*(J11*100)^2)/(8*J25*J14)</f>
        <v>1.8419423630530078</v>
      </c>
      <c r="K213" s="151" t="s">
        <v>14</v>
      </c>
    </row>
    <row r="214" spans="1:11" ht="21.75">
      <c r="A214" s="153"/>
      <c r="B214" s="127" t="s">
        <v>186</v>
      </c>
      <c r="C214" s="127"/>
      <c r="D214" s="127"/>
      <c r="E214" s="127"/>
      <c r="F214" s="165" t="s">
        <v>366</v>
      </c>
      <c r="G214" s="127"/>
      <c r="H214" s="127"/>
      <c r="I214" s="134" t="s">
        <v>385</v>
      </c>
      <c r="J214" s="280">
        <f>1.8*J213</f>
        <v>3.315496253495414</v>
      </c>
      <c r="K214" s="151" t="s">
        <v>14</v>
      </c>
    </row>
    <row r="215" spans="1:11" ht="21.75">
      <c r="A215" s="153"/>
      <c r="B215" s="127"/>
      <c r="C215" s="127"/>
      <c r="D215" s="127"/>
      <c r="E215" s="127"/>
      <c r="F215" s="127"/>
      <c r="G215" s="127"/>
      <c r="H215" s="155" t="s">
        <v>186</v>
      </c>
      <c r="I215" s="134" t="str">
        <f>IF(J214&lt;J210,A111,IF(J214&gt;J210,A110))</f>
        <v>&lt;</v>
      </c>
      <c r="J215" s="127" t="s">
        <v>183</v>
      </c>
      <c r="K215" s="266" t="str">
        <f>IF(J214&lt;J210,M83,IF(J214&gt;J210,M84))</f>
        <v>OK.</v>
      </c>
    </row>
    <row r="216" spans="1:11" ht="21.75">
      <c r="A216" s="153"/>
      <c r="B216" s="127"/>
      <c r="C216" s="281" t="s">
        <v>187</v>
      </c>
      <c r="D216" s="127"/>
      <c r="E216" s="127"/>
      <c r="F216" s="127"/>
      <c r="G216" s="127"/>
      <c r="H216" s="127"/>
      <c r="I216" s="127"/>
      <c r="J216" s="127"/>
      <c r="K216" s="266"/>
    </row>
    <row r="217" spans="1:11" ht="24.75">
      <c r="A217" s="153"/>
      <c r="B217" s="127" t="s">
        <v>188</v>
      </c>
      <c r="C217" s="127"/>
      <c r="D217" s="127"/>
      <c r="E217" s="127" t="s">
        <v>367</v>
      </c>
      <c r="F217" s="127"/>
      <c r="G217" s="127"/>
      <c r="H217" s="127"/>
      <c r="I217" s="134" t="s">
        <v>385</v>
      </c>
      <c r="J217" s="164">
        <f>(5/100)*(5*(J13/100)*(J11*100)^4)/(384*J25*J14)</f>
        <v>0.3850976441295101</v>
      </c>
      <c r="K217" s="151" t="s">
        <v>14</v>
      </c>
    </row>
    <row r="218" spans="1:11" ht="21.75">
      <c r="A218" s="153"/>
      <c r="B218" s="127" t="s">
        <v>189</v>
      </c>
      <c r="C218" s="127"/>
      <c r="D218" s="127"/>
      <c r="E218" s="127" t="s">
        <v>190</v>
      </c>
      <c r="F218" s="127"/>
      <c r="G218" s="127"/>
      <c r="H218" s="127"/>
      <c r="I218" s="134" t="s">
        <v>385</v>
      </c>
      <c r="J218" s="164">
        <f>1.85*J217</f>
        <v>0.7124306416395937</v>
      </c>
      <c r="K218" s="151" t="s">
        <v>14</v>
      </c>
    </row>
    <row r="219" spans="1:11" ht="21.75">
      <c r="A219" s="153"/>
      <c r="B219" s="127" t="s">
        <v>191</v>
      </c>
      <c r="C219" s="127"/>
      <c r="D219" s="127"/>
      <c r="E219" s="127"/>
      <c r="F219" s="127"/>
      <c r="G219" s="127"/>
      <c r="H219" s="127"/>
      <c r="I219" s="134" t="s">
        <v>385</v>
      </c>
      <c r="J219" s="166">
        <f>J218-J214</f>
        <v>-2.60306561185582</v>
      </c>
      <c r="K219" s="151" t="s">
        <v>14</v>
      </c>
    </row>
    <row r="220" spans="1:11" ht="21.75">
      <c r="A220" s="153"/>
      <c r="B220" s="127"/>
      <c r="C220" s="127"/>
      <c r="D220" s="127"/>
      <c r="E220" s="127"/>
      <c r="F220" s="127"/>
      <c r="G220" s="127"/>
      <c r="H220" s="155" t="s">
        <v>192</v>
      </c>
      <c r="I220" s="134" t="str">
        <f>IF(J219&lt;J210,A111,IF(J219&gt;J210,A110))</f>
        <v>&lt;</v>
      </c>
      <c r="J220" s="127" t="s">
        <v>183</v>
      </c>
      <c r="K220" s="266" t="str">
        <f>IF(J219&lt;J210,M83,IF(J219&gt;J210,M84))</f>
        <v>OK.</v>
      </c>
    </row>
    <row r="221" spans="1:11" ht="21.75">
      <c r="A221" s="153"/>
      <c r="B221" s="127"/>
      <c r="C221" s="127"/>
      <c r="D221" s="127"/>
      <c r="E221" s="127"/>
      <c r="F221" s="127"/>
      <c r="G221" s="127"/>
      <c r="H221" s="127"/>
      <c r="I221" s="127"/>
      <c r="J221" s="127"/>
      <c r="K221" s="151"/>
    </row>
    <row r="222" spans="1:11" ht="23.25">
      <c r="A222" s="239"/>
      <c r="B222" s="282" t="s">
        <v>252</v>
      </c>
      <c r="C222" s="240"/>
      <c r="D222" s="240"/>
      <c r="E222" s="240"/>
      <c r="F222" s="240"/>
      <c r="G222" s="240"/>
      <c r="H222" s="240"/>
      <c r="I222" s="240"/>
      <c r="J222" s="240"/>
      <c r="K222" s="283"/>
    </row>
    <row r="223" spans="1:11" ht="21.75">
      <c r="A223" s="153"/>
      <c r="B223" s="127"/>
      <c r="C223" s="127"/>
      <c r="D223" s="127"/>
      <c r="E223" s="127"/>
      <c r="F223" s="127"/>
      <c r="G223" s="127"/>
      <c r="H223" s="127"/>
      <c r="I223" s="127"/>
      <c r="J223" s="127"/>
      <c r="K223" s="151"/>
    </row>
    <row r="224" spans="1:11" ht="21.75">
      <c r="A224" s="244"/>
      <c r="B224" s="139"/>
      <c r="C224" s="139"/>
      <c r="D224" s="139"/>
      <c r="E224" s="139"/>
      <c r="F224" s="139"/>
      <c r="G224" s="139"/>
      <c r="H224" s="139"/>
      <c r="I224" s="139"/>
      <c r="J224" s="139"/>
      <c r="K224" s="284"/>
    </row>
    <row r="225" spans="1:11" ht="21.75">
      <c r="A225" s="153"/>
      <c r="B225" s="127"/>
      <c r="C225" s="127"/>
      <c r="D225" s="127"/>
      <c r="E225" s="127"/>
      <c r="F225" s="127"/>
      <c r="G225" s="127"/>
      <c r="H225" s="127"/>
      <c r="I225" s="127"/>
      <c r="J225" s="127"/>
      <c r="K225" s="151"/>
    </row>
    <row r="226" spans="1:11" ht="21.75">
      <c r="A226" s="153"/>
      <c r="B226" s="127"/>
      <c r="C226" s="127"/>
      <c r="D226" s="127"/>
      <c r="E226" s="26"/>
      <c r="F226" s="26"/>
      <c r="G226" s="26"/>
      <c r="H226" s="26"/>
      <c r="I226" s="127"/>
      <c r="J226" s="127"/>
      <c r="K226" s="151"/>
    </row>
    <row r="227" spans="1:11" ht="21.75">
      <c r="A227" s="153"/>
      <c r="B227" s="127"/>
      <c r="C227" s="127"/>
      <c r="D227" s="127"/>
      <c r="E227" s="26"/>
      <c r="F227" s="26"/>
      <c r="G227" s="26"/>
      <c r="H227" s="26"/>
      <c r="I227" s="127"/>
      <c r="J227" s="127"/>
      <c r="K227" s="151"/>
    </row>
    <row r="228" spans="1:11" ht="21.75">
      <c r="A228" s="153"/>
      <c r="B228" s="127"/>
      <c r="C228" s="127"/>
      <c r="D228" s="127"/>
      <c r="E228" s="116" t="s">
        <v>374</v>
      </c>
      <c r="F228" s="116"/>
      <c r="G228" s="117"/>
      <c r="H228" s="116" t="s">
        <v>375</v>
      </c>
      <c r="I228" s="142"/>
      <c r="J228" s="143"/>
      <c r="K228" s="151"/>
    </row>
    <row r="229" spans="1:11" ht="21.75">
      <c r="A229" s="153"/>
      <c r="B229" s="127"/>
      <c r="C229" s="127"/>
      <c r="D229" s="127"/>
      <c r="E229" s="116" t="s">
        <v>376</v>
      </c>
      <c r="F229" s="116"/>
      <c r="G229" s="117"/>
      <c r="H229" s="285" t="s">
        <v>377</v>
      </c>
      <c r="I229" s="142"/>
      <c r="J229" s="143"/>
      <c r="K229" s="151"/>
    </row>
    <row r="230" spans="1:11" ht="21.75">
      <c r="A230" s="153"/>
      <c r="B230" s="127"/>
      <c r="C230" s="127"/>
      <c r="D230" s="127"/>
      <c r="E230" s="127"/>
      <c r="F230" s="127"/>
      <c r="G230" s="127"/>
      <c r="H230" s="127"/>
      <c r="I230" s="127"/>
      <c r="J230" s="127"/>
      <c r="K230" s="151"/>
    </row>
    <row r="231" spans="1:11" ht="21.75">
      <c r="A231" s="153"/>
      <c r="B231" s="127"/>
      <c r="C231" s="127"/>
      <c r="D231" s="127"/>
      <c r="E231" s="127"/>
      <c r="F231" s="127"/>
      <c r="G231" s="127"/>
      <c r="H231" s="127"/>
      <c r="I231" s="127"/>
      <c r="J231" s="127"/>
      <c r="K231" s="151"/>
    </row>
    <row r="232" spans="1:11" ht="21.75">
      <c r="A232" s="153"/>
      <c r="B232" s="127"/>
      <c r="C232" s="127"/>
      <c r="D232" s="127"/>
      <c r="E232" s="127"/>
      <c r="F232" s="127"/>
      <c r="G232" s="127"/>
      <c r="H232" s="127"/>
      <c r="I232" s="127"/>
      <c r="J232" s="127"/>
      <c r="K232" s="151"/>
    </row>
    <row r="233" spans="1:11" ht="21.75">
      <c r="A233" s="153"/>
      <c r="B233" s="127"/>
      <c r="C233" s="127"/>
      <c r="D233" s="127"/>
      <c r="E233" s="127"/>
      <c r="F233" s="127"/>
      <c r="G233" s="127"/>
      <c r="H233" s="127"/>
      <c r="I233" s="127"/>
      <c r="J233" s="127"/>
      <c r="K233" s="151"/>
    </row>
    <row r="234" spans="1:11" ht="21.75">
      <c r="A234" s="153"/>
      <c r="B234" s="127"/>
      <c r="C234" s="127"/>
      <c r="D234" s="127"/>
      <c r="K234" s="151"/>
    </row>
    <row r="235" spans="1:11" ht="21.75">
      <c r="A235" s="153"/>
      <c r="B235" s="127"/>
      <c r="C235" s="127"/>
      <c r="D235" s="127"/>
      <c r="K235" s="151"/>
    </row>
    <row r="236" spans="1:11" ht="21.75">
      <c r="A236" s="153"/>
      <c r="B236" s="127"/>
      <c r="C236" s="127"/>
      <c r="D236" s="127"/>
      <c r="E236" s="127"/>
      <c r="F236" s="127"/>
      <c r="G236" s="127"/>
      <c r="H236" s="127"/>
      <c r="I236" s="127"/>
      <c r="J236" s="127"/>
      <c r="K236" s="151"/>
    </row>
    <row r="237" spans="1:11" ht="21.75">
      <c r="A237" s="153"/>
      <c r="B237" s="127"/>
      <c r="C237" s="127"/>
      <c r="D237" s="127"/>
      <c r="E237" s="127"/>
      <c r="F237" s="127"/>
      <c r="G237" s="127"/>
      <c r="H237" s="127"/>
      <c r="I237" s="127"/>
      <c r="J237" s="127"/>
      <c r="K237" s="151"/>
    </row>
    <row r="238" spans="1:11" ht="21.75">
      <c r="A238" s="153"/>
      <c r="B238" s="127"/>
      <c r="C238" s="127"/>
      <c r="D238" s="127"/>
      <c r="E238" s="127"/>
      <c r="F238" s="127"/>
      <c r="G238" s="127"/>
      <c r="H238" s="127"/>
      <c r="I238" s="127"/>
      <c r="J238" s="127"/>
      <c r="K238" s="151"/>
    </row>
    <row r="239" spans="1:11" ht="21.75">
      <c r="A239" s="153"/>
      <c r="B239" s="127"/>
      <c r="C239" s="127"/>
      <c r="D239" s="127"/>
      <c r="E239" s="6"/>
      <c r="F239" s="6"/>
      <c r="G239" s="6"/>
      <c r="H239" s="6"/>
      <c r="I239" s="127"/>
      <c r="J239" s="127"/>
      <c r="K239" s="151"/>
    </row>
    <row r="240" spans="1:11" ht="21.75">
      <c r="A240" s="153"/>
      <c r="B240" s="127"/>
      <c r="C240" s="127"/>
      <c r="D240" s="127"/>
      <c r="K240" s="151"/>
    </row>
    <row r="241" spans="1:11" ht="21.75">
      <c r="A241" s="153"/>
      <c r="B241" s="127"/>
      <c r="C241" s="127"/>
      <c r="D241" s="127"/>
      <c r="K241" s="151"/>
    </row>
    <row r="242" spans="1:11" ht="21.75">
      <c r="A242" s="153"/>
      <c r="B242" s="127"/>
      <c r="C242" s="127"/>
      <c r="D242" s="127"/>
      <c r="E242" s="6"/>
      <c r="F242" s="6"/>
      <c r="G242" s="6"/>
      <c r="H242" s="6"/>
      <c r="I242" s="127"/>
      <c r="J242" s="127"/>
      <c r="K242" s="151"/>
    </row>
    <row r="243" spans="1:11" ht="21.75">
      <c r="A243" s="153"/>
      <c r="B243" s="127"/>
      <c r="C243" s="127"/>
      <c r="D243" s="127"/>
      <c r="E243" s="127"/>
      <c r="F243" s="127"/>
      <c r="G243" s="127"/>
      <c r="H243" s="127"/>
      <c r="I243" s="127"/>
      <c r="J243" s="127"/>
      <c r="K243" s="151"/>
    </row>
    <row r="244" spans="1:11" ht="21.75">
      <c r="A244" s="153"/>
      <c r="B244" s="127"/>
      <c r="C244" s="127"/>
      <c r="D244" s="127"/>
      <c r="E244" s="127"/>
      <c r="F244" s="127"/>
      <c r="G244" s="127"/>
      <c r="H244" s="127"/>
      <c r="I244" s="127"/>
      <c r="J244" s="127"/>
      <c r="K244" s="151"/>
    </row>
    <row r="245" spans="1:11" ht="21.75">
      <c r="A245" s="153"/>
      <c r="B245" s="127"/>
      <c r="C245" s="127"/>
      <c r="D245" s="127"/>
      <c r="E245" s="127"/>
      <c r="F245" s="127"/>
      <c r="G245" s="127"/>
      <c r="H245" s="127"/>
      <c r="I245" s="127"/>
      <c r="J245" s="127"/>
      <c r="K245" s="151"/>
    </row>
    <row r="246" spans="1:11" ht="21.75">
      <c r="A246" s="153"/>
      <c r="B246" s="127"/>
      <c r="C246" s="127"/>
      <c r="D246" s="127"/>
      <c r="K246" s="151"/>
    </row>
    <row r="247" spans="1:11" ht="21.75">
      <c r="A247" s="153"/>
      <c r="B247" s="127"/>
      <c r="C247" s="127"/>
      <c r="D247" s="127"/>
      <c r="K247" s="151"/>
    </row>
    <row r="248" spans="1:11" ht="21.75">
      <c r="A248" s="153"/>
      <c r="B248" s="127"/>
      <c r="C248" s="127"/>
      <c r="D248" s="127"/>
      <c r="E248" s="127"/>
      <c r="F248" s="127"/>
      <c r="G248" s="127"/>
      <c r="H248" s="127"/>
      <c r="I248" s="127"/>
      <c r="J248" s="127"/>
      <c r="K248" s="151"/>
    </row>
    <row r="249" spans="1:11" ht="22.5" thickBot="1">
      <c r="A249" s="157"/>
      <c r="B249" s="478" t="str">
        <f>+F6</f>
        <v>I. 0.40x0.40 (1232) x 18.00 m.</v>
      </c>
      <c r="C249" s="478"/>
      <c r="D249" s="350" t="str">
        <f>+I6</f>
        <v>(KING PILE)</v>
      </c>
      <c r="E249" s="329" t="s">
        <v>443</v>
      </c>
      <c r="F249" s="158"/>
      <c r="G249" s="158"/>
      <c r="H249" s="158"/>
      <c r="I249" s="158"/>
      <c r="J249" s="158"/>
      <c r="K249" s="159"/>
    </row>
  </sheetData>
  <sheetProtection/>
  <mergeCells count="19">
    <mergeCell ref="B73:D74"/>
    <mergeCell ref="B60:D60"/>
    <mergeCell ref="I60:K60"/>
    <mergeCell ref="I73:K73"/>
    <mergeCell ref="E73:F73"/>
    <mergeCell ref="G73:H73"/>
    <mergeCell ref="A4:K4"/>
    <mergeCell ref="E32:F32"/>
    <mergeCell ref="J32:K32"/>
    <mergeCell ref="C32:C33"/>
    <mergeCell ref="E8:K8"/>
    <mergeCell ref="A32:B34"/>
    <mergeCell ref="B86:C86"/>
    <mergeCell ref="B249:C249"/>
    <mergeCell ref="B167:C167"/>
    <mergeCell ref="B127:C127"/>
    <mergeCell ref="B208:C208"/>
    <mergeCell ref="E111:F111"/>
    <mergeCell ref="E121:F121"/>
  </mergeCells>
  <printOptions/>
  <pageMargins left="0.67" right="0.26" top="0.45" bottom="0.34" header="0.27" footer="0.21"/>
  <pageSetup horizontalDpi="300" verticalDpi="300" orientation="portrait" paperSize="9" scale="90" r:id="rId2"/>
  <rowBreaks count="6" manualBreakCount="6">
    <brk id="42" max="24" man="1"/>
    <brk id="86" max="24" man="1"/>
    <brk id="127" max="24" man="1"/>
    <brk id="167" max="24" man="1"/>
    <brk id="208" max="24" man="1"/>
    <brk id="249" max="24" man="1"/>
  </rowBreaks>
  <colBreaks count="1" manualBreakCount="1">
    <brk id="11" max="2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49"/>
  <sheetViews>
    <sheetView zoomScalePageLayoutView="0" workbookViewId="0" topLeftCell="A79">
      <selection activeCell="B223" sqref="B223"/>
    </sheetView>
  </sheetViews>
  <sheetFormatPr defaultColWidth="10.66015625" defaultRowHeight="21"/>
  <cols>
    <col min="1" max="1" width="2.33203125" style="128" customWidth="1"/>
    <col min="2" max="2" width="13.5" style="128" customWidth="1"/>
    <col min="3" max="3" width="12.33203125" style="128" customWidth="1"/>
    <col min="4" max="4" width="13.5" style="128" customWidth="1"/>
    <col min="5" max="5" width="11.66015625" style="128" bestFit="1" customWidth="1"/>
    <col min="6" max="6" width="11.5" style="128" customWidth="1"/>
    <col min="7" max="8" width="12.5" style="128" customWidth="1"/>
    <col min="9" max="9" width="11.66015625" style="128" customWidth="1"/>
    <col min="10" max="10" width="14.5" style="128" customWidth="1"/>
    <col min="11" max="11" width="10.66015625" style="128" customWidth="1"/>
    <col min="12" max="12" width="9.33203125" style="128" customWidth="1"/>
    <col min="13" max="13" width="12.66015625" style="128" customWidth="1"/>
    <col min="14" max="15" width="10.66015625" style="128" customWidth="1"/>
    <col min="16" max="16" width="14.5" style="128" customWidth="1"/>
    <col min="17" max="16384" width="10.66015625" style="128" customWidth="1"/>
  </cols>
  <sheetData>
    <row r="1" ht="26.25" customHeight="1"/>
    <row r="2" spans="1:12" ht="21.75">
      <c r="A2" s="127"/>
      <c r="B2" s="127"/>
      <c r="C2" s="127"/>
      <c r="D2" s="129"/>
      <c r="E2" s="127"/>
      <c r="F2" s="127"/>
      <c r="G2" s="127"/>
      <c r="H2" s="127"/>
      <c r="I2" s="127"/>
      <c r="J2" s="127"/>
      <c r="K2" s="127"/>
      <c r="L2" s="127"/>
    </row>
    <row r="3" spans="1:12" ht="12.75" customHeight="1">
      <c r="A3" s="127"/>
      <c r="B3" s="127"/>
      <c r="C3" s="127"/>
      <c r="D3" s="129"/>
      <c r="E3" s="127"/>
      <c r="F3" s="127"/>
      <c r="G3" s="127"/>
      <c r="H3" s="127"/>
      <c r="I3" s="127"/>
      <c r="J3" s="127"/>
      <c r="K3" s="127"/>
      <c r="L3" s="127"/>
    </row>
    <row r="4" spans="1:11" ht="23.25">
      <c r="A4" s="482" t="s">
        <v>32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</row>
    <row r="5" spans="3:11" ht="24" thickBot="1">
      <c r="C5" s="140"/>
      <c r="D5" s="140" t="s">
        <v>384</v>
      </c>
      <c r="E5" s="141">
        <f>+CERTIFICATE!A5</f>
        <v>0</v>
      </c>
      <c r="F5" s="140"/>
      <c r="G5" s="140"/>
      <c r="H5" s="140"/>
      <c r="I5" s="140"/>
      <c r="J5" s="140"/>
      <c r="K5" s="140"/>
    </row>
    <row r="6" spans="1:11" ht="23.25">
      <c r="A6" s="144"/>
      <c r="B6" s="145"/>
      <c r="C6" s="145"/>
      <c r="D6" s="146"/>
      <c r="E6" s="147" t="s">
        <v>273</v>
      </c>
      <c r="F6" s="146" t="s">
        <v>44</v>
      </c>
      <c r="G6" s="146"/>
      <c r="H6" s="146"/>
      <c r="I6" s="146" t="s">
        <v>34</v>
      </c>
      <c r="J6" s="146"/>
      <c r="K6" s="148"/>
    </row>
    <row r="7" spans="1:11" ht="24" thickBot="1">
      <c r="A7" s="149" t="s">
        <v>217</v>
      </c>
      <c r="B7" s="150"/>
      <c r="C7" s="127"/>
      <c r="D7" s="127"/>
      <c r="E7" s="127"/>
      <c r="F7" s="127"/>
      <c r="G7" s="127"/>
      <c r="H7" s="127"/>
      <c r="I7" s="127"/>
      <c r="J7" s="127"/>
      <c r="K7" s="151"/>
    </row>
    <row r="8" spans="1:11" ht="17.25" customHeight="1">
      <c r="A8" s="144"/>
      <c r="B8" s="145"/>
      <c r="C8" s="145"/>
      <c r="D8" s="152"/>
      <c r="E8" s="488" t="s">
        <v>68</v>
      </c>
      <c r="F8" s="488"/>
      <c r="G8" s="488"/>
      <c r="H8" s="488"/>
      <c r="I8" s="488"/>
      <c r="J8" s="488"/>
      <c r="K8" s="489"/>
    </row>
    <row r="9" spans="1:11" ht="17.25" customHeight="1">
      <c r="A9" s="153"/>
      <c r="B9" s="127"/>
      <c r="C9" s="127"/>
      <c r="D9" s="151"/>
      <c r="E9" s="154" t="s">
        <v>69</v>
      </c>
      <c r="F9" s="286" t="s">
        <v>70</v>
      </c>
      <c r="G9" s="286" t="s">
        <v>71</v>
      </c>
      <c r="H9" s="286" t="s">
        <v>72</v>
      </c>
      <c r="I9" s="286" t="s">
        <v>73</v>
      </c>
      <c r="J9" s="286" t="s">
        <v>74</v>
      </c>
      <c r="K9" s="287" t="s">
        <v>75</v>
      </c>
    </row>
    <row r="10" spans="1:13" ht="17.25" customHeight="1">
      <c r="A10" s="153"/>
      <c r="B10" s="127"/>
      <c r="C10" s="127"/>
      <c r="D10" s="151"/>
      <c r="E10" s="331">
        <v>35</v>
      </c>
      <c r="F10" s="332">
        <v>0</v>
      </c>
      <c r="G10" s="332">
        <v>0</v>
      </c>
      <c r="H10" s="333">
        <v>35</v>
      </c>
      <c r="I10" s="332">
        <v>0</v>
      </c>
      <c r="J10" s="332">
        <v>0</v>
      </c>
      <c r="K10" s="334">
        <v>0</v>
      </c>
      <c r="M10" s="305">
        <f>+IF(G10&gt;0,G10,IF(G10=0,E10))</f>
        <v>35</v>
      </c>
    </row>
    <row r="11" spans="1:11" ht="21.75">
      <c r="A11" s="153"/>
      <c r="B11" s="127"/>
      <c r="C11" s="127"/>
      <c r="D11" s="151"/>
      <c r="E11" s="127"/>
      <c r="F11" s="127" t="s">
        <v>208</v>
      </c>
      <c r="G11" s="127"/>
      <c r="I11" s="135" t="s">
        <v>419</v>
      </c>
      <c r="J11" s="330">
        <v>18</v>
      </c>
      <c r="K11" s="151" t="s">
        <v>274</v>
      </c>
    </row>
    <row r="12" spans="1:11" ht="24.75">
      <c r="A12" s="153"/>
      <c r="B12" s="127"/>
      <c r="C12" s="127"/>
      <c r="D12" s="151"/>
      <c r="E12" s="127"/>
      <c r="F12" s="127" t="s">
        <v>209</v>
      </c>
      <c r="G12" s="127"/>
      <c r="I12" s="135" t="s">
        <v>420</v>
      </c>
      <c r="J12" s="330">
        <v>1225</v>
      </c>
      <c r="K12" s="151" t="s">
        <v>275</v>
      </c>
    </row>
    <row r="13" spans="1:11" ht="21.75">
      <c r="A13" s="153"/>
      <c r="B13" s="127"/>
      <c r="C13" s="127"/>
      <c r="D13" s="151"/>
      <c r="E13" s="127"/>
      <c r="F13" s="127" t="s">
        <v>210</v>
      </c>
      <c r="G13" s="127"/>
      <c r="I13" s="135" t="s">
        <v>444</v>
      </c>
      <c r="J13" s="156">
        <f>+J12*0.24</f>
        <v>294</v>
      </c>
      <c r="K13" s="151" t="s">
        <v>276</v>
      </c>
    </row>
    <row r="14" spans="1:11" ht="24.75">
      <c r="A14" s="153"/>
      <c r="B14" s="127"/>
      <c r="C14" s="127"/>
      <c r="D14" s="151"/>
      <c r="E14" s="127"/>
      <c r="F14" s="127" t="s">
        <v>211</v>
      </c>
      <c r="G14" s="127"/>
      <c r="I14" s="135" t="s">
        <v>421</v>
      </c>
      <c r="J14" s="330">
        <v>125052</v>
      </c>
      <c r="K14" s="151" t="s">
        <v>277</v>
      </c>
    </row>
    <row r="15" spans="1:11" ht="24.75">
      <c r="A15" s="153"/>
      <c r="B15" s="127"/>
      <c r="C15" s="127"/>
      <c r="D15" s="151"/>
      <c r="E15" s="127"/>
      <c r="F15" s="127" t="s">
        <v>271</v>
      </c>
      <c r="G15" s="127"/>
      <c r="I15" s="135" t="s">
        <v>422</v>
      </c>
      <c r="J15" s="330">
        <v>7146</v>
      </c>
      <c r="K15" s="151" t="s">
        <v>278</v>
      </c>
    </row>
    <row r="16" spans="1:15" ht="21.75">
      <c r="A16" s="153"/>
      <c r="B16" s="127"/>
      <c r="C16" s="127"/>
      <c r="D16" s="151"/>
      <c r="E16" s="127"/>
      <c r="F16" s="127" t="s">
        <v>423</v>
      </c>
      <c r="G16" s="127"/>
      <c r="I16" s="135" t="s">
        <v>445</v>
      </c>
      <c r="J16" s="330">
        <v>7100</v>
      </c>
      <c r="K16" s="151" t="s">
        <v>279</v>
      </c>
      <c r="M16" s="127"/>
      <c r="N16" s="166"/>
      <c r="O16" s="127"/>
    </row>
    <row r="17" spans="1:15" ht="21.75">
      <c r="A17" s="153"/>
      <c r="B17" s="127"/>
      <c r="C17" s="127"/>
      <c r="D17" s="151"/>
      <c r="E17" s="127"/>
      <c r="F17" s="127" t="s">
        <v>424</v>
      </c>
      <c r="G17" s="127"/>
      <c r="I17" s="135" t="s">
        <v>448</v>
      </c>
      <c r="J17" s="156">
        <f>+J18-J16</f>
        <v>3700</v>
      </c>
      <c r="K17" s="151" t="s">
        <v>279</v>
      </c>
      <c r="M17" s="134"/>
      <c r="N17" s="166"/>
      <c r="O17" s="127"/>
    </row>
    <row r="18" spans="1:15" ht="21.75">
      <c r="A18" s="153"/>
      <c r="B18" s="127"/>
      <c r="C18" s="127"/>
      <c r="D18" s="151"/>
      <c r="E18" s="127"/>
      <c r="F18" s="127"/>
      <c r="G18" s="127"/>
      <c r="I18" s="135" t="s">
        <v>449</v>
      </c>
      <c r="J18" s="363">
        <v>10800</v>
      </c>
      <c r="K18" s="151" t="s">
        <v>279</v>
      </c>
      <c r="M18" s="127"/>
      <c r="N18" s="127"/>
      <c r="O18" s="127"/>
    </row>
    <row r="19" spans="1:15" ht="21.75">
      <c r="A19" s="153"/>
      <c r="B19" s="127"/>
      <c r="C19" s="127"/>
      <c r="D19" s="151"/>
      <c r="E19" s="127"/>
      <c r="F19" s="127" t="s">
        <v>212</v>
      </c>
      <c r="G19" s="127"/>
      <c r="I19" s="135" t="s">
        <v>450</v>
      </c>
      <c r="J19" s="330">
        <v>5000</v>
      </c>
      <c r="K19" s="151" t="s">
        <v>280</v>
      </c>
      <c r="M19" s="127"/>
      <c r="N19" s="127"/>
      <c r="O19" s="127"/>
    </row>
    <row r="20" spans="1:11" ht="22.5" thickBot="1">
      <c r="A20" s="157"/>
      <c r="B20" s="158"/>
      <c r="C20" s="158"/>
      <c r="D20" s="159"/>
      <c r="E20" s="158"/>
      <c r="F20" s="158"/>
      <c r="G20" s="158"/>
      <c r="H20" s="160"/>
      <c r="I20" s="158"/>
      <c r="J20" s="161"/>
      <c r="K20" s="159"/>
    </row>
    <row r="21" spans="1:11" ht="23.25">
      <c r="A21" s="149" t="s">
        <v>77</v>
      </c>
      <c r="B21" s="162"/>
      <c r="C21" s="127"/>
      <c r="D21" s="127"/>
      <c r="E21" s="127"/>
      <c r="F21" s="127"/>
      <c r="G21" s="127"/>
      <c r="H21" s="127"/>
      <c r="I21" s="127"/>
      <c r="J21" s="134"/>
      <c r="K21" s="151"/>
    </row>
    <row r="22" spans="1:11" ht="21.75">
      <c r="A22" s="153"/>
      <c r="B22" s="163" t="s">
        <v>215</v>
      </c>
      <c r="C22" s="127"/>
      <c r="D22" s="127"/>
      <c r="E22" s="127"/>
      <c r="F22" s="127"/>
      <c r="G22" s="127"/>
      <c r="H22" s="155" t="s">
        <v>213</v>
      </c>
      <c r="I22" s="134" t="s">
        <v>385</v>
      </c>
      <c r="J22" s="335">
        <v>400</v>
      </c>
      <c r="K22" s="151" t="s">
        <v>425</v>
      </c>
    </row>
    <row r="23" spans="1:11" ht="21.75">
      <c r="A23" s="153"/>
      <c r="B23" s="163" t="s">
        <v>218</v>
      </c>
      <c r="C23" s="127"/>
      <c r="D23" s="127"/>
      <c r="E23" s="127"/>
      <c r="F23" s="127"/>
      <c r="G23" s="127"/>
      <c r="H23" s="155" t="s">
        <v>214</v>
      </c>
      <c r="I23" s="134" t="s">
        <v>385</v>
      </c>
      <c r="J23" s="335">
        <f>+CERTIFICATE!J9</f>
        <v>280</v>
      </c>
      <c r="K23" s="151" t="s">
        <v>368</v>
      </c>
    </row>
    <row r="24" spans="1:11" ht="21.75">
      <c r="A24" s="153"/>
      <c r="B24" s="163" t="s">
        <v>216</v>
      </c>
      <c r="C24" s="127"/>
      <c r="D24" s="127"/>
      <c r="E24" s="127"/>
      <c r="F24" s="127"/>
      <c r="G24" s="127" t="s">
        <v>194</v>
      </c>
      <c r="H24" s="127"/>
      <c r="I24" s="134" t="s">
        <v>385</v>
      </c>
      <c r="J24" s="164">
        <f>15200*SQRT(J22)</f>
        <v>304000</v>
      </c>
      <c r="K24" s="151" t="s">
        <v>368</v>
      </c>
    </row>
    <row r="25" spans="1:11" ht="21.75">
      <c r="A25" s="153"/>
      <c r="B25" s="163" t="s">
        <v>272</v>
      </c>
      <c r="C25" s="127"/>
      <c r="D25" s="127"/>
      <c r="E25" s="127"/>
      <c r="F25" s="127"/>
      <c r="G25" s="127" t="s">
        <v>195</v>
      </c>
      <c r="H25" s="127"/>
      <c r="I25" s="134" t="s">
        <v>385</v>
      </c>
      <c r="J25" s="164">
        <f>15200*SQRT(J23)</f>
        <v>254344.64806635896</v>
      </c>
      <c r="K25" s="151" t="s">
        <v>368</v>
      </c>
    </row>
    <row r="26" spans="1:11" ht="21.75">
      <c r="A26" s="153"/>
      <c r="B26" s="163" t="s">
        <v>78</v>
      </c>
      <c r="C26" s="127"/>
      <c r="D26" s="127"/>
      <c r="E26" s="127" t="s">
        <v>79</v>
      </c>
      <c r="F26" s="127"/>
      <c r="G26" s="165" t="s">
        <v>196</v>
      </c>
      <c r="H26" s="165" t="s">
        <v>197</v>
      </c>
      <c r="I26" s="134" t="s">
        <v>385</v>
      </c>
      <c r="J26" s="166">
        <f>0.6*J23</f>
        <v>168</v>
      </c>
      <c r="K26" s="151" t="s">
        <v>368</v>
      </c>
    </row>
    <row r="27" spans="1:11" ht="21.75">
      <c r="A27" s="153"/>
      <c r="B27" s="127"/>
      <c r="C27" s="127"/>
      <c r="D27" s="127"/>
      <c r="E27" s="127" t="s">
        <v>80</v>
      </c>
      <c r="F27" s="127"/>
      <c r="G27" s="165" t="s">
        <v>198</v>
      </c>
      <c r="H27" s="165" t="s">
        <v>451</v>
      </c>
      <c r="I27" s="134"/>
      <c r="J27" s="166">
        <f>0.795*SQRT(J23)</f>
        <v>13.302894421891802</v>
      </c>
      <c r="K27" s="151" t="s">
        <v>368</v>
      </c>
    </row>
    <row r="28" spans="1:11" ht="21.75">
      <c r="A28" s="153"/>
      <c r="B28" s="163" t="s">
        <v>81</v>
      </c>
      <c r="C28" s="127"/>
      <c r="D28" s="127"/>
      <c r="E28" s="127" t="s">
        <v>79</v>
      </c>
      <c r="F28" s="127"/>
      <c r="G28" s="165" t="s">
        <v>199</v>
      </c>
      <c r="H28" s="165" t="s">
        <v>200</v>
      </c>
      <c r="I28" s="134" t="s">
        <v>385</v>
      </c>
      <c r="J28" s="166">
        <f>0.45*J22</f>
        <v>180</v>
      </c>
      <c r="K28" s="151" t="s">
        <v>368</v>
      </c>
    </row>
    <row r="29" spans="1:11" ht="21.75">
      <c r="A29" s="153"/>
      <c r="B29" s="127"/>
      <c r="C29" s="127"/>
      <c r="D29" s="127"/>
      <c r="E29" s="127" t="s">
        <v>80</v>
      </c>
      <c r="F29" s="127"/>
      <c r="G29" s="165" t="s">
        <v>201</v>
      </c>
      <c r="H29" s="165" t="s">
        <v>452</v>
      </c>
      <c r="I29" s="127"/>
      <c r="J29" s="166">
        <f>1.59*SQRT(J22)</f>
        <v>31.8</v>
      </c>
      <c r="K29" s="151" t="s">
        <v>368</v>
      </c>
    </row>
    <row r="30" spans="1:11" ht="21.75">
      <c r="A30" s="153"/>
      <c r="B30" s="163" t="s">
        <v>82</v>
      </c>
      <c r="C30" s="127"/>
      <c r="D30" s="127"/>
      <c r="E30" s="127"/>
      <c r="F30" s="127"/>
      <c r="G30" s="165" t="s">
        <v>202</v>
      </c>
      <c r="H30" s="165" t="s">
        <v>203</v>
      </c>
      <c r="I30" s="134" t="s">
        <v>385</v>
      </c>
      <c r="J30" s="166">
        <f>0.33*J22</f>
        <v>132</v>
      </c>
      <c r="K30" s="151" t="s">
        <v>368</v>
      </c>
    </row>
    <row r="31" spans="1:11" ht="22.5" thickBot="1">
      <c r="A31" s="153"/>
      <c r="B31" s="163" t="s">
        <v>83</v>
      </c>
      <c r="C31" s="127"/>
      <c r="D31" s="127"/>
      <c r="E31" s="127"/>
      <c r="F31" s="127"/>
      <c r="G31" s="127"/>
      <c r="H31" s="134" t="s">
        <v>204</v>
      </c>
      <c r="I31" s="167" t="s">
        <v>385</v>
      </c>
      <c r="J31" s="346">
        <f>P39</f>
        <v>1978256.8</v>
      </c>
      <c r="K31" s="151" t="s">
        <v>368</v>
      </c>
    </row>
    <row r="32" spans="1:15" ht="18.75" customHeight="1">
      <c r="A32" s="490" t="s">
        <v>84</v>
      </c>
      <c r="B32" s="491"/>
      <c r="C32" s="486" t="s">
        <v>85</v>
      </c>
      <c r="D32" s="169" t="s">
        <v>86</v>
      </c>
      <c r="E32" s="483" t="s">
        <v>88</v>
      </c>
      <c r="F32" s="484"/>
      <c r="G32" s="169" t="s">
        <v>89</v>
      </c>
      <c r="H32" s="168" t="s">
        <v>90</v>
      </c>
      <c r="I32" s="169" t="s">
        <v>91</v>
      </c>
      <c r="J32" s="483" t="s">
        <v>92</v>
      </c>
      <c r="K32" s="485"/>
      <c r="O32" s="130" t="s">
        <v>219</v>
      </c>
    </row>
    <row r="33" spans="1:15" ht="18.75" customHeight="1">
      <c r="A33" s="492"/>
      <c r="B33" s="493"/>
      <c r="C33" s="487"/>
      <c r="D33" s="171" t="s">
        <v>253</v>
      </c>
      <c r="E33" s="172" t="s">
        <v>93</v>
      </c>
      <c r="F33" s="173" t="s">
        <v>94</v>
      </c>
      <c r="G33" s="171" t="s">
        <v>95</v>
      </c>
      <c r="H33" s="170" t="s">
        <v>96</v>
      </c>
      <c r="I33" s="171" t="s">
        <v>254</v>
      </c>
      <c r="J33" s="172" t="s">
        <v>255</v>
      </c>
      <c r="K33" s="174" t="s">
        <v>256</v>
      </c>
      <c r="O33" s="130" t="s">
        <v>220</v>
      </c>
    </row>
    <row r="34" spans="1:16" ht="18.75" customHeight="1" thickBot="1">
      <c r="A34" s="494"/>
      <c r="B34" s="495"/>
      <c r="C34" s="175" t="s">
        <v>257</v>
      </c>
      <c r="D34" s="176" t="s">
        <v>97</v>
      </c>
      <c r="E34" s="177" t="s">
        <v>98</v>
      </c>
      <c r="F34" s="175" t="s">
        <v>98</v>
      </c>
      <c r="G34" s="176" t="s">
        <v>42</v>
      </c>
      <c r="H34" s="175" t="s">
        <v>42</v>
      </c>
      <c r="I34" s="176" t="s">
        <v>257</v>
      </c>
      <c r="J34" s="177" t="s">
        <v>98</v>
      </c>
      <c r="K34" s="178" t="s">
        <v>98</v>
      </c>
      <c r="N34" s="128" t="s">
        <v>370</v>
      </c>
      <c r="O34" s="130" t="s">
        <v>258</v>
      </c>
      <c r="P34" s="130" t="s">
        <v>204</v>
      </c>
    </row>
    <row r="35" spans="1:16" ht="21.75">
      <c r="A35" s="179" t="s">
        <v>478</v>
      </c>
      <c r="B35" s="180"/>
      <c r="C35" s="181">
        <v>0.126</v>
      </c>
      <c r="D35" s="182">
        <v>18000</v>
      </c>
      <c r="E35" s="336">
        <v>0</v>
      </c>
      <c r="F35" s="336">
        <v>0</v>
      </c>
      <c r="G35" s="288">
        <f aca="true" t="shared" si="0" ref="G35:G41">C35*D35*$G$49</f>
        <v>1701</v>
      </c>
      <c r="H35" s="288">
        <f aca="true" t="shared" si="1" ref="H35:H41">C35*D35*(E35+F35)*$G$49</f>
        <v>0</v>
      </c>
      <c r="I35" s="288">
        <f aca="true" t="shared" si="2" ref="I35:I41">(E35+F35)*C35</f>
        <v>0</v>
      </c>
      <c r="J35" s="340">
        <v>0</v>
      </c>
      <c r="K35" s="183">
        <f aca="true" t="shared" si="3" ref="K35:K41">IF(J35=0,J35,IF(J35&gt;0,M35))</f>
        <v>0</v>
      </c>
      <c r="M35" s="184">
        <f aca="true" t="shared" si="4" ref="M35:M41">$H$10-J35</f>
        <v>35</v>
      </c>
      <c r="N35" s="361">
        <v>4</v>
      </c>
      <c r="O35" s="258">
        <v>200</v>
      </c>
      <c r="P35" s="359">
        <f aca="true" t="shared" si="5" ref="P35:P41">+O35*10197.2</f>
        <v>2039440.0000000002</v>
      </c>
    </row>
    <row r="36" spans="1:16" ht="21.75">
      <c r="A36" s="185" t="s">
        <v>479</v>
      </c>
      <c r="B36" s="186"/>
      <c r="C36" s="187">
        <v>0.196</v>
      </c>
      <c r="D36" s="188">
        <v>18000</v>
      </c>
      <c r="E36" s="337">
        <v>0</v>
      </c>
      <c r="F36" s="337">
        <v>0</v>
      </c>
      <c r="G36" s="222">
        <f t="shared" si="0"/>
        <v>2646</v>
      </c>
      <c r="H36" s="222">
        <f t="shared" si="1"/>
        <v>0</v>
      </c>
      <c r="I36" s="222">
        <f t="shared" si="2"/>
        <v>0</v>
      </c>
      <c r="J36" s="332">
        <v>0</v>
      </c>
      <c r="K36" s="190">
        <f t="shared" si="3"/>
        <v>0</v>
      </c>
      <c r="M36" s="191">
        <f t="shared" si="4"/>
        <v>35</v>
      </c>
      <c r="N36" s="361">
        <v>5</v>
      </c>
      <c r="O36" s="258">
        <v>200</v>
      </c>
      <c r="P36" s="359">
        <f t="shared" si="5"/>
        <v>2039440.0000000002</v>
      </c>
    </row>
    <row r="37" spans="1:16" ht="21.75">
      <c r="A37" s="185" t="s">
        <v>480</v>
      </c>
      <c r="B37" s="186"/>
      <c r="C37" s="187">
        <v>0.385</v>
      </c>
      <c r="D37" s="188">
        <v>17000</v>
      </c>
      <c r="E37" s="338">
        <v>0</v>
      </c>
      <c r="F37" s="338">
        <v>0</v>
      </c>
      <c r="G37" s="222">
        <f t="shared" si="0"/>
        <v>4908.75</v>
      </c>
      <c r="H37" s="222">
        <f t="shared" si="1"/>
        <v>0</v>
      </c>
      <c r="I37" s="222">
        <f t="shared" si="2"/>
        <v>0</v>
      </c>
      <c r="J37" s="332">
        <v>0</v>
      </c>
      <c r="K37" s="190">
        <f t="shared" si="3"/>
        <v>0</v>
      </c>
      <c r="M37" s="191">
        <f t="shared" si="4"/>
        <v>35</v>
      </c>
      <c r="N37" s="361">
        <v>7</v>
      </c>
      <c r="O37" s="258">
        <v>200</v>
      </c>
      <c r="P37" s="359">
        <f t="shared" si="5"/>
        <v>2039440.0000000002</v>
      </c>
    </row>
    <row r="38" spans="1:16" ht="21.75">
      <c r="A38" s="185" t="s">
        <v>481</v>
      </c>
      <c r="B38" s="186"/>
      <c r="C38" s="187">
        <v>0.516</v>
      </c>
      <c r="D38" s="188">
        <v>17500</v>
      </c>
      <c r="E38" s="338">
        <v>0</v>
      </c>
      <c r="F38" s="338">
        <v>0</v>
      </c>
      <c r="G38" s="222">
        <f t="shared" si="0"/>
        <v>6772.5</v>
      </c>
      <c r="H38" s="222">
        <f t="shared" si="1"/>
        <v>0</v>
      </c>
      <c r="I38" s="222">
        <f t="shared" si="2"/>
        <v>0</v>
      </c>
      <c r="J38" s="332">
        <v>0</v>
      </c>
      <c r="K38" s="190">
        <f t="shared" si="3"/>
        <v>0</v>
      </c>
      <c r="M38" s="191">
        <f t="shared" si="4"/>
        <v>35</v>
      </c>
      <c r="N38" s="361" t="s">
        <v>221</v>
      </c>
      <c r="O38" s="258">
        <v>192</v>
      </c>
      <c r="P38" s="359">
        <f t="shared" si="5"/>
        <v>1957862.4000000001</v>
      </c>
    </row>
    <row r="39" spans="1:16" ht="21.75">
      <c r="A39" s="185" t="s">
        <v>482</v>
      </c>
      <c r="B39" s="186"/>
      <c r="C39" s="187">
        <v>0.548</v>
      </c>
      <c r="D39" s="188">
        <v>19000</v>
      </c>
      <c r="E39" s="447">
        <v>8</v>
      </c>
      <c r="F39" s="447">
        <v>8</v>
      </c>
      <c r="G39" s="222">
        <f t="shared" si="0"/>
        <v>7809</v>
      </c>
      <c r="H39" s="222">
        <f t="shared" si="1"/>
        <v>124944</v>
      </c>
      <c r="I39" s="222">
        <f t="shared" si="2"/>
        <v>8.768</v>
      </c>
      <c r="J39" s="337">
        <v>5</v>
      </c>
      <c r="K39" s="190">
        <f t="shared" si="3"/>
        <v>30</v>
      </c>
      <c r="M39" s="191">
        <f t="shared" si="4"/>
        <v>30</v>
      </c>
      <c r="N39" s="361" t="s">
        <v>222</v>
      </c>
      <c r="O39" s="258">
        <v>194</v>
      </c>
      <c r="P39" s="359">
        <f t="shared" si="5"/>
        <v>1978256.8</v>
      </c>
    </row>
    <row r="40" spans="1:16" ht="21.75">
      <c r="A40" s="185" t="s">
        <v>483</v>
      </c>
      <c r="B40" s="186"/>
      <c r="C40" s="187">
        <v>0.929</v>
      </c>
      <c r="D40" s="188">
        <v>17500</v>
      </c>
      <c r="E40" s="338">
        <v>0</v>
      </c>
      <c r="F40" s="338">
        <v>0</v>
      </c>
      <c r="G40" s="222">
        <f t="shared" si="0"/>
        <v>12193.125</v>
      </c>
      <c r="H40" s="222">
        <f t="shared" si="1"/>
        <v>0</v>
      </c>
      <c r="I40" s="222">
        <f t="shared" si="2"/>
        <v>0</v>
      </c>
      <c r="J40" s="332">
        <v>0</v>
      </c>
      <c r="K40" s="190">
        <f t="shared" si="3"/>
        <v>0</v>
      </c>
      <c r="M40" s="191">
        <f t="shared" si="4"/>
        <v>35</v>
      </c>
      <c r="N40" s="361" t="s">
        <v>224</v>
      </c>
      <c r="O40" s="258">
        <v>195</v>
      </c>
      <c r="P40" s="359">
        <f t="shared" si="5"/>
        <v>1988454.0000000002</v>
      </c>
    </row>
    <row r="41" spans="1:16" ht="22.5" thickBot="1">
      <c r="A41" s="192" t="s">
        <v>484</v>
      </c>
      <c r="B41" s="193"/>
      <c r="C41" s="194">
        <v>0.987</v>
      </c>
      <c r="D41" s="195">
        <v>19000</v>
      </c>
      <c r="E41" s="339">
        <v>0</v>
      </c>
      <c r="F41" s="339">
        <v>0</v>
      </c>
      <c r="G41" s="289">
        <f t="shared" si="0"/>
        <v>14064.75</v>
      </c>
      <c r="H41" s="289">
        <f t="shared" si="1"/>
        <v>0</v>
      </c>
      <c r="I41" s="289">
        <f t="shared" si="2"/>
        <v>0</v>
      </c>
      <c r="J41" s="341">
        <v>0</v>
      </c>
      <c r="K41" s="196">
        <f t="shared" si="3"/>
        <v>0</v>
      </c>
      <c r="M41" s="197">
        <f t="shared" si="4"/>
        <v>35</v>
      </c>
      <c r="N41" s="361" t="s">
        <v>226</v>
      </c>
      <c r="O41" s="258">
        <v>193</v>
      </c>
      <c r="P41" s="359">
        <f t="shared" si="5"/>
        <v>1968059.6</v>
      </c>
    </row>
    <row r="42" spans="1:16" ht="23.25" customHeight="1" thickBot="1">
      <c r="A42" s="290"/>
      <c r="B42" s="291"/>
      <c r="C42" s="292"/>
      <c r="D42" s="306"/>
      <c r="E42" s="307" t="s">
        <v>426</v>
      </c>
      <c r="F42" s="293"/>
      <c r="G42" s="294"/>
      <c r="H42" s="291"/>
      <c r="I42" s="291"/>
      <c r="J42" s="293"/>
      <c r="K42" s="229"/>
      <c r="L42" s="132"/>
      <c r="M42" s="304"/>
      <c r="N42" s="302"/>
      <c r="O42" s="302"/>
      <c r="P42" s="303"/>
    </row>
    <row r="43" spans="1:11" ht="21.75">
      <c r="A43" s="198"/>
      <c r="B43" s="199" t="s">
        <v>223</v>
      </c>
      <c r="C43" s="145"/>
      <c r="D43" s="200"/>
      <c r="E43" s="145"/>
      <c r="F43" s="201" t="s">
        <v>259</v>
      </c>
      <c r="G43" s="456">
        <f>D39</f>
        <v>19000</v>
      </c>
      <c r="H43" s="202" t="s">
        <v>99</v>
      </c>
      <c r="I43" s="200"/>
      <c r="J43" s="200"/>
      <c r="K43" s="203"/>
    </row>
    <row r="44" spans="1:11" ht="21.75">
      <c r="A44" s="204"/>
      <c r="B44" s="135" t="s">
        <v>225</v>
      </c>
      <c r="C44" s="127"/>
      <c r="D44" s="134"/>
      <c r="E44" s="127"/>
      <c r="F44" s="155" t="s">
        <v>260</v>
      </c>
      <c r="G44" s="343">
        <v>5</v>
      </c>
      <c r="H44" s="136" t="s">
        <v>14</v>
      </c>
      <c r="I44" s="134"/>
      <c r="J44" s="134"/>
      <c r="K44" s="205"/>
    </row>
    <row r="45" spans="1:11" ht="21.75">
      <c r="A45" s="204"/>
      <c r="B45" s="135" t="s">
        <v>225</v>
      </c>
      <c r="C45" s="127"/>
      <c r="D45" s="134"/>
      <c r="E45" s="127"/>
      <c r="F45" s="155" t="s">
        <v>261</v>
      </c>
      <c r="G45" s="137">
        <f>H10-G44</f>
        <v>30</v>
      </c>
      <c r="H45" s="136" t="s">
        <v>14</v>
      </c>
      <c r="I45" s="134"/>
      <c r="J45" s="134"/>
      <c r="K45" s="205"/>
    </row>
    <row r="46" spans="1:11" ht="21.75">
      <c r="A46" s="153"/>
      <c r="B46" s="127" t="s">
        <v>227</v>
      </c>
      <c r="C46" s="127"/>
      <c r="D46" s="127"/>
      <c r="E46" s="127"/>
      <c r="F46" s="127"/>
      <c r="G46" s="127"/>
      <c r="H46" s="134" t="s">
        <v>205</v>
      </c>
      <c r="I46" s="134" t="s">
        <v>385</v>
      </c>
      <c r="J46" s="295">
        <f>E35*C35+E36*C36+E37*C37+E38*C38+E39*C39+E40*C40+E41*C41</f>
        <v>4.384</v>
      </c>
      <c r="K46" s="207" t="s">
        <v>206</v>
      </c>
    </row>
    <row r="47" spans="1:11" ht="21.75">
      <c r="A47" s="153"/>
      <c r="B47" s="127" t="s">
        <v>228</v>
      </c>
      <c r="C47" s="127"/>
      <c r="D47" s="127"/>
      <c r="E47" s="127"/>
      <c r="F47" s="127"/>
      <c r="G47" s="127"/>
      <c r="H47" s="134" t="s">
        <v>207</v>
      </c>
      <c r="I47" s="134" t="s">
        <v>385</v>
      </c>
      <c r="J47" s="295">
        <f>F35*C35+F36*C36+F37*C37+F38*C38+F39*C39+F40*C40+F41*C41</f>
        <v>4.384</v>
      </c>
      <c r="K47" s="207" t="s">
        <v>206</v>
      </c>
    </row>
    <row r="48" spans="1:11" ht="21.75">
      <c r="A48" s="153"/>
      <c r="B48" s="127" t="s">
        <v>229</v>
      </c>
      <c r="C48" s="127"/>
      <c r="D48" s="127"/>
      <c r="E48" s="127"/>
      <c r="F48" s="155" t="s">
        <v>262</v>
      </c>
      <c r="G48" s="127" t="s">
        <v>263</v>
      </c>
      <c r="H48" s="127"/>
      <c r="I48" s="134" t="s">
        <v>385</v>
      </c>
      <c r="J48" s="295">
        <f>J46+J47</f>
        <v>8.768</v>
      </c>
      <c r="K48" s="207" t="s">
        <v>206</v>
      </c>
    </row>
    <row r="49" spans="1:11" ht="21.75">
      <c r="A49" s="153"/>
      <c r="B49" s="127" t="s">
        <v>230</v>
      </c>
      <c r="C49" s="127"/>
      <c r="D49" s="127"/>
      <c r="E49" s="127"/>
      <c r="F49" s="155" t="s">
        <v>231</v>
      </c>
      <c r="G49" s="344">
        <f>+CERTIFICATE!J20</f>
        <v>0.75</v>
      </c>
      <c r="H49" s="127" t="s">
        <v>264</v>
      </c>
      <c r="I49" s="134" t="s">
        <v>385</v>
      </c>
      <c r="J49" s="164">
        <f>G49*(G43)*J48</f>
        <v>124944.00000000001</v>
      </c>
      <c r="K49" s="208" t="s">
        <v>42</v>
      </c>
    </row>
    <row r="50" spans="1:11" ht="21.75">
      <c r="A50" s="153"/>
      <c r="B50" s="127" t="s">
        <v>232</v>
      </c>
      <c r="C50" s="127"/>
      <c r="D50" s="127"/>
      <c r="E50" s="127"/>
      <c r="F50" s="127" t="s">
        <v>281</v>
      </c>
      <c r="G50" s="127"/>
      <c r="H50" s="127"/>
      <c r="I50" s="134" t="s">
        <v>385</v>
      </c>
      <c r="J50" s="164">
        <f>(J47*G45+J46*G44)/J48</f>
        <v>17.5</v>
      </c>
      <c r="K50" s="208" t="s">
        <v>14</v>
      </c>
    </row>
    <row r="51" spans="1:11" ht="21.75">
      <c r="A51" s="153"/>
      <c r="B51" s="127" t="s">
        <v>427</v>
      </c>
      <c r="C51" s="127"/>
      <c r="D51" s="155"/>
      <c r="E51" s="134" t="s">
        <v>233</v>
      </c>
      <c r="F51" s="127" t="s">
        <v>282</v>
      </c>
      <c r="G51" s="127"/>
      <c r="H51" s="127"/>
      <c r="I51" s="134" t="s">
        <v>385</v>
      </c>
      <c r="J51" s="280">
        <f>J50-H10/2</f>
        <v>0</v>
      </c>
      <c r="K51" s="208" t="s">
        <v>14</v>
      </c>
    </row>
    <row r="52" spans="1:11" ht="23.25">
      <c r="A52" s="149" t="s">
        <v>100</v>
      </c>
      <c r="B52" s="150"/>
      <c r="C52" s="127"/>
      <c r="D52" s="127"/>
      <c r="E52" s="127"/>
      <c r="F52" s="127"/>
      <c r="G52" s="127"/>
      <c r="H52" s="127"/>
      <c r="I52" s="127"/>
      <c r="J52" s="127"/>
      <c r="K52" s="151"/>
    </row>
    <row r="53" spans="1:11" ht="21.75">
      <c r="A53" s="153"/>
      <c r="B53" s="209" t="s">
        <v>101</v>
      </c>
      <c r="C53" s="127"/>
      <c r="D53" s="127"/>
      <c r="E53" s="127"/>
      <c r="F53" s="127"/>
      <c r="G53" s="127"/>
      <c r="H53" s="127"/>
      <c r="I53" s="127"/>
      <c r="J53" s="127"/>
      <c r="K53" s="151"/>
    </row>
    <row r="54" spans="1:11" ht="21.75">
      <c r="A54" s="153"/>
      <c r="B54" s="127"/>
      <c r="C54" s="127" t="s">
        <v>102</v>
      </c>
      <c r="D54" s="127"/>
      <c r="E54" s="127"/>
      <c r="F54" s="134" t="s">
        <v>385</v>
      </c>
      <c r="G54" s="127" t="s">
        <v>103</v>
      </c>
      <c r="H54" s="127"/>
      <c r="I54" s="127"/>
      <c r="J54" s="127"/>
      <c r="K54" s="151"/>
    </row>
    <row r="55" spans="1:11" ht="24.75">
      <c r="A55" s="153"/>
      <c r="B55" s="127"/>
      <c r="C55" s="127" t="s">
        <v>283</v>
      </c>
      <c r="D55" s="127"/>
      <c r="E55" s="127"/>
      <c r="F55" s="133">
        <f>(I55*((J49/J12)+J49*((J51)^2)/J14))</f>
        <v>91.7955918367347</v>
      </c>
      <c r="G55" s="134" t="s">
        <v>99</v>
      </c>
      <c r="H55" s="127" t="s">
        <v>265</v>
      </c>
      <c r="I55" s="210">
        <v>0.9</v>
      </c>
      <c r="J55" s="127" t="s">
        <v>104</v>
      </c>
      <c r="K55" s="151"/>
    </row>
    <row r="56" spans="1:11" ht="21.75">
      <c r="A56" s="153"/>
      <c r="B56" s="127"/>
      <c r="C56" s="127" t="s">
        <v>105</v>
      </c>
      <c r="D56" s="127"/>
      <c r="E56" s="127"/>
      <c r="F56" s="134" t="s">
        <v>385</v>
      </c>
      <c r="G56" s="127" t="s">
        <v>284</v>
      </c>
      <c r="H56" s="127"/>
      <c r="I56" s="127"/>
      <c r="J56" s="127"/>
      <c r="K56" s="151"/>
    </row>
    <row r="57" spans="1:11" ht="21.75">
      <c r="A57" s="153"/>
      <c r="B57" s="127"/>
      <c r="C57" s="127" t="s">
        <v>106</v>
      </c>
      <c r="D57" s="127"/>
      <c r="E57" s="127"/>
      <c r="F57" s="134" t="s">
        <v>385</v>
      </c>
      <c r="G57" s="127" t="s">
        <v>285</v>
      </c>
      <c r="H57" s="127"/>
      <c r="I57" s="127" t="s">
        <v>266</v>
      </c>
      <c r="J57" s="211">
        <v>0</v>
      </c>
      <c r="K57" s="151"/>
    </row>
    <row r="58" spans="1:11" ht="21.75">
      <c r="A58" s="153"/>
      <c r="B58" s="127"/>
      <c r="C58" s="127" t="s">
        <v>107</v>
      </c>
      <c r="D58" s="127"/>
      <c r="E58" s="127"/>
      <c r="F58" s="134" t="s">
        <v>385</v>
      </c>
      <c r="G58" s="127" t="s">
        <v>108</v>
      </c>
      <c r="H58" s="127"/>
      <c r="I58" s="127" t="s">
        <v>234</v>
      </c>
      <c r="J58" s="211">
        <v>75</v>
      </c>
      <c r="K58" s="151"/>
    </row>
    <row r="59" spans="1:11" ht="22.5" thickBot="1">
      <c r="A59" s="157"/>
      <c r="B59" s="127"/>
      <c r="C59" s="127" t="s">
        <v>109</v>
      </c>
      <c r="D59" s="127"/>
      <c r="E59" s="127"/>
      <c r="F59" s="134" t="s">
        <v>385</v>
      </c>
      <c r="G59" s="127" t="s">
        <v>110</v>
      </c>
      <c r="H59" s="127"/>
      <c r="I59" s="127"/>
      <c r="J59" s="127"/>
      <c r="K59" s="159"/>
    </row>
    <row r="60" spans="1:11" ht="22.5" thickBot="1">
      <c r="A60" s="212"/>
      <c r="B60" s="500" t="s">
        <v>111</v>
      </c>
      <c r="C60" s="500"/>
      <c r="D60" s="501"/>
      <c r="E60" s="213" t="s">
        <v>112</v>
      </c>
      <c r="F60" s="213" t="s">
        <v>113</v>
      </c>
      <c r="G60" s="214" t="s">
        <v>114</v>
      </c>
      <c r="H60" s="213" t="s">
        <v>115</v>
      </c>
      <c r="I60" s="502" t="s">
        <v>116</v>
      </c>
      <c r="J60" s="500"/>
      <c r="K60" s="503"/>
    </row>
    <row r="61" spans="1:11" ht="21.75">
      <c r="A61" s="153"/>
      <c r="B61" s="215" t="s">
        <v>235</v>
      </c>
      <c r="C61" s="215"/>
      <c r="D61" s="216"/>
      <c r="E61" s="296">
        <f>J31*F55/J25</f>
        <v>713.9731664951975</v>
      </c>
      <c r="F61" s="296">
        <f>12*F55-7*J57</f>
        <v>1101.5471020408163</v>
      </c>
      <c r="G61" s="297">
        <f>1200-11*J58</f>
        <v>375</v>
      </c>
      <c r="H61" s="296">
        <f>1410-0.4*E61-0.2*(G61+F61)</f>
        <v>829.1013129937576</v>
      </c>
      <c r="I61" s="217"/>
      <c r="J61" s="218">
        <f>SUM(E61:H61)</f>
        <v>3019.621581529771</v>
      </c>
      <c r="K61" s="219"/>
    </row>
    <row r="62" spans="1:11" ht="21.75">
      <c r="A62" s="220"/>
      <c r="B62" s="221" t="s">
        <v>236</v>
      </c>
      <c r="C62" s="221"/>
      <c r="D62" s="143"/>
      <c r="E62" s="298">
        <f>E61*$J$48</f>
        <v>6260.116723829892</v>
      </c>
      <c r="F62" s="298">
        <f>F61*$J$48</f>
        <v>9658.364990693877</v>
      </c>
      <c r="G62" s="189">
        <f>G61*$J$48</f>
        <v>3288.0000000000005</v>
      </c>
      <c r="H62" s="298">
        <f>H61*$J$48</f>
        <v>7269.560312329267</v>
      </c>
      <c r="I62" s="142"/>
      <c r="J62" s="223">
        <f>SUM(E62:H62)</f>
        <v>26476.042026853036</v>
      </c>
      <c r="K62" s="224"/>
    </row>
    <row r="63" spans="1:11" ht="22.5" thickBot="1">
      <c r="A63" s="157"/>
      <c r="B63" s="225" t="s">
        <v>237</v>
      </c>
      <c r="C63" s="225"/>
      <c r="D63" s="226"/>
      <c r="E63" s="299">
        <f>E62*100/$J$49</f>
        <v>5.010338010492614</v>
      </c>
      <c r="F63" s="299">
        <f>F62*100/$J$49</f>
        <v>7.730155102040815</v>
      </c>
      <c r="G63" s="300">
        <f>G62*100/$J$49</f>
        <v>2.6315789473684212</v>
      </c>
      <c r="H63" s="299">
        <f>H62*100/$J$49</f>
        <v>5.818254828026368</v>
      </c>
      <c r="I63" s="227"/>
      <c r="J63" s="228">
        <f>SUM(E63:H63)</f>
        <v>21.19032688792822</v>
      </c>
      <c r="K63" s="229"/>
    </row>
    <row r="64" spans="1:11" ht="14.25" customHeight="1">
      <c r="A64" s="153"/>
      <c r="B64" s="127"/>
      <c r="C64" s="127"/>
      <c r="D64" s="127"/>
      <c r="E64" s="127"/>
      <c r="F64" s="127"/>
      <c r="G64" s="127"/>
      <c r="H64" s="127"/>
      <c r="I64" s="127"/>
      <c r="J64" s="127"/>
      <c r="K64" s="151"/>
    </row>
    <row r="65" spans="1:11" ht="21.75">
      <c r="A65" s="153"/>
      <c r="B65" s="209" t="s">
        <v>117</v>
      </c>
      <c r="C65" s="127"/>
      <c r="D65" s="127"/>
      <c r="E65" s="127"/>
      <c r="F65" s="127"/>
      <c r="G65" s="127"/>
      <c r="H65" s="127"/>
      <c r="I65" s="127"/>
      <c r="J65" s="127"/>
      <c r="K65" s="151"/>
    </row>
    <row r="66" spans="1:11" ht="21.75">
      <c r="A66" s="153"/>
      <c r="B66" s="127" t="s">
        <v>118</v>
      </c>
      <c r="C66" s="127"/>
      <c r="D66" s="127"/>
      <c r="E66" s="134" t="s">
        <v>286</v>
      </c>
      <c r="F66" s="134" t="s">
        <v>385</v>
      </c>
      <c r="G66" s="127" t="s">
        <v>119</v>
      </c>
      <c r="H66" s="127"/>
      <c r="I66" s="134" t="s">
        <v>385</v>
      </c>
      <c r="J66" s="164">
        <f>J49-E62</f>
        <v>118683.88327617012</v>
      </c>
      <c r="K66" s="151" t="s">
        <v>42</v>
      </c>
    </row>
    <row r="67" spans="1:11" ht="21.75">
      <c r="A67" s="153"/>
      <c r="B67" s="127" t="s">
        <v>120</v>
      </c>
      <c r="C67" s="127"/>
      <c r="D67" s="127"/>
      <c r="E67" s="134" t="s">
        <v>287</v>
      </c>
      <c r="F67" s="134" t="s">
        <v>385</v>
      </c>
      <c r="G67" s="127" t="s">
        <v>121</v>
      </c>
      <c r="H67" s="127"/>
      <c r="I67" s="134" t="s">
        <v>385</v>
      </c>
      <c r="J67" s="164">
        <f>J49-J62</f>
        <v>98467.95797314699</v>
      </c>
      <c r="K67" s="151" t="s">
        <v>42</v>
      </c>
    </row>
    <row r="68" spans="1:11" ht="24.75">
      <c r="A68" s="153"/>
      <c r="B68" s="127" t="s">
        <v>122</v>
      </c>
      <c r="C68" s="127"/>
      <c r="D68" s="127"/>
      <c r="E68" s="134" t="s">
        <v>369</v>
      </c>
      <c r="F68" s="134" t="s">
        <v>385</v>
      </c>
      <c r="G68" s="127" t="s">
        <v>288</v>
      </c>
      <c r="H68" s="127"/>
      <c r="I68" s="134" t="s">
        <v>385</v>
      </c>
      <c r="J68" s="164">
        <f>J13*((0.207*J11)^2)/2</f>
        <v>2040.812172</v>
      </c>
      <c r="K68" s="151" t="s">
        <v>76</v>
      </c>
    </row>
    <row r="69" spans="1:11" ht="21.75">
      <c r="A69" s="153"/>
      <c r="B69" s="127" t="s">
        <v>123</v>
      </c>
      <c r="C69" s="127"/>
      <c r="D69" s="127"/>
      <c r="E69" s="134" t="s">
        <v>289</v>
      </c>
      <c r="F69" s="134" t="s">
        <v>385</v>
      </c>
      <c r="G69" s="127" t="s">
        <v>124</v>
      </c>
      <c r="H69" s="127"/>
      <c r="I69" s="134" t="s">
        <v>385</v>
      </c>
      <c r="J69" s="164">
        <f>1.5*J68</f>
        <v>3061.218258</v>
      </c>
      <c r="K69" s="151" t="s">
        <v>76</v>
      </c>
    </row>
    <row r="70" spans="1:11" ht="21.75">
      <c r="A70" s="153"/>
      <c r="B70" s="127" t="s">
        <v>125</v>
      </c>
      <c r="C70" s="127"/>
      <c r="D70" s="127"/>
      <c r="E70" s="134" t="s">
        <v>290</v>
      </c>
      <c r="F70" s="134"/>
      <c r="G70" s="127"/>
      <c r="H70" s="127"/>
      <c r="I70" s="134" t="s">
        <v>385</v>
      </c>
      <c r="J70" s="164">
        <f>J16</f>
        <v>7100</v>
      </c>
      <c r="K70" s="151" t="s">
        <v>76</v>
      </c>
    </row>
    <row r="71" spans="1:11" ht="21.75">
      <c r="A71" s="153"/>
      <c r="B71" s="127" t="s">
        <v>126</v>
      </c>
      <c r="C71" s="127"/>
      <c r="D71" s="127"/>
      <c r="E71" s="134" t="s">
        <v>291</v>
      </c>
      <c r="F71" s="134" t="s">
        <v>385</v>
      </c>
      <c r="G71" s="127" t="s">
        <v>292</v>
      </c>
      <c r="H71" s="127"/>
      <c r="I71" s="134" t="s">
        <v>385</v>
      </c>
      <c r="J71" s="164">
        <f>1.7*J70</f>
        <v>12070</v>
      </c>
      <c r="K71" s="151" t="s">
        <v>76</v>
      </c>
    </row>
    <row r="72" spans="1:11" ht="18.75" customHeight="1" thickBot="1">
      <c r="A72" s="157"/>
      <c r="B72" s="209" t="s">
        <v>127</v>
      </c>
      <c r="C72" s="127"/>
      <c r="D72" s="127"/>
      <c r="E72" s="127"/>
      <c r="F72" s="127"/>
      <c r="G72" s="127"/>
      <c r="H72" s="127"/>
      <c r="I72" s="158"/>
      <c r="J72" s="158"/>
      <c r="K72" s="159"/>
    </row>
    <row r="73" spans="1:11" ht="17.25" customHeight="1">
      <c r="A73" s="153"/>
      <c r="B73" s="496" t="s">
        <v>128</v>
      </c>
      <c r="C73" s="496"/>
      <c r="D73" s="497"/>
      <c r="E73" s="504" t="s">
        <v>129</v>
      </c>
      <c r="F73" s="488"/>
      <c r="G73" s="504" t="s">
        <v>130</v>
      </c>
      <c r="H73" s="488"/>
      <c r="I73" s="504" t="s">
        <v>131</v>
      </c>
      <c r="J73" s="488"/>
      <c r="K73" s="489"/>
    </row>
    <row r="74" spans="1:11" ht="17.25" customHeight="1" thickBot="1">
      <c r="A74" s="230"/>
      <c r="B74" s="498"/>
      <c r="C74" s="498"/>
      <c r="D74" s="499"/>
      <c r="E74" s="231" t="s">
        <v>267</v>
      </c>
      <c r="F74" s="232" t="s">
        <v>268</v>
      </c>
      <c r="G74" s="231" t="s">
        <v>267</v>
      </c>
      <c r="H74" s="232" t="s">
        <v>268</v>
      </c>
      <c r="I74" s="231" t="s">
        <v>267</v>
      </c>
      <c r="J74" s="231" t="s">
        <v>268</v>
      </c>
      <c r="K74" s="233"/>
    </row>
    <row r="75" spans="1:11" ht="18.75" customHeight="1">
      <c r="A75" s="153"/>
      <c r="B75" s="127"/>
      <c r="C75" s="145" t="s">
        <v>293</v>
      </c>
      <c r="D75" s="234"/>
      <c r="E75" s="235">
        <f>$J$66/$J$12</f>
        <v>96.88480267442459</v>
      </c>
      <c r="F75" s="235">
        <f>$J$66/$J$12</f>
        <v>96.88480267442459</v>
      </c>
      <c r="G75" s="235"/>
      <c r="H75" s="235"/>
      <c r="I75" s="235"/>
      <c r="J75" s="235"/>
      <c r="K75" s="152"/>
    </row>
    <row r="76" spans="1:11" ht="18.75" customHeight="1">
      <c r="A76" s="220"/>
      <c r="B76" s="221"/>
      <c r="C76" s="221" t="s">
        <v>294</v>
      </c>
      <c r="D76" s="143"/>
      <c r="E76" s="236">
        <f>-($J$66*$J$51/$J$15)</f>
        <v>0</v>
      </c>
      <c r="F76" s="236">
        <f>($J$66*$J$51/$J$15)</f>
        <v>0</v>
      </c>
      <c r="G76" s="236"/>
      <c r="H76" s="236"/>
      <c r="I76" s="236"/>
      <c r="J76" s="236"/>
      <c r="K76" s="237"/>
    </row>
    <row r="77" spans="1:11" ht="18.75" customHeight="1">
      <c r="A77" s="153"/>
      <c r="B77" s="221"/>
      <c r="C77" s="221" t="s">
        <v>132</v>
      </c>
      <c r="D77" s="143"/>
      <c r="E77" s="236"/>
      <c r="F77" s="236"/>
      <c r="G77" s="236"/>
      <c r="H77" s="236"/>
      <c r="I77" s="236"/>
      <c r="J77" s="236"/>
      <c r="K77" s="237"/>
    </row>
    <row r="78" spans="1:11" ht="18.75" customHeight="1">
      <c r="A78" s="220"/>
      <c r="B78" s="221"/>
      <c r="C78" s="221" t="s">
        <v>295</v>
      </c>
      <c r="D78" s="143"/>
      <c r="E78" s="236"/>
      <c r="F78" s="236"/>
      <c r="G78" s="236">
        <f>$J$67/$J$12</f>
        <v>80.38200650869142</v>
      </c>
      <c r="H78" s="236">
        <f>$J$67/$J$12</f>
        <v>80.38200650869142</v>
      </c>
      <c r="I78" s="236">
        <f>$J$67/$J$12</f>
        <v>80.38200650869142</v>
      </c>
      <c r="J78" s="236">
        <f>$J$67/$J$12</f>
        <v>80.38200650869142</v>
      </c>
      <c r="K78" s="237"/>
    </row>
    <row r="79" spans="1:11" ht="18.75" customHeight="1">
      <c r="A79" s="153"/>
      <c r="B79" s="221"/>
      <c r="C79" s="221" t="s">
        <v>296</v>
      </c>
      <c r="D79" s="143"/>
      <c r="E79" s="236"/>
      <c r="F79" s="236"/>
      <c r="G79" s="236">
        <f>-($J$67*$J$51/$J$15)</f>
        <v>0</v>
      </c>
      <c r="H79" s="236">
        <f>($J$67*$J$51/$J$15)</f>
        <v>0</v>
      </c>
      <c r="I79" s="236">
        <f>-($J$67*$J$51/$J$15)</f>
        <v>0</v>
      </c>
      <c r="J79" s="236">
        <f>($J$67*$J$51/$J$15)</f>
        <v>0</v>
      </c>
      <c r="K79" s="237"/>
    </row>
    <row r="80" spans="1:11" ht="18.75" customHeight="1">
      <c r="A80" s="220"/>
      <c r="B80" s="221"/>
      <c r="C80" s="221" t="s">
        <v>297</v>
      </c>
      <c r="D80" s="143"/>
      <c r="E80" s="236"/>
      <c r="F80" s="236"/>
      <c r="G80" s="236">
        <f>($J$69*100/$J$15)</f>
        <v>42.83820680100756</v>
      </c>
      <c r="H80" s="236">
        <f>-($J$69*100/$J$15)</f>
        <v>-42.83820680100756</v>
      </c>
      <c r="I80" s="236"/>
      <c r="J80" s="236"/>
      <c r="K80" s="237"/>
    </row>
    <row r="81" spans="1:11" ht="18.75" customHeight="1">
      <c r="A81" s="153"/>
      <c r="B81" s="139"/>
      <c r="C81" s="139" t="s">
        <v>298</v>
      </c>
      <c r="D81" s="238"/>
      <c r="E81" s="235"/>
      <c r="F81" s="235"/>
      <c r="G81" s="235"/>
      <c r="H81" s="235"/>
      <c r="I81" s="235">
        <f>$J$70*100/$J$15</f>
        <v>99.35628323537644</v>
      </c>
      <c r="J81" s="235">
        <f>-($J$70*100/$J$15)</f>
        <v>-99.35628323537644</v>
      </c>
      <c r="K81" s="237"/>
    </row>
    <row r="82" spans="1:11" ht="21.75">
      <c r="A82" s="220"/>
      <c r="B82" s="221" t="s">
        <v>238</v>
      </c>
      <c r="C82" s="221"/>
      <c r="D82" s="143"/>
      <c r="E82" s="236">
        <f aca="true" t="shared" si="6" ref="E82:J82">SUM(E75:E81)</f>
        <v>96.88480267442459</v>
      </c>
      <c r="F82" s="236">
        <f t="shared" si="6"/>
        <v>96.88480267442459</v>
      </c>
      <c r="G82" s="236">
        <f t="shared" si="6"/>
        <v>123.22021330969898</v>
      </c>
      <c r="H82" s="236">
        <f t="shared" si="6"/>
        <v>37.54379970768386</v>
      </c>
      <c r="I82" s="236">
        <f t="shared" si="6"/>
        <v>179.73828974406786</v>
      </c>
      <c r="J82" s="236">
        <f t="shared" si="6"/>
        <v>-18.97427672668502</v>
      </c>
      <c r="K82" s="237"/>
    </row>
    <row r="83" spans="1:13" ht="21.75">
      <c r="A83" s="239"/>
      <c r="B83" s="240" t="s">
        <v>239</v>
      </c>
      <c r="C83" s="240"/>
      <c r="D83" s="241"/>
      <c r="E83" s="242" t="s">
        <v>299</v>
      </c>
      <c r="F83" s="242" t="s">
        <v>299</v>
      </c>
      <c r="G83" s="242" t="s">
        <v>300</v>
      </c>
      <c r="H83" s="242" t="s">
        <v>300</v>
      </c>
      <c r="I83" s="242" t="s">
        <v>300</v>
      </c>
      <c r="J83" s="243" t="s">
        <v>301</v>
      </c>
      <c r="K83" s="237"/>
      <c r="M83" s="252" t="s">
        <v>490</v>
      </c>
    </row>
    <row r="84" spans="1:13" ht="21.75">
      <c r="A84" s="244"/>
      <c r="B84" s="139"/>
      <c r="C84" s="139"/>
      <c r="D84" s="238"/>
      <c r="E84" s="245">
        <f>0.6*J23</f>
        <v>168</v>
      </c>
      <c r="F84" s="245">
        <f>0.6*J23</f>
        <v>168</v>
      </c>
      <c r="G84" s="245">
        <f>0.45*J22</f>
        <v>180</v>
      </c>
      <c r="H84" s="245">
        <f>0.45*J22</f>
        <v>180</v>
      </c>
      <c r="I84" s="245">
        <f>0.45*J22</f>
        <v>180</v>
      </c>
      <c r="J84" s="246">
        <f>-1.59*SQRT(J22)</f>
        <v>-31.8</v>
      </c>
      <c r="K84" s="237"/>
      <c r="M84" s="256" t="s">
        <v>133</v>
      </c>
    </row>
    <row r="85" spans="1:11" ht="18.75" customHeight="1" thickBot="1">
      <c r="A85" s="157"/>
      <c r="B85" s="247" t="s">
        <v>240</v>
      </c>
      <c r="C85" s="225"/>
      <c r="D85" s="226"/>
      <c r="E85" s="232" t="str">
        <f>IF(E82&lt;(E84),$M$83,IF(E82&gt;(E84),$M$84))</f>
        <v>OK.</v>
      </c>
      <c r="F85" s="232" t="str">
        <f>IF(F82&lt;(F84),$M$83,IF(F82&gt;(F84),$M$84))</f>
        <v>OK.</v>
      </c>
      <c r="G85" s="232" t="str">
        <f>IF(G82&lt;(G84),$M$83,IF(G82&gt;(G84),$M$84))</f>
        <v>OK.</v>
      </c>
      <c r="H85" s="232" t="str">
        <f>IF(H82&lt;(H84),$M$83,IF(H82&gt;(H84),$M$84))</f>
        <v>OK.</v>
      </c>
      <c r="I85" s="232" t="str">
        <f>IF(I82&lt;(I84),$M$83,IF(I82&gt;(I84),$M$84))</f>
        <v>OK.</v>
      </c>
      <c r="J85" s="232" t="str">
        <f>IF(J82&gt;(J84),$M$83,IF(J82&lt;(J84),$M$84))</f>
        <v>OK.</v>
      </c>
      <c r="K85" s="233"/>
    </row>
    <row r="86" spans="1:11" ht="15.75" customHeight="1" thickBot="1">
      <c r="A86" s="157"/>
      <c r="B86" s="477" t="str">
        <f>+F6</f>
        <v>S. 0.35x0.35 (1225) x 18.00 m.</v>
      </c>
      <c r="C86" s="477"/>
      <c r="D86" s="351" t="str">
        <f>+I6</f>
        <v>(BATTER PILE)</v>
      </c>
      <c r="E86" s="307" t="s">
        <v>428</v>
      </c>
      <c r="F86" s="158"/>
      <c r="G86" s="248" t="s">
        <v>134</v>
      </c>
      <c r="H86" s="158"/>
      <c r="I86" s="158"/>
      <c r="J86" s="158"/>
      <c r="K86" s="159"/>
    </row>
    <row r="87" spans="1:11" ht="23.25">
      <c r="A87" s="249" t="s">
        <v>135</v>
      </c>
      <c r="B87" s="250"/>
      <c r="C87" s="145"/>
      <c r="D87" s="145"/>
      <c r="E87" s="145"/>
      <c r="F87" s="145"/>
      <c r="G87" s="145"/>
      <c r="H87" s="145"/>
      <c r="I87" s="145"/>
      <c r="J87" s="145"/>
      <c r="K87" s="152"/>
    </row>
    <row r="88" spans="1:11" ht="24.75">
      <c r="A88" s="153"/>
      <c r="B88" s="134" t="s">
        <v>302</v>
      </c>
      <c r="C88" s="163" t="s">
        <v>136</v>
      </c>
      <c r="D88" s="127"/>
      <c r="E88" s="127"/>
      <c r="F88" s="127"/>
      <c r="G88" s="127"/>
      <c r="H88" s="127"/>
      <c r="I88" s="127"/>
      <c r="J88" s="127"/>
      <c r="K88" s="151" t="s">
        <v>303</v>
      </c>
    </row>
    <row r="89" spans="1:11" ht="21.75">
      <c r="A89" s="153"/>
      <c r="B89" s="134" t="s">
        <v>304</v>
      </c>
      <c r="C89" s="163" t="s">
        <v>137</v>
      </c>
      <c r="D89" s="127"/>
      <c r="E89" s="127"/>
      <c r="F89" s="127"/>
      <c r="G89" s="127"/>
      <c r="H89" s="127"/>
      <c r="I89" s="127"/>
      <c r="J89" s="127"/>
      <c r="K89" s="151" t="s">
        <v>305</v>
      </c>
    </row>
    <row r="90" spans="1:11" ht="21.75">
      <c r="A90" s="153"/>
      <c r="B90" s="134" t="s">
        <v>306</v>
      </c>
      <c r="C90" s="163" t="s">
        <v>138</v>
      </c>
      <c r="D90" s="127"/>
      <c r="E90" s="127"/>
      <c r="F90" s="127"/>
      <c r="G90" s="127"/>
      <c r="H90" s="127"/>
      <c r="I90" s="127"/>
      <c r="J90" s="127"/>
      <c r="K90" s="151" t="s">
        <v>305</v>
      </c>
    </row>
    <row r="91" spans="1:11" ht="21.75">
      <c r="A91" s="153"/>
      <c r="B91" s="134" t="s">
        <v>139</v>
      </c>
      <c r="C91" s="163" t="s">
        <v>140</v>
      </c>
      <c r="D91" s="127"/>
      <c r="E91" s="127"/>
      <c r="F91" s="127"/>
      <c r="G91" s="127"/>
      <c r="H91" s="127"/>
      <c r="I91" s="127"/>
      <c r="J91" s="127"/>
      <c r="K91" s="151" t="s">
        <v>305</v>
      </c>
    </row>
    <row r="92" spans="1:11" ht="21.75">
      <c r="A92" s="153"/>
      <c r="B92" s="134" t="s">
        <v>453</v>
      </c>
      <c r="C92" s="163" t="s">
        <v>141</v>
      </c>
      <c r="D92" s="127"/>
      <c r="E92" s="127"/>
      <c r="F92" s="127"/>
      <c r="G92" s="127"/>
      <c r="H92" s="127"/>
      <c r="I92" s="127"/>
      <c r="J92" s="127"/>
      <c r="K92" s="151" t="s">
        <v>142</v>
      </c>
    </row>
    <row r="93" spans="1:11" ht="21.75">
      <c r="A93" s="153"/>
      <c r="B93" s="134" t="s">
        <v>307</v>
      </c>
      <c r="C93" s="163" t="s">
        <v>429</v>
      </c>
      <c r="D93" s="127"/>
      <c r="E93" s="127"/>
      <c r="F93" s="127"/>
      <c r="G93" s="127"/>
      <c r="H93" s="127"/>
      <c r="I93" s="127"/>
      <c r="J93" s="127"/>
      <c r="K93" s="151" t="s">
        <v>142</v>
      </c>
    </row>
    <row r="94" spans="1:11" ht="21.75">
      <c r="A94" s="153"/>
      <c r="B94" s="134" t="s">
        <v>308</v>
      </c>
      <c r="C94" s="163" t="s">
        <v>143</v>
      </c>
      <c r="D94" s="127"/>
      <c r="E94" s="127"/>
      <c r="F94" s="127"/>
      <c r="G94" s="127"/>
      <c r="H94" s="127"/>
      <c r="I94" s="127"/>
      <c r="J94" s="127"/>
      <c r="K94" s="151" t="s">
        <v>142</v>
      </c>
    </row>
    <row r="95" spans="1:11" ht="21.75">
      <c r="A95" s="153"/>
      <c r="B95" s="134" t="s">
        <v>309</v>
      </c>
      <c r="C95" s="163" t="s">
        <v>144</v>
      </c>
      <c r="D95" s="127"/>
      <c r="E95" s="127"/>
      <c r="F95" s="127"/>
      <c r="G95" s="127"/>
      <c r="H95" s="127"/>
      <c r="I95" s="127"/>
      <c r="J95" s="127"/>
      <c r="K95" s="151" t="s">
        <v>142</v>
      </c>
    </row>
    <row r="96" spans="1:11" ht="21.75">
      <c r="A96" s="153"/>
      <c r="B96" s="134" t="s">
        <v>310</v>
      </c>
      <c r="C96" s="163" t="s">
        <v>145</v>
      </c>
      <c r="D96" s="127"/>
      <c r="E96" s="127"/>
      <c r="F96" s="127"/>
      <c r="G96" s="127"/>
      <c r="H96" s="127"/>
      <c r="I96" s="127"/>
      <c r="J96" s="127"/>
      <c r="K96" s="151" t="s">
        <v>146</v>
      </c>
    </row>
    <row r="97" spans="1:11" ht="21.75">
      <c r="A97" s="153"/>
      <c r="B97" s="134" t="s">
        <v>311</v>
      </c>
      <c r="C97" s="163" t="s">
        <v>147</v>
      </c>
      <c r="D97" s="127"/>
      <c r="E97" s="127"/>
      <c r="F97" s="127"/>
      <c r="G97" s="127"/>
      <c r="H97" s="127"/>
      <c r="I97" s="127"/>
      <c r="J97" s="127"/>
      <c r="K97" s="151" t="s">
        <v>146</v>
      </c>
    </row>
    <row r="98" spans="1:11" ht="21.75">
      <c r="A98" s="153"/>
      <c r="B98" s="134" t="s">
        <v>312</v>
      </c>
      <c r="C98" s="163" t="s">
        <v>148</v>
      </c>
      <c r="D98" s="127"/>
      <c r="E98" s="127"/>
      <c r="F98" s="127"/>
      <c r="G98" s="127"/>
      <c r="H98" s="127"/>
      <c r="I98" s="127"/>
      <c r="J98" s="127"/>
      <c r="K98" s="151" t="s">
        <v>146</v>
      </c>
    </row>
    <row r="99" spans="1:11" ht="21.75">
      <c r="A99" s="153"/>
      <c r="B99" s="134" t="s">
        <v>313</v>
      </c>
      <c r="C99" s="163" t="s">
        <v>149</v>
      </c>
      <c r="D99" s="127"/>
      <c r="E99" s="127"/>
      <c r="F99" s="127"/>
      <c r="G99" s="127"/>
      <c r="H99" s="127"/>
      <c r="I99" s="127"/>
      <c r="J99" s="127"/>
      <c r="K99" s="151" t="s">
        <v>146</v>
      </c>
    </row>
    <row r="100" spans="1:11" ht="21.75">
      <c r="A100" s="153"/>
      <c r="B100" s="134" t="s">
        <v>314</v>
      </c>
      <c r="C100" s="163" t="s">
        <v>150</v>
      </c>
      <c r="D100" s="127"/>
      <c r="E100" s="127"/>
      <c r="F100" s="127"/>
      <c r="G100" s="127"/>
      <c r="H100" s="127"/>
      <c r="I100" s="127"/>
      <c r="J100" s="127"/>
      <c r="K100" s="151" t="s">
        <v>146</v>
      </c>
    </row>
    <row r="101" spans="1:11" ht="21.75">
      <c r="A101" s="153"/>
      <c r="B101" s="127"/>
      <c r="C101" s="134" t="s">
        <v>313</v>
      </c>
      <c r="D101" s="127"/>
      <c r="E101" s="127"/>
      <c r="F101" s="127"/>
      <c r="G101" s="127"/>
      <c r="H101" s="134"/>
      <c r="I101" s="134" t="s">
        <v>385</v>
      </c>
      <c r="J101" s="166">
        <f>J19</f>
        <v>5000</v>
      </c>
      <c r="K101" s="151" t="s">
        <v>42</v>
      </c>
    </row>
    <row r="102" spans="1:11" ht="21.75">
      <c r="A102" s="153"/>
      <c r="B102" s="127"/>
      <c r="C102" s="134" t="s">
        <v>314</v>
      </c>
      <c r="D102" s="134" t="s">
        <v>385</v>
      </c>
      <c r="E102" s="134" t="s">
        <v>315</v>
      </c>
      <c r="F102" s="127"/>
      <c r="G102" s="127"/>
      <c r="H102" s="127"/>
      <c r="I102" s="134" t="s">
        <v>385</v>
      </c>
      <c r="J102" s="166">
        <f>1.7*J101</f>
        <v>8500</v>
      </c>
      <c r="K102" s="151" t="s">
        <v>42</v>
      </c>
    </row>
    <row r="103" spans="1:16" ht="21.75">
      <c r="A103" s="153"/>
      <c r="B103" s="127"/>
      <c r="C103" s="134" t="s">
        <v>306</v>
      </c>
      <c r="D103" s="134" t="s">
        <v>385</v>
      </c>
      <c r="E103" s="127" t="s">
        <v>316</v>
      </c>
      <c r="F103" s="127"/>
      <c r="G103" s="127"/>
      <c r="H103" s="127"/>
      <c r="I103" s="134" t="s">
        <v>385</v>
      </c>
      <c r="J103" s="133">
        <f>G45</f>
        <v>30</v>
      </c>
      <c r="K103" s="151" t="s">
        <v>14</v>
      </c>
      <c r="N103" s="251" t="s">
        <v>241</v>
      </c>
      <c r="O103" s="252" t="s">
        <v>489</v>
      </c>
      <c r="P103" s="252"/>
    </row>
    <row r="104" spans="1:16" ht="24.75">
      <c r="A104" s="153"/>
      <c r="B104" s="127"/>
      <c r="C104" s="134" t="s">
        <v>304</v>
      </c>
      <c r="D104" s="134"/>
      <c r="E104" s="127"/>
      <c r="F104" s="127"/>
      <c r="G104" s="127"/>
      <c r="H104" s="127"/>
      <c r="I104" s="134" t="s">
        <v>385</v>
      </c>
      <c r="J104" s="308">
        <f>M10</f>
        <v>35</v>
      </c>
      <c r="K104" s="151" t="s">
        <v>14</v>
      </c>
      <c r="N104" s="253" t="s">
        <v>242</v>
      </c>
      <c r="O104" s="254" t="s">
        <v>269</v>
      </c>
      <c r="P104" s="254" t="s">
        <v>302</v>
      </c>
    </row>
    <row r="105" spans="1:16" ht="24.75">
      <c r="A105" s="153"/>
      <c r="C105" s="127" t="s">
        <v>243</v>
      </c>
      <c r="D105" s="127"/>
      <c r="E105" s="345">
        <v>4.5</v>
      </c>
      <c r="F105" s="127" t="s">
        <v>151</v>
      </c>
      <c r="G105" s="127"/>
      <c r="H105" s="134"/>
      <c r="I105" s="135" t="s">
        <v>454</v>
      </c>
      <c r="J105" s="133">
        <f>+IF(E105=3,(O105),IF(E105=4,(O106),IF(E105=4.5,(O107),IF(E105=6,(O108),IF(E105=9,(O109),IF(E105=12,O110))))))</f>
        <v>0.318087</v>
      </c>
      <c r="K105" s="151" t="s">
        <v>193</v>
      </c>
      <c r="N105" s="254">
        <v>3</v>
      </c>
      <c r="O105" s="255">
        <f aca="true" t="shared" si="7" ref="O105:O110">+P105*2</f>
        <v>0.141372</v>
      </c>
      <c r="P105" s="256">
        <f aca="true" t="shared" si="8" ref="P105:P110">(0.7854*(N105*N105))/100</f>
        <v>0.070686</v>
      </c>
    </row>
    <row r="106" spans="1:16" ht="21.75">
      <c r="A106" s="153"/>
      <c r="B106" s="127"/>
      <c r="C106" s="134" t="s">
        <v>309</v>
      </c>
      <c r="D106" s="134" t="s">
        <v>385</v>
      </c>
      <c r="E106" s="335">
        <v>5500</v>
      </c>
      <c r="F106" s="257" t="s">
        <v>152</v>
      </c>
      <c r="G106" s="134">
        <v>4200</v>
      </c>
      <c r="H106" s="163" t="s">
        <v>317</v>
      </c>
      <c r="I106" s="134" t="s">
        <v>385</v>
      </c>
      <c r="J106" s="164">
        <f>IF(E106&lt;4200,E106,IF(E106&gt;4200,G106))</f>
        <v>4200</v>
      </c>
      <c r="K106" s="151" t="s">
        <v>99</v>
      </c>
      <c r="N106" s="258">
        <v>4</v>
      </c>
      <c r="O106" s="259">
        <f t="shared" si="7"/>
        <v>0.251328</v>
      </c>
      <c r="P106" s="260">
        <f t="shared" si="8"/>
        <v>0.125664</v>
      </c>
    </row>
    <row r="107" spans="1:16" ht="21.75">
      <c r="A107" s="153"/>
      <c r="B107" s="127"/>
      <c r="C107" s="134" t="s">
        <v>310</v>
      </c>
      <c r="D107" s="134" t="s">
        <v>385</v>
      </c>
      <c r="E107" s="127" t="s">
        <v>318</v>
      </c>
      <c r="F107" s="127"/>
      <c r="G107" s="127"/>
      <c r="H107" s="127"/>
      <c r="I107" s="134" t="s">
        <v>385</v>
      </c>
      <c r="J107" s="164">
        <f>(0.16*SQRT(J22)+49*(J102*J103/(J71*100)))*J104*J103</f>
        <v>14229.718309859156</v>
      </c>
      <c r="K107" s="151" t="s">
        <v>42</v>
      </c>
      <c r="N107" s="258">
        <v>4.5</v>
      </c>
      <c r="O107" s="259">
        <f t="shared" si="7"/>
        <v>0.318087</v>
      </c>
      <c r="P107" s="260">
        <f t="shared" si="8"/>
        <v>0.1590435</v>
      </c>
    </row>
    <row r="108" spans="1:16" ht="21.75">
      <c r="A108" s="153"/>
      <c r="B108" s="127"/>
      <c r="C108" s="134" t="s">
        <v>319</v>
      </c>
      <c r="D108" s="134" t="s">
        <v>385</v>
      </c>
      <c r="E108" s="127" t="s">
        <v>320</v>
      </c>
      <c r="F108" s="127"/>
      <c r="G108" s="127"/>
      <c r="H108" s="127"/>
      <c r="I108" s="134" t="s">
        <v>385</v>
      </c>
      <c r="J108" s="166">
        <f>0.53*SQRT(J22)*J104*J103</f>
        <v>11130.000000000002</v>
      </c>
      <c r="K108" s="151" t="s">
        <v>42</v>
      </c>
      <c r="N108" s="258">
        <v>6</v>
      </c>
      <c r="O108" s="259">
        <f t="shared" si="7"/>
        <v>0.565488</v>
      </c>
      <c r="P108" s="260">
        <f t="shared" si="8"/>
        <v>0.282744</v>
      </c>
    </row>
    <row r="109" spans="1:16" ht="21.75">
      <c r="A109" s="153"/>
      <c r="B109" s="127"/>
      <c r="C109" s="134" t="s">
        <v>321</v>
      </c>
      <c r="D109" s="134" t="s">
        <v>385</v>
      </c>
      <c r="E109" s="127" t="s">
        <v>322</v>
      </c>
      <c r="F109" s="127"/>
      <c r="G109" s="127"/>
      <c r="H109" s="127"/>
      <c r="I109" s="134" t="s">
        <v>385</v>
      </c>
      <c r="J109" s="166">
        <f>1.33*SQRT(J22)*J104*J103</f>
        <v>27930</v>
      </c>
      <c r="K109" s="151" t="s">
        <v>42</v>
      </c>
      <c r="N109" s="258">
        <v>9</v>
      </c>
      <c r="O109" s="259">
        <f t="shared" si="7"/>
        <v>1.272348</v>
      </c>
      <c r="P109" s="260">
        <f t="shared" si="8"/>
        <v>0.636174</v>
      </c>
    </row>
    <row r="110" spans="1:16" ht="21.75">
      <c r="A110" s="261" t="s">
        <v>41</v>
      </c>
      <c r="B110" s="262"/>
      <c r="C110" s="127"/>
      <c r="D110" s="127"/>
      <c r="E110" s="127"/>
      <c r="F110" s="263" t="s">
        <v>153</v>
      </c>
      <c r="G110" s="264" t="s">
        <v>323</v>
      </c>
      <c r="H110" s="264" t="s">
        <v>385</v>
      </c>
      <c r="I110" s="265">
        <f>IF(J107&gt;J109,J109,IF(J107&lt;J108,J108,J107))</f>
        <v>14229.718309859156</v>
      </c>
      <c r="J110" s="263" t="s">
        <v>42</v>
      </c>
      <c r="K110" s="266" t="str">
        <f>IF(I110&lt;J108,M84,IF(I110&gt;J109,M84,IF(I110&gt;J108,M83,IF(I110&lt;J109,M83))))</f>
        <v>OK.</v>
      </c>
      <c r="N110" s="258">
        <v>12</v>
      </c>
      <c r="O110" s="259">
        <f t="shared" si="7"/>
        <v>2.261952</v>
      </c>
      <c r="P110" s="260">
        <f t="shared" si="8"/>
        <v>1.130976</v>
      </c>
    </row>
    <row r="111" spans="1:11" ht="21.75">
      <c r="A111" s="261" t="s">
        <v>488</v>
      </c>
      <c r="B111" s="262"/>
      <c r="C111" s="134" t="s">
        <v>324</v>
      </c>
      <c r="D111" s="134" t="s">
        <v>385</v>
      </c>
      <c r="E111" s="480">
        <f>0.85*I110</f>
        <v>12095.260563380281</v>
      </c>
      <c r="F111" s="481"/>
      <c r="G111" s="127" t="s">
        <v>42</v>
      </c>
      <c r="H111" s="134" t="str">
        <f>IF(E111&gt;J102,A110,IF(E111&lt;J102,A111))</f>
        <v>&gt;</v>
      </c>
      <c r="I111" s="134" t="s">
        <v>314</v>
      </c>
      <c r="J111" s="127"/>
      <c r="K111" s="151" t="str">
        <f>IF(E111&gt;J102,M83,IF(E111&lt;J102,K112))</f>
        <v>OK.</v>
      </c>
    </row>
    <row r="112" spans="1:11" ht="21.75">
      <c r="A112" s="153"/>
      <c r="B112" s="127"/>
      <c r="C112" s="127" t="s">
        <v>154</v>
      </c>
      <c r="D112" s="127"/>
      <c r="E112" s="127"/>
      <c r="F112" s="127"/>
      <c r="G112" s="127"/>
      <c r="H112" s="127"/>
      <c r="I112" s="127"/>
      <c r="J112" s="267">
        <f>J105*J106*G45/((J102/0.85)-I110)</f>
        <v>-9.47556292497752</v>
      </c>
      <c r="K112" s="268" t="s">
        <v>325</v>
      </c>
    </row>
    <row r="113" spans="1:11" ht="21.75">
      <c r="A113" s="153"/>
      <c r="B113" s="127"/>
      <c r="C113" s="127" t="s">
        <v>155</v>
      </c>
      <c r="D113" s="134" t="s">
        <v>385</v>
      </c>
      <c r="E113" s="127" t="s">
        <v>326</v>
      </c>
      <c r="F113" s="127"/>
      <c r="G113" s="127" t="s">
        <v>327</v>
      </c>
      <c r="H113" s="127"/>
      <c r="I113" s="127"/>
      <c r="J113" s="301">
        <f>IF(J112&lt;0,0,IF(J112&gt;0,J112))</f>
        <v>0</v>
      </c>
      <c r="K113" s="151" t="s">
        <v>14</v>
      </c>
    </row>
    <row r="114" spans="1:11" ht="21.75">
      <c r="A114" s="153"/>
      <c r="B114" s="127"/>
      <c r="C114" s="127" t="s">
        <v>328</v>
      </c>
      <c r="D114" s="127"/>
      <c r="E114" s="127" t="s">
        <v>329</v>
      </c>
      <c r="F114" s="127"/>
      <c r="G114" s="127"/>
      <c r="H114" s="127"/>
      <c r="I114" s="264" t="s">
        <v>385</v>
      </c>
      <c r="J114" s="133">
        <f>80*J105*J106*J103/(J47*G43*SQRT(J103/J104))</f>
        <v>41.5772442347519</v>
      </c>
      <c r="K114" s="151" t="s">
        <v>14</v>
      </c>
    </row>
    <row r="115" spans="1:11" ht="21.75">
      <c r="A115" s="153"/>
      <c r="B115" s="127"/>
      <c r="C115" s="127" t="s">
        <v>330</v>
      </c>
      <c r="D115" s="127"/>
      <c r="E115" s="127" t="s">
        <v>331</v>
      </c>
      <c r="F115" s="127"/>
      <c r="G115" s="127"/>
      <c r="H115" s="127"/>
      <c r="I115" s="264" t="s">
        <v>385</v>
      </c>
      <c r="J115" s="133">
        <f>J105*J106/(3.52*J104)</f>
        <v>10.843875</v>
      </c>
      <c r="K115" s="151" t="s">
        <v>14</v>
      </c>
    </row>
    <row r="116" spans="1:11" ht="21.75">
      <c r="A116" s="153"/>
      <c r="B116" s="127"/>
      <c r="C116" s="127" t="s">
        <v>156</v>
      </c>
      <c r="D116" s="127"/>
      <c r="E116" s="127"/>
      <c r="F116" s="127"/>
      <c r="G116" s="127"/>
      <c r="H116" s="127"/>
      <c r="I116" s="264" t="s">
        <v>385</v>
      </c>
      <c r="J116" s="164">
        <f>0.75*H10</f>
        <v>26.25</v>
      </c>
      <c r="K116" s="151" t="s">
        <v>14</v>
      </c>
    </row>
    <row r="117" spans="1:11" ht="21.75">
      <c r="A117" s="153"/>
      <c r="B117" s="127"/>
      <c r="C117" s="127"/>
      <c r="D117" s="127"/>
      <c r="E117" s="127"/>
      <c r="F117" s="127"/>
      <c r="G117" s="127" t="s">
        <v>157</v>
      </c>
      <c r="H117" s="127"/>
      <c r="I117" s="264" t="s">
        <v>385</v>
      </c>
      <c r="J117" s="346">
        <v>10</v>
      </c>
      <c r="K117" s="151" t="s">
        <v>14</v>
      </c>
    </row>
    <row r="118" spans="1:11" ht="21.75">
      <c r="A118" s="153"/>
      <c r="B118" s="127"/>
      <c r="C118" s="127" t="s">
        <v>270</v>
      </c>
      <c r="D118" s="127"/>
      <c r="E118" s="166">
        <f>J105*J106*G45/J117</f>
        <v>4007.8962</v>
      </c>
      <c r="F118" s="127" t="s">
        <v>332</v>
      </c>
      <c r="G118" s="127"/>
      <c r="H118" s="127"/>
      <c r="I118" s="166">
        <f>1.06*SQRT(J22)*J104*G45</f>
        <v>22260.000000000004</v>
      </c>
      <c r="J118" s="127" t="s">
        <v>42</v>
      </c>
      <c r="K118" s="266" t="str">
        <f>IF(E118&lt;I118,M83,IF(E118&gt;I118,M84))</f>
        <v>OK.</v>
      </c>
    </row>
    <row r="119" spans="1:11" ht="21.75">
      <c r="A119" s="153"/>
      <c r="B119" s="127"/>
      <c r="C119" s="127"/>
      <c r="D119" s="127"/>
      <c r="E119" s="127"/>
      <c r="F119" s="127" t="s">
        <v>333</v>
      </c>
      <c r="G119" s="127"/>
      <c r="H119" s="127"/>
      <c r="I119" s="166">
        <f>2.12*SQRT(J22)*J104*G45</f>
        <v>44520.00000000001</v>
      </c>
      <c r="J119" s="127" t="s">
        <v>42</v>
      </c>
      <c r="K119" s="266" t="str">
        <f>IF(E118&lt;I119,M83,IF(E118&gt;I119,M84))</f>
        <v>OK.</v>
      </c>
    </row>
    <row r="120" spans="1:11" ht="21.75">
      <c r="A120" s="153"/>
      <c r="B120" s="127"/>
      <c r="C120" s="134" t="s">
        <v>311</v>
      </c>
      <c r="D120" s="134" t="s">
        <v>385</v>
      </c>
      <c r="E120" s="134" t="s">
        <v>334</v>
      </c>
      <c r="F120" s="127"/>
      <c r="G120" s="127"/>
      <c r="H120" s="264" t="s">
        <v>385</v>
      </c>
      <c r="I120" s="166">
        <f>E118+I110</f>
        <v>18237.614509859155</v>
      </c>
      <c r="J120" s="127" t="s">
        <v>42</v>
      </c>
      <c r="K120" s="266"/>
    </row>
    <row r="121" spans="1:11" ht="21.75">
      <c r="A121" s="153"/>
      <c r="B121" s="127"/>
      <c r="C121" s="134" t="s">
        <v>335</v>
      </c>
      <c r="D121" s="134" t="s">
        <v>385</v>
      </c>
      <c r="E121" s="480">
        <f>0.85*I120</f>
        <v>15501.972333380281</v>
      </c>
      <c r="F121" s="480"/>
      <c r="G121" s="127" t="s">
        <v>42</v>
      </c>
      <c r="H121" s="134" t="str">
        <f>IF(E121&gt;J102,A110,IF(E121&lt;J102,A111))</f>
        <v>&gt;</v>
      </c>
      <c r="I121" s="134" t="s">
        <v>314</v>
      </c>
      <c r="J121" s="127"/>
      <c r="K121" s="266" t="str">
        <f>IF(E121&gt;J102,M83,IF(E121&lt;J102,M84))</f>
        <v>OK.</v>
      </c>
    </row>
    <row r="122" spans="1:11" ht="21.75">
      <c r="A122" s="153"/>
      <c r="B122" s="127"/>
      <c r="C122" s="134"/>
      <c r="D122" s="134"/>
      <c r="E122" s="138"/>
      <c r="F122" s="138"/>
      <c r="G122" s="127"/>
      <c r="H122" s="134"/>
      <c r="I122" s="134"/>
      <c r="J122" s="127"/>
      <c r="K122" s="266"/>
    </row>
    <row r="123" spans="1:11" ht="21.75">
      <c r="A123" s="153"/>
      <c r="B123" s="127"/>
      <c r="C123" s="134"/>
      <c r="D123" s="134"/>
      <c r="E123" s="138"/>
      <c r="F123" s="138"/>
      <c r="G123" s="127"/>
      <c r="H123" s="134"/>
      <c r="I123" s="134"/>
      <c r="J123" s="127"/>
      <c r="K123" s="266"/>
    </row>
    <row r="124" spans="1:11" ht="21.75">
      <c r="A124" s="153"/>
      <c r="B124" s="127"/>
      <c r="C124" s="134"/>
      <c r="D124" s="134"/>
      <c r="E124" s="138"/>
      <c r="F124" s="138"/>
      <c r="G124" s="127"/>
      <c r="H124" s="134"/>
      <c r="I124" s="134"/>
      <c r="J124" s="127"/>
      <c r="K124" s="266"/>
    </row>
    <row r="125" spans="1:11" ht="21.75">
      <c r="A125" s="153"/>
      <c r="B125" s="127"/>
      <c r="C125" s="134"/>
      <c r="D125" s="134"/>
      <c r="E125" s="138"/>
      <c r="F125" s="138"/>
      <c r="G125" s="127"/>
      <c r="H125" s="134"/>
      <c r="I125" s="134"/>
      <c r="J125" s="127"/>
      <c r="K125" s="266"/>
    </row>
    <row r="126" spans="1:11" ht="21.75">
      <c r="A126" s="153"/>
      <c r="B126" s="127"/>
      <c r="C126" s="134"/>
      <c r="D126" s="134"/>
      <c r="E126" s="138"/>
      <c r="F126" s="138"/>
      <c r="G126" s="127"/>
      <c r="H126" s="134"/>
      <c r="I126" s="134"/>
      <c r="J126" s="127"/>
      <c r="K126" s="266"/>
    </row>
    <row r="127" spans="1:11" ht="22.5" thickBot="1">
      <c r="A127" s="157"/>
      <c r="B127" s="479" t="str">
        <f>+B86</f>
        <v>S. 0.35x0.35 (1225) x 18.00 m.</v>
      </c>
      <c r="C127" s="479"/>
      <c r="D127" s="351" t="str">
        <f>+I6</f>
        <v>(BATTER PILE)</v>
      </c>
      <c r="E127" s="307" t="s">
        <v>430</v>
      </c>
      <c r="F127" s="158"/>
      <c r="G127" s="158"/>
      <c r="H127" s="158"/>
      <c r="I127" s="158"/>
      <c r="J127" s="158"/>
      <c r="K127" s="159"/>
    </row>
    <row r="128" spans="1:11" ht="23.25">
      <c r="A128" s="249" t="s">
        <v>158</v>
      </c>
      <c r="B128" s="250"/>
      <c r="C128" s="145"/>
      <c r="D128" s="145"/>
      <c r="E128" s="145"/>
      <c r="F128" s="145"/>
      <c r="G128" s="145"/>
      <c r="H128" s="145"/>
      <c r="I128" s="145"/>
      <c r="J128" s="145"/>
      <c r="K128" s="152"/>
    </row>
    <row r="129" spans="1:11" ht="21.75">
      <c r="A129" s="153"/>
      <c r="B129" s="269" t="s">
        <v>411</v>
      </c>
      <c r="C129" s="127" t="s">
        <v>244</v>
      </c>
      <c r="D129" s="127"/>
      <c r="E129" s="127"/>
      <c r="F129" s="127"/>
      <c r="G129" s="127"/>
      <c r="H129" s="127"/>
      <c r="I129" s="127"/>
      <c r="J129" s="127"/>
      <c r="K129" s="151"/>
    </row>
    <row r="130" spans="1:11" ht="21.75">
      <c r="A130" s="153"/>
      <c r="B130" s="269" t="s">
        <v>170</v>
      </c>
      <c r="C130" s="127" t="s">
        <v>245</v>
      </c>
      <c r="D130" s="127"/>
      <c r="E130" s="127"/>
      <c r="F130" s="127"/>
      <c r="G130" s="127"/>
      <c r="H130" s="127"/>
      <c r="I130" s="127"/>
      <c r="J130" s="127"/>
      <c r="K130" s="151"/>
    </row>
    <row r="131" spans="1:11" ht="24.75">
      <c r="A131" s="153"/>
      <c r="B131" s="134" t="s">
        <v>207</v>
      </c>
      <c r="C131" s="127" t="s">
        <v>159</v>
      </c>
      <c r="D131" s="127"/>
      <c r="E131" s="127"/>
      <c r="F131" s="127"/>
      <c r="G131" s="127"/>
      <c r="H131" s="127"/>
      <c r="I131" s="127"/>
      <c r="J131" s="127"/>
      <c r="K131" s="151" t="s">
        <v>303</v>
      </c>
    </row>
    <row r="132" spans="1:11" ht="24.75">
      <c r="A132" s="153"/>
      <c r="B132" s="134" t="s">
        <v>336</v>
      </c>
      <c r="C132" s="127" t="s">
        <v>160</v>
      </c>
      <c r="D132" s="127"/>
      <c r="E132" s="127"/>
      <c r="F132" s="127"/>
      <c r="G132" s="127"/>
      <c r="H132" s="127"/>
      <c r="I132" s="127"/>
      <c r="J132" s="127"/>
      <c r="K132" s="151" t="s">
        <v>303</v>
      </c>
    </row>
    <row r="133" spans="1:11" ht="24.75">
      <c r="A133" s="153"/>
      <c r="B133" s="134" t="s">
        <v>455</v>
      </c>
      <c r="C133" s="127" t="s">
        <v>161</v>
      </c>
      <c r="D133" s="127"/>
      <c r="E133" s="127"/>
      <c r="F133" s="127"/>
      <c r="G133" s="127"/>
      <c r="H133" s="127"/>
      <c r="I133" s="127"/>
      <c r="J133" s="127"/>
      <c r="K133" s="151" t="s">
        <v>303</v>
      </c>
    </row>
    <row r="134" spans="1:11" ht="21.75">
      <c r="A134" s="153"/>
      <c r="B134" s="134" t="s">
        <v>66</v>
      </c>
      <c r="C134" s="127" t="s">
        <v>162</v>
      </c>
      <c r="D134" s="127"/>
      <c r="E134" s="127"/>
      <c r="F134" s="127"/>
      <c r="G134" s="127"/>
      <c r="H134" s="127"/>
      <c r="I134" s="127"/>
      <c r="J134" s="127"/>
      <c r="K134" s="151" t="s">
        <v>305</v>
      </c>
    </row>
    <row r="135" spans="1:11" ht="21.75">
      <c r="A135" s="153"/>
      <c r="B135" s="134" t="s">
        <v>67</v>
      </c>
      <c r="C135" s="127" t="s">
        <v>163</v>
      </c>
      <c r="D135" s="127"/>
      <c r="E135" s="127"/>
      <c r="F135" s="127"/>
      <c r="G135" s="127"/>
      <c r="H135" s="127"/>
      <c r="I135" s="127"/>
      <c r="J135" s="127"/>
      <c r="K135" s="151" t="s">
        <v>305</v>
      </c>
    </row>
    <row r="136" spans="1:11" ht="21.75">
      <c r="A136" s="153"/>
      <c r="B136" s="134" t="s">
        <v>65</v>
      </c>
      <c r="C136" s="127" t="s">
        <v>246</v>
      </c>
      <c r="D136" s="127"/>
      <c r="E136" s="127"/>
      <c r="F136" s="127"/>
      <c r="G136" s="127"/>
      <c r="H136" s="127"/>
      <c r="I136" s="127"/>
      <c r="J136" s="127"/>
      <c r="K136" s="151"/>
    </row>
    <row r="137" spans="1:11" ht="21.75">
      <c r="A137" s="153"/>
      <c r="B137" s="134"/>
      <c r="C137" s="127" t="s">
        <v>247</v>
      </c>
      <c r="D137" s="127"/>
      <c r="E137" s="127"/>
      <c r="F137" s="127"/>
      <c r="G137" s="127"/>
      <c r="H137" s="127"/>
      <c r="I137" s="127"/>
      <c r="J137" s="127"/>
      <c r="K137" s="151" t="s">
        <v>305</v>
      </c>
    </row>
    <row r="138" spans="1:11" ht="21.75">
      <c r="A138" s="153"/>
      <c r="B138" s="134" t="s">
        <v>248</v>
      </c>
      <c r="C138" s="127" t="s">
        <v>246</v>
      </c>
      <c r="D138" s="127"/>
      <c r="E138" s="127"/>
      <c r="F138" s="127"/>
      <c r="G138" s="127"/>
      <c r="H138" s="127"/>
      <c r="I138" s="127"/>
      <c r="J138" s="127"/>
      <c r="K138" s="151"/>
    </row>
    <row r="139" spans="1:11" ht="21.75">
      <c r="A139" s="153"/>
      <c r="B139" s="134"/>
      <c r="C139" s="127" t="s">
        <v>249</v>
      </c>
      <c r="D139" s="127"/>
      <c r="E139" s="127"/>
      <c r="F139" s="127"/>
      <c r="G139" s="127"/>
      <c r="H139" s="127"/>
      <c r="I139" s="127"/>
      <c r="J139" s="127"/>
      <c r="K139" s="151" t="s">
        <v>305</v>
      </c>
    </row>
    <row r="140" spans="1:11" ht="21.75">
      <c r="A140" s="153"/>
      <c r="B140" s="134" t="s">
        <v>204</v>
      </c>
      <c r="C140" s="127" t="s">
        <v>164</v>
      </c>
      <c r="D140" s="127"/>
      <c r="E140" s="127"/>
      <c r="F140" s="127"/>
      <c r="G140" s="127"/>
      <c r="H140" s="127"/>
      <c r="I140" s="127"/>
      <c r="J140" s="127"/>
      <c r="K140" s="151" t="s">
        <v>142</v>
      </c>
    </row>
    <row r="141" spans="1:11" ht="21.75">
      <c r="A141" s="153"/>
      <c r="B141" s="134" t="s">
        <v>337</v>
      </c>
      <c r="C141" s="127" t="s">
        <v>165</v>
      </c>
      <c r="D141" s="127"/>
      <c r="E141" s="127"/>
      <c r="F141" s="127"/>
      <c r="G141" s="127"/>
      <c r="H141" s="127"/>
      <c r="I141" s="127"/>
      <c r="J141" s="127"/>
      <c r="K141" s="151" t="s">
        <v>142</v>
      </c>
    </row>
    <row r="142" spans="1:11" ht="21.75">
      <c r="A142" s="153"/>
      <c r="B142" s="134" t="s">
        <v>456</v>
      </c>
      <c r="C142" s="127" t="s">
        <v>431</v>
      </c>
      <c r="D142" s="127"/>
      <c r="E142" s="127"/>
      <c r="F142" s="127"/>
      <c r="G142" s="127"/>
      <c r="H142" s="127"/>
      <c r="I142" s="127"/>
      <c r="J142" s="127"/>
      <c r="K142" s="151" t="s">
        <v>142</v>
      </c>
    </row>
    <row r="143" spans="1:11" ht="21.75">
      <c r="A143" s="153"/>
      <c r="B143" s="134" t="s">
        <v>338</v>
      </c>
      <c r="C143" s="127" t="s">
        <v>166</v>
      </c>
      <c r="D143" s="127"/>
      <c r="E143" s="127"/>
      <c r="F143" s="127"/>
      <c r="G143" s="127"/>
      <c r="H143" s="127"/>
      <c r="I143" s="127"/>
      <c r="J143" s="127"/>
      <c r="K143" s="151" t="s">
        <v>142</v>
      </c>
    </row>
    <row r="144" spans="1:11" ht="21.75">
      <c r="A144" s="153"/>
      <c r="B144" s="134" t="s">
        <v>339</v>
      </c>
      <c r="C144" s="127" t="s">
        <v>167</v>
      </c>
      <c r="D144" s="127"/>
      <c r="E144" s="127"/>
      <c r="F144" s="127"/>
      <c r="G144" s="127"/>
      <c r="H144" s="127"/>
      <c r="I144" s="127"/>
      <c r="J144" s="127"/>
      <c r="K144" s="151" t="s">
        <v>142</v>
      </c>
    </row>
    <row r="145" spans="1:11" ht="21.75">
      <c r="A145" s="153"/>
      <c r="B145" s="134" t="s">
        <v>309</v>
      </c>
      <c r="C145" s="127" t="s">
        <v>432</v>
      </c>
      <c r="D145" s="127"/>
      <c r="E145" s="127"/>
      <c r="F145" s="127"/>
      <c r="G145" s="127"/>
      <c r="H145" s="127"/>
      <c r="I145" s="127"/>
      <c r="J145" s="127"/>
      <c r="K145" s="151" t="s">
        <v>142</v>
      </c>
    </row>
    <row r="146" spans="1:11" ht="21.75">
      <c r="A146" s="153"/>
      <c r="B146" s="269" t="s">
        <v>204</v>
      </c>
      <c r="C146" s="127" t="s">
        <v>340</v>
      </c>
      <c r="D146" s="127"/>
      <c r="E146" s="127"/>
      <c r="F146" s="127"/>
      <c r="G146" s="127"/>
      <c r="H146" s="127"/>
      <c r="I146" s="127"/>
      <c r="J146" s="127"/>
      <c r="K146" s="151"/>
    </row>
    <row r="147" spans="1:11" ht="21.75">
      <c r="A147" s="153"/>
      <c r="B147" s="270" t="s">
        <v>341</v>
      </c>
      <c r="C147" s="127" t="s">
        <v>168</v>
      </c>
      <c r="D147" s="127"/>
      <c r="E147" s="127"/>
      <c r="F147" s="127"/>
      <c r="G147" s="127"/>
      <c r="H147" s="127"/>
      <c r="I147" s="127"/>
      <c r="J147" s="127"/>
      <c r="K147" s="151"/>
    </row>
    <row r="148" spans="1:11" ht="21.75">
      <c r="A148" s="153"/>
      <c r="B148" s="309" t="s">
        <v>457</v>
      </c>
      <c r="C148" s="127" t="s">
        <v>433</v>
      </c>
      <c r="D148" s="127"/>
      <c r="E148" s="127"/>
      <c r="F148" s="127"/>
      <c r="G148" s="127"/>
      <c r="H148" s="127"/>
      <c r="I148" s="127"/>
      <c r="J148" s="127"/>
      <c r="K148" s="151"/>
    </row>
    <row r="149" spans="1:11" ht="21.75">
      <c r="A149" s="153"/>
      <c r="B149" s="309" t="s">
        <v>458</v>
      </c>
      <c r="C149" s="127" t="s">
        <v>434</v>
      </c>
      <c r="D149" s="127"/>
      <c r="E149" s="127"/>
      <c r="F149" s="127"/>
      <c r="G149" s="127"/>
      <c r="H149" s="127"/>
      <c r="I149" s="127"/>
      <c r="J149" s="127"/>
      <c r="K149" s="151"/>
    </row>
    <row r="150" spans="1:11" ht="21.75">
      <c r="A150" s="153"/>
      <c r="B150" s="309" t="s">
        <v>459</v>
      </c>
      <c r="C150" s="127" t="s">
        <v>435</v>
      </c>
      <c r="D150" s="127"/>
      <c r="E150" s="127"/>
      <c r="F150" s="127"/>
      <c r="G150" s="127"/>
      <c r="H150" s="127"/>
      <c r="I150" s="127"/>
      <c r="J150" s="127"/>
      <c r="K150" s="151"/>
    </row>
    <row r="151" spans="1:11" ht="21.75">
      <c r="A151" s="153"/>
      <c r="B151" s="310" t="s">
        <v>460</v>
      </c>
      <c r="C151" s="127" t="s">
        <v>436</v>
      </c>
      <c r="D151" s="127"/>
      <c r="E151" s="127"/>
      <c r="F151" s="127"/>
      <c r="G151" s="127"/>
      <c r="H151" s="127"/>
      <c r="I151" s="127"/>
      <c r="J151" s="127"/>
      <c r="K151" s="151"/>
    </row>
    <row r="152" spans="1:11" ht="21.75">
      <c r="A152" s="153"/>
      <c r="B152" s="310" t="s">
        <v>461</v>
      </c>
      <c r="C152" s="127" t="s">
        <v>437</v>
      </c>
      <c r="D152" s="127"/>
      <c r="E152" s="127"/>
      <c r="F152" s="127"/>
      <c r="G152" s="127"/>
      <c r="H152" s="127"/>
      <c r="I152" s="127"/>
      <c r="J152" s="127"/>
      <c r="K152" s="151"/>
    </row>
    <row r="153" spans="1:11" ht="21.75">
      <c r="A153" s="153"/>
      <c r="C153" s="134" t="s">
        <v>291</v>
      </c>
      <c r="D153" s="134" t="s">
        <v>385</v>
      </c>
      <c r="E153" s="135" t="s">
        <v>462</v>
      </c>
      <c r="F153" s="127"/>
      <c r="G153" s="127"/>
      <c r="H153" s="127"/>
      <c r="I153" s="134" t="s">
        <v>385</v>
      </c>
      <c r="J153" s="164">
        <f>1.7*J18</f>
        <v>18360</v>
      </c>
      <c r="K153" s="151" t="s">
        <v>76</v>
      </c>
    </row>
    <row r="154" spans="1:11" ht="21.75">
      <c r="A154" s="153"/>
      <c r="B154" s="127"/>
      <c r="C154" s="134" t="s">
        <v>338</v>
      </c>
      <c r="D154" s="134" t="s">
        <v>385</v>
      </c>
      <c r="E154" s="135" t="s">
        <v>342</v>
      </c>
      <c r="F154" s="127"/>
      <c r="G154" s="127"/>
      <c r="H154" s="127"/>
      <c r="I154" s="134" t="s">
        <v>385</v>
      </c>
      <c r="J154" s="164">
        <f>0.75*G43-J61</f>
        <v>11230.378418470229</v>
      </c>
      <c r="K154" s="151" t="s">
        <v>99</v>
      </c>
    </row>
    <row r="155" spans="1:17" ht="27" customHeight="1">
      <c r="A155" s="153"/>
      <c r="B155" s="127"/>
      <c r="C155" s="270" t="s">
        <v>341</v>
      </c>
      <c r="D155" s="134" t="s">
        <v>385</v>
      </c>
      <c r="E155" s="135" t="s">
        <v>343</v>
      </c>
      <c r="F155" s="127"/>
      <c r="G155" s="127"/>
      <c r="H155" s="271" t="s">
        <v>344</v>
      </c>
      <c r="I155" s="134" t="s">
        <v>385</v>
      </c>
      <c r="J155" s="164">
        <f>0.85-(0.0008*(J22-300))</f>
        <v>0.77</v>
      </c>
      <c r="K155" s="266" t="str">
        <f>IF(J155=0.65,M83,IF(J155&gt;0.65,M83,IF(J155&lt;0.65,M84)))</f>
        <v>OK.</v>
      </c>
      <c r="M155" s="272"/>
      <c r="N155" s="241"/>
      <c r="O155" s="273" t="s">
        <v>250</v>
      </c>
      <c r="P155" s="274" t="s">
        <v>413</v>
      </c>
      <c r="Q155" s="241"/>
    </row>
    <row r="156" spans="1:17" ht="24.75">
      <c r="A156" s="153"/>
      <c r="B156" s="127"/>
      <c r="C156" s="134" t="s">
        <v>204</v>
      </c>
      <c r="D156" s="134"/>
      <c r="E156" s="127"/>
      <c r="F156" s="127"/>
      <c r="G156" s="127"/>
      <c r="H156" s="127"/>
      <c r="I156" s="134" t="s">
        <v>385</v>
      </c>
      <c r="J156" s="166">
        <f>J31</f>
        <v>1978256.8</v>
      </c>
      <c r="K156" s="151" t="s">
        <v>99</v>
      </c>
      <c r="M156" s="275" t="s">
        <v>370</v>
      </c>
      <c r="N156" s="238"/>
      <c r="O156" s="275" t="s">
        <v>251</v>
      </c>
      <c r="P156" s="276" t="s">
        <v>269</v>
      </c>
      <c r="Q156" s="180" t="s">
        <v>337</v>
      </c>
    </row>
    <row r="157" spans="1:17" ht="21.75">
      <c r="A157" s="153"/>
      <c r="B157" s="127"/>
      <c r="C157" s="134" t="s">
        <v>66</v>
      </c>
      <c r="D157" s="134" t="s">
        <v>385</v>
      </c>
      <c r="E157" s="277" t="s">
        <v>345</v>
      </c>
      <c r="F157" s="127"/>
      <c r="G157" s="127"/>
      <c r="H157" s="127"/>
      <c r="I157" s="127"/>
      <c r="J157" s="127"/>
      <c r="K157" s="151"/>
      <c r="M157" s="353"/>
      <c r="N157" s="354">
        <v>4</v>
      </c>
      <c r="O157" s="354">
        <v>20.5</v>
      </c>
      <c r="P157" s="355">
        <f aca="true" t="shared" si="9" ref="P157:P163">+C35</f>
        <v>0.126</v>
      </c>
      <c r="Q157" s="260">
        <f aca="true" t="shared" si="10" ref="Q157:Q163">+O157/P157*100</f>
        <v>16269.84126984127</v>
      </c>
    </row>
    <row r="158" spans="1:17" ht="21.75">
      <c r="A158" s="153"/>
      <c r="B158" s="127"/>
      <c r="C158" s="134" t="s">
        <v>65</v>
      </c>
      <c r="D158" s="127"/>
      <c r="E158" s="127"/>
      <c r="F158" s="127"/>
      <c r="G158" s="127"/>
      <c r="H158" s="127"/>
      <c r="I158" s="134" t="s">
        <v>385</v>
      </c>
      <c r="J158" s="311">
        <f>+H10-J159</f>
        <v>29</v>
      </c>
      <c r="K158" s="151" t="s">
        <v>14</v>
      </c>
      <c r="M158" s="353"/>
      <c r="N158" s="354">
        <v>5</v>
      </c>
      <c r="O158" s="354">
        <v>32.2</v>
      </c>
      <c r="P158" s="355">
        <f t="shared" si="9"/>
        <v>0.196</v>
      </c>
      <c r="Q158" s="260">
        <f t="shared" si="10"/>
        <v>16428.57142857143</v>
      </c>
    </row>
    <row r="159" spans="1:17" ht="21.75">
      <c r="A159" s="153"/>
      <c r="B159" s="127"/>
      <c r="C159" s="134" t="s">
        <v>248</v>
      </c>
      <c r="D159" s="127"/>
      <c r="E159" s="127"/>
      <c r="F159" s="127"/>
      <c r="G159" s="127"/>
      <c r="H159" s="127"/>
      <c r="I159" s="134" t="s">
        <v>385</v>
      </c>
      <c r="J159" s="311">
        <v>6</v>
      </c>
      <c r="K159" s="151" t="s">
        <v>14</v>
      </c>
      <c r="M159" s="353"/>
      <c r="N159" s="354">
        <v>7</v>
      </c>
      <c r="O159" s="354">
        <v>56.7</v>
      </c>
      <c r="P159" s="355">
        <f t="shared" si="9"/>
        <v>0.385</v>
      </c>
      <c r="Q159" s="260">
        <f t="shared" si="10"/>
        <v>14727.272727272728</v>
      </c>
    </row>
    <row r="160" spans="1:17" ht="21.75">
      <c r="A160" s="261" t="s">
        <v>169</v>
      </c>
      <c r="B160" s="262"/>
      <c r="C160" s="134" t="s">
        <v>337</v>
      </c>
      <c r="D160" s="127"/>
      <c r="E160" s="127"/>
      <c r="F160" s="127"/>
      <c r="G160" s="127"/>
      <c r="H160" s="127"/>
      <c r="I160" s="134" t="s">
        <v>385</v>
      </c>
      <c r="J160" s="311">
        <f>Q161</f>
        <v>17609.48905109489</v>
      </c>
      <c r="K160" s="151" t="s">
        <v>14</v>
      </c>
      <c r="M160" s="353" t="s">
        <v>221</v>
      </c>
      <c r="N160" s="354">
        <v>9.3</v>
      </c>
      <c r="O160" s="354">
        <v>87.5</v>
      </c>
      <c r="P160" s="355">
        <f t="shared" si="9"/>
        <v>0.516</v>
      </c>
      <c r="Q160" s="260">
        <f t="shared" si="10"/>
        <v>16957.36434108527</v>
      </c>
    </row>
    <row r="161" spans="1:17" ht="21.75">
      <c r="A161" s="261"/>
      <c r="B161" s="262"/>
      <c r="C161" s="134" t="s">
        <v>309</v>
      </c>
      <c r="D161" s="127"/>
      <c r="E161" s="127"/>
      <c r="F161" s="127"/>
      <c r="G161" s="127"/>
      <c r="H161" s="127"/>
      <c r="I161" s="134" t="s">
        <v>385</v>
      </c>
      <c r="J161" s="311">
        <v>4000</v>
      </c>
      <c r="K161" s="151" t="s">
        <v>99</v>
      </c>
      <c r="M161" s="353" t="s">
        <v>222</v>
      </c>
      <c r="N161" s="354">
        <v>9.5</v>
      </c>
      <c r="O161" s="354">
        <v>96.5</v>
      </c>
      <c r="P161" s="355">
        <f t="shared" si="9"/>
        <v>0.548</v>
      </c>
      <c r="Q161" s="260">
        <f t="shared" si="10"/>
        <v>17609.48905109489</v>
      </c>
    </row>
    <row r="162" spans="1:17" ht="21.75">
      <c r="A162" s="261"/>
      <c r="B162" s="262"/>
      <c r="C162" s="134" t="s">
        <v>456</v>
      </c>
      <c r="D162" s="127"/>
      <c r="E162" s="127"/>
      <c r="F162" s="127"/>
      <c r="G162" s="127"/>
      <c r="H162" s="127"/>
      <c r="I162" s="134" t="s">
        <v>385</v>
      </c>
      <c r="J162" s="311">
        <v>2040000</v>
      </c>
      <c r="K162" s="151" t="s">
        <v>99</v>
      </c>
      <c r="M162" s="353" t="s">
        <v>224</v>
      </c>
      <c r="N162" s="354">
        <v>12.7</v>
      </c>
      <c r="O162" s="354">
        <v>167</v>
      </c>
      <c r="P162" s="355">
        <f t="shared" si="9"/>
        <v>0.929</v>
      </c>
      <c r="Q162" s="260">
        <f t="shared" si="10"/>
        <v>17976.31862217438</v>
      </c>
    </row>
    <row r="163" spans="1:17" ht="27" customHeight="1">
      <c r="A163" s="261" t="s">
        <v>488</v>
      </c>
      <c r="B163" s="262"/>
      <c r="C163" s="134" t="s">
        <v>346</v>
      </c>
      <c r="D163" s="134" t="s">
        <v>385</v>
      </c>
      <c r="E163" s="164">
        <f>IF(H163&gt;0.9,0.28,IF(H163=0.9,0.28,IF(H163&lt;0.9,0.4)))</f>
        <v>0.28</v>
      </c>
      <c r="F163" s="127"/>
      <c r="G163" s="135" t="s">
        <v>347</v>
      </c>
      <c r="H163" s="133">
        <f>J160/G43</f>
        <v>0.9268152132155205</v>
      </c>
      <c r="I163" s="134" t="str">
        <f>IF(H163&gt;J163,A160,IF(H163=J163,A160,IF(H163&lt;J163,A163)))</f>
        <v>&gt;=</v>
      </c>
      <c r="J163" s="278">
        <v>0.9</v>
      </c>
      <c r="K163" s="151"/>
      <c r="M163" s="353" t="s">
        <v>226</v>
      </c>
      <c r="N163" s="354">
        <v>15.2</v>
      </c>
      <c r="O163" s="354">
        <v>234</v>
      </c>
      <c r="P163" s="355">
        <f t="shared" si="9"/>
        <v>0.987</v>
      </c>
      <c r="Q163" s="260">
        <f t="shared" si="10"/>
        <v>23708.20668693009</v>
      </c>
    </row>
    <row r="164" spans="1:18" ht="21.75">
      <c r="A164" s="153"/>
      <c r="B164" s="127"/>
      <c r="C164" s="134" t="s">
        <v>348</v>
      </c>
      <c r="D164" s="134" t="s">
        <v>385</v>
      </c>
      <c r="E164" s="134" t="s">
        <v>463</v>
      </c>
      <c r="F164" s="127"/>
      <c r="G164" s="127"/>
      <c r="H164" s="127"/>
      <c r="I164" s="134" t="s">
        <v>385</v>
      </c>
      <c r="J164" s="206">
        <f>J47/(E10*J103)</f>
        <v>0.004175238095238096</v>
      </c>
      <c r="K164" s="151"/>
      <c r="M164" s="356"/>
      <c r="N164" s="356"/>
      <c r="O164" s="356"/>
      <c r="P164" s="357"/>
      <c r="Q164" s="358"/>
      <c r="R164" s="358"/>
    </row>
    <row r="165" spans="1:18" ht="21.75">
      <c r="A165" s="153"/>
      <c r="B165" s="127"/>
      <c r="C165" s="269" t="s">
        <v>411</v>
      </c>
      <c r="D165" s="134" t="s">
        <v>385</v>
      </c>
      <c r="E165" s="134" t="s">
        <v>464</v>
      </c>
      <c r="F165" s="127"/>
      <c r="G165" s="127"/>
      <c r="H165" s="127"/>
      <c r="I165" s="134" t="s">
        <v>385</v>
      </c>
      <c r="J165" s="316">
        <f>+J183/(E10*J158)</f>
        <v>0</v>
      </c>
      <c r="K165" s="151"/>
      <c r="M165" s="356"/>
      <c r="N165" s="356"/>
      <c r="O165" s="356"/>
      <c r="P165" s="357"/>
      <c r="Q165" s="358"/>
      <c r="R165" s="358"/>
    </row>
    <row r="166" spans="1:18" ht="21.75">
      <c r="A166" s="153"/>
      <c r="B166" s="127"/>
      <c r="C166" s="269" t="s">
        <v>170</v>
      </c>
      <c r="D166" s="134" t="s">
        <v>385</v>
      </c>
      <c r="E166" s="134" t="s">
        <v>465</v>
      </c>
      <c r="F166" s="127"/>
      <c r="G166" s="127"/>
      <c r="H166" s="127"/>
      <c r="I166" s="134" t="s">
        <v>385</v>
      </c>
      <c r="J166" s="316">
        <f>+J184/(E10*J158)</f>
        <v>0</v>
      </c>
      <c r="K166" s="151"/>
      <c r="M166" s="358"/>
      <c r="N166" s="358"/>
      <c r="O166" s="358"/>
      <c r="P166" s="358"/>
      <c r="Q166" s="358"/>
      <c r="R166" s="358"/>
    </row>
    <row r="167" spans="1:11" ht="22.5" thickBot="1">
      <c r="A167" s="157"/>
      <c r="B167" s="479" t="str">
        <f>+F6</f>
        <v>S. 0.35x0.35 (1225) x 18.00 m.</v>
      </c>
      <c r="C167" s="479"/>
      <c r="D167" s="352" t="str">
        <f>+I6</f>
        <v>(BATTER PILE)</v>
      </c>
      <c r="E167" s="307" t="s">
        <v>438</v>
      </c>
      <c r="F167" s="158"/>
      <c r="G167" s="158"/>
      <c r="H167" s="158"/>
      <c r="I167" s="291"/>
      <c r="J167" s="312"/>
      <c r="K167" s="159"/>
    </row>
    <row r="168" spans="1:11" ht="21.75">
      <c r="A168" s="144"/>
      <c r="B168" s="313"/>
      <c r="C168" s="314" t="s">
        <v>466</v>
      </c>
      <c r="D168" s="315" t="s">
        <v>385</v>
      </c>
      <c r="E168" s="200" t="s">
        <v>467</v>
      </c>
      <c r="F168" s="145"/>
      <c r="G168" s="145"/>
      <c r="H168" s="145"/>
      <c r="I168" s="200" t="s">
        <v>385</v>
      </c>
      <c r="J168" s="347">
        <f>+(J164*J171)/J22</f>
        <v>0.18402114282415996</v>
      </c>
      <c r="K168" s="152"/>
    </row>
    <row r="169" spans="1:11" ht="21.75">
      <c r="A169" s="153"/>
      <c r="B169" s="127"/>
      <c r="C169" s="269" t="s">
        <v>64</v>
      </c>
      <c r="D169" s="134" t="s">
        <v>385</v>
      </c>
      <c r="E169" s="134" t="s">
        <v>349</v>
      </c>
      <c r="F169" s="127"/>
      <c r="G169" s="127"/>
      <c r="H169" s="127"/>
      <c r="I169" s="134" t="s">
        <v>385</v>
      </c>
      <c r="J169" s="316">
        <f>J165*J106/J22</f>
        <v>0</v>
      </c>
      <c r="K169" s="151"/>
    </row>
    <row r="170" spans="1:11" ht="21.75">
      <c r="A170" s="153"/>
      <c r="B170" s="127"/>
      <c r="C170" s="269" t="s">
        <v>171</v>
      </c>
      <c r="D170" s="134" t="s">
        <v>385</v>
      </c>
      <c r="E170" s="134" t="s">
        <v>350</v>
      </c>
      <c r="F170" s="127"/>
      <c r="G170" s="127"/>
      <c r="H170" s="127"/>
      <c r="I170" s="134" t="s">
        <v>385</v>
      </c>
      <c r="J170" s="316">
        <f>J166*J106/J22</f>
        <v>0</v>
      </c>
      <c r="K170" s="151"/>
    </row>
    <row r="171" spans="1:11" ht="21.75">
      <c r="A171" s="153"/>
      <c r="B171" s="127"/>
      <c r="C171" s="134" t="s">
        <v>339</v>
      </c>
      <c r="D171" s="134" t="s">
        <v>385</v>
      </c>
      <c r="E171" s="135" t="s">
        <v>351</v>
      </c>
      <c r="F171" s="127"/>
      <c r="G171" s="127"/>
      <c r="H171" s="127"/>
      <c r="I171" s="134" t="s">
        <v>385</v>
      </c>
      <c r="J171" s="164">
        <f>G43*(1-(E163/J155)*((J164*G43/J22)+(J158/J103)*(J169-J170)))</f>
        <v>17629.76277056277</v>
      </c>
      <c r="K171" s="151" t="s">
        <v>99</v>
      </c>
    </row>
    <row r="172" spans="1:11" ht="21.75">
      <c r="A172" s="153"/>
      <c r="B172" s="127"/>
      <c r="C172" s="269" t="s">
        <v>60</v>
      </c>
      <c r="D172" s="134" t="s">
        <v>385</v>
      </c>
      <c r="E172" s="269" t="s">
        <v>380</v>
      </c>
      <c r="F172" s="127"/>
      <c r="G172" s="127"/>
      <c r="H172" s="127"/>
      <c r="I172" s="127"/>
      <c r="J172" s="127"/>
      <c r="K172" s="151"/>
    </row>
    <row r="173" spans="1:11" ht="21.75">
      <c r="A173" s="153"/>
      <c r="B173" s="127"/>
      <c r="C173" s="134" t="s">
        <v>352</v>
      </c>
      <c r="D173" s="134" t="s">
        <v>385</v>
      </c>
      <c r="E173" s="134" t="s">
        <v>353</v>
      </c>
      <c r="F173" s="127"/>
      <c r="G173" s="127"/>
      <c r="H173" s="127"/>
      <c r="I173" s="127"/>
      <c r="J173" s="127"/>
      <c r="K173" s="151"/>
    </row>
    <row r="174" spans="1:11" ht="21.75">
      <c r="A174" s="153"/>
      <c r="B174" s="127"/>
      <c r="C174" s="134" t="s">
        <v>66</v>
      </c>
      <c r="D174" s="134" t="s">
        <v>385</v>
      </c>
      <c r="E174" s="135" t="s">
        <v>354</v>
      </c>
      <c r="F174" s="127"/>
      <c r="G174" s="127"/>
      <c r="H174" s="127"/>
      <c r="I174" s="134" t="s">
        <v>385</v>
      </c>
      <c r="J174" s="164">
        <f>(J47*J171)/(0.85*J22*E10)</f>
        <v>6.494863864382117</v>
      </c>
      <c r="K174" s="151" t="s">
        <v>14</v>
      </c>
    </row>
    <row r="175" spans="1:11" ht="25.5">
      <c r="A175" s="153"/>
      <c r="B175" s="127"/>
      <c r="C175" s="127" t="s">
        <v>172</v>
      </c>
      <c r="D175" s="127"/>
      <c r="E175" s="127"/>
      <c r="F175" s="127"/>
      <c r="G175" s="127"/>
      <c r="H175" s="279" t="s">
        <v>355</v>
      </c>
      <c r="I175" s="134" t="s">
        <v>385</v>
      </c>
      <c r="J175" s="280">
        <f>I10+J10</f>
        <v>0</v>
      </c>
      <c r="K175" s="151" t="s">
        <v>14</v>
      </c>
    </row>
    <row r="176" spans="1:13" ht="21.75">
      <c r="A176" s="153"/>
      <c r="B176" s="127"/>
      <c r="C176" s="134" t="s">
        <v>468</v>
      </c>
      <c r="D176" s="134" t="s">
        <v>385</v>
      </c>
      <c r="E176" s="135" t="s">
        <v>356</v>
      </c>
      <c r="F176" s="127"/>
      <c r="G176" s="127"/>
      <c r="H176" s="127"/>
      <c r="I176" s="134" t="s">
        <v>385</v>
      </c>
      <c r="J176" s="166">
        <f>(J47*J171*(G45-J174/2))/100</f>
        <v>20676.76022714119</v>
      </c>
      <c r="K176" s="151" t="s">
        <v>76</v>
      </c>
      <c r="M176" s="131"/>
    </row>
    <row r="177" spans="1:11" ht="21.75">
      <c r="A177" s="153"/>
      <c r="B177" s="127"/>
      <c r="C177" s="134" t="s">
        <v>469</v>
      </c>
      <c r="D177" s="127"/>
      <c r="E177" s="127"/>
      <c r="F177" s="127"/>
      <c r="G177" s="127"/>
      <c r="H177" s="127"/>
      <c r="I177" s="134" t="s">
        <v>385</v>
      </c>
      <c r="J177" s="166">
        <f>0.9*J176</f>
        <v>18609.084204427072</v>
      </c>
      <c r="K177" s="151" t="s">
        <v>76</v>
      </c>
    </row>
    <row r="178" spans="1:11" ht="21.75">
      <c r="A178" s="153"/>
      <c r="B178" s="127"/>
      <c r="C178" s="127"/>
      <c r="D178" s="127"/>
      <c r="E178" s="127"/>
      <c r="F178" s="127"/>
      <c r="G178" s="134" t="s">
        <v>469</v>
      </c>
      <c r="H178" s="134" t="str">
        <f>IF(J177&gt;J153,A110,IF(J177&lt;J153,A111))</f>
        <v>&gt;</v>
      </c>
      <c r="I178" s="134" t="s">
        <v>291</v>
      </c>
      <c r="J178" s="127"/>
      <c r="K178" s="266" t="str">
        <f>IF(J177&gt;J153,M83,IF(J177&lt;J153,M84))</f>
        <v>OK.</v>
      </c>
    </row>
    <row r="179" spans="1:11" ht="21.75">
      <c r="A179" s="153"/>
      <c r="B179" s="127"/>
      <c r="C179" s="127"/>
      <c r="D179" s="127"/>
      <c r="E179" s="127"/>
      <c r="F179" s="127"/>
      <c r="G179" s="134"/>
      <c r="H179" s="134"/>
      <c r="I179" s="360" t="s">
        <v>439</v>
      </c>
      <c r="J179" s="127"/>
      <c r="K179" s="266"/>
    </row>
    <row r="180" spans="1:14" ht="21.75">
      <c r="A180" s="153"/>
      <c r="B180" s="127"/>
      <c r="C180" s="134" t="s">
        <v>470</v>
      </c>
      <c r="D180" s="134" t="s">
        <v>385</v>
      </c>
      <c r="E180" s="127" t="s">
        <v>471</v>
      </c>
      <c r="F180" s="127"/>
      <c r="G180" s="134"/>
      <c r="H180" s="134"/>
      <c r="I180" s="134" t="s">
        <v>385</v>
      </c>
      <c r="J180" s="317">
        <f>+(J153/0.9)-J176</f>
        <v>-276.7602271411888</v>
      </c>
      <c r="K180" s="151" t="s">
        <v>76</v>
      </c>
      <c r="M180" s="101"/>
      <c r="N180" s="102" t="s">
        <v>379</v>
      </c>
    </row>
    <row r="181" spans="1:14" ht="24.75">
      <c r="A181" s="153"/>
      <c r="B181" s="318"/>
      <c r="C181" s="319" t="s">
        <v>472</v>
      </c>
      <c r="D181" s="320" t="s">
        <v>385</v>
      </c>
      <c r="E181" s="318" t="s">
        <v>440</v>
      </c>
      <c r="F181" s="318"/>
      <c r="G181" s="320"/>
      <c r="H181" s="320"/>
      <c r="I181" s="320" t="s">
        <v>385</v>
      </c>
      <c r="J181" s="321">
        <f>0.9*(G45-J174)</f>
        <v>21.154622522056094</v>
      </c>
      <c r="K181" s="322" t="s">
        <v>387</v>
      </c>
      <c r="M181" s="101"/>
      <c r="N181" s="102" t="s">
        <v>415</v>
      </c>
    </row>
    <row r="182" spans="1:14" ht="24.75">
      <c r="A182" s="153"/>
      <c r="B182" s="318"/>
      <c r="C182" s="320" t="s">
        <v>473</v>
      </c>
      <c r="D182" s="134" t="s">
        <v>385</v>
      </c>
      <c r="E182" s="127" t="s">
        <v>474</v>
      </c>
      <c r="F182" s="127"/>
      <c r="G182" s="134"/>
      <c r="H182" s="134"/>
      <c r="I182" s="134" t="s">
        <v>385</v>
      </c>
      <c r="J182" s="317">
        <f>+((J153/0.9)-J176)/(J161*J181)*100</f>
        <v>-0.32706826469325423</v>
      </c>
      <c r="K182" s="151" t="s">
        <v>269</v>
      </c>
      <c r="M182" s="103" t="s">
        <v>17</v>
      </c>
      <c r="N182" s="102">
        <v>0.07</v>
      </c>
    </row>
    <row r="183" spans="1:14" ht="24">
      <c r="A183" s="153"/>
      <c r="B183" s="318"/>
      <c r="C183" s="319"/>
      <c r="D183" s="348" t="s">
        <v>39</v>
      </c>
      <c r="E183" s="348" t="s">
        <v>491</v>
      </c>
      <c r="F183" s="362">
        <v>0</v>
      </c>
      <c r="G183" s="457" t="str">
        <f>M187</f>
        <v>DB.12 mm.</v>
      </c>
      <c r="H183" s="348" t="s">
        <v>485</v>
      </c>
      <c r="I183" s="348" t="s">
        <v>385</v>
      </c>
      <c r="J183" s="362">
        <f>F183*N187</f>
        <v>0</v>
      </c>
      <c r="K183" s="349" t="s">
        <v>486</v>
      </c>
      <c r="M183" s="103" t="s">
        <v>18</v>
      </c>
      <c r="N183" s="102">
        <v>0.13</v>
      </c>
    </row>
    <row r="184" spans="1:14" ht="24">
      <c r="A184" s="153"/>
      <c r="B184" s="318"/>
      <c r="C184" s="324"/>
      <c r="D184" s="348" t="s">
        <v>40</v>
      </c>
      <c r="E184" s="348" t="s">
        <v>491</v>
      </c>
      <c r="F184" s="362">
        <f>F183</f>
        <v>0</v>
      </c>
      <c r="G184" s="457" t="str">
        <f>G183</f>
        <v>DB.12 mm.</v>
      </c>
      <c r="H184" s="348" t="s">
        <v>487</v>
      </c>
      <c r="I184" s="348" t="s">
        <v>385</v>
      </c>
      <c r="J184" s="362">
        <f>J183</f>
        <v>0</v>
      </c>
      <c r="K184" s="349" t="s">
        <v>486</v>
      </c>
      <c r="M184" s="103" t="s">
        <v>19</v>
      </c>
      <c r="N184" s="102">
        <v>0.28</v>
      </c>
    </row>
    <row r="185" spans="1:14" ht="21.75">
      <c r="A185" s="153"/>
      <c r="B185" s="318"/>
      <c r="C185" s="324"/>
      <c r="D185" s="323" t="s">
        <v>441</v>
      </c>
      <c r="E185" s="325" t="s">
        <v>475</v>
      </c>
      <c r="F185" s="320"/>
      <c r="G185" s="134"/>
      <c r="H185" s="127"/>
      <c r="I185" s="127"/>
      <c r="J185" s="127"/>
      <c r="K185" s="322"/>
      <c r="M185" s="103" t="s">
        <v>20</v>
      </c>
      <c r="N185" s="102">
        <v>0.64</v>
      </c>
    </row>
    <row r="186" spans="1:14" ht="21.75">
      <c r="A186" s="153"/>
      <c r="B186" s="127"/>
      <c r="C186" s="127"/>
      <c r="D186" s="127"/>
      <c r="E186" s="325" t="s">
        <v>476</v>
      </c>
      <c r="F186" s="127"/>
      <c r="G186" s="127"/>
      <c r="H186" s="127"/>
      <c r="I186" s="320" t="s">
        <v>385</v>
      </c>
      <c r="J186" s="326">
        <f>+J168+(J169-J170)*(J158/G45)</f>
        <v>0.18402114282415996</v>
      </c>
      <c r="K186" s="322"/>
      <c r="M186" s="103" t="s">
        <v>21</v>
      </c>
      <c r="N186" s="102">
        <v>0.79</v>
      </c>
    </row>
    <row r="187" spans="1:16" ht="21.75">
      <c r="A187" s="153"/>
      <c r="B187" s="127"/>
      <c r="C187" s="327"/>
      <c r="D187" s="263"/>
      <c r="E187" s="325" t="s">
        <v>477</v>
      </c>
      <c r="F187" s="263"/>
      <c r="G187" s="264"/>
      <c r="H187" s="127"/>
      <c r="I187" s="264" t="s">
        <v>385</v>
      </c>
      <c r="J187" s="328">
        <f>0.36*J155</f>
        <v>0.2772</v>
      </c>
      <c r="K187" s="266" t="str">
        <f>+IF(J186&lt;=J187,O187,IF(J186&gt;J187,P187))</f>
        <v>OK</v>
      </c>
      <c r="M187" s="103" t="s">
        <v>22</v>
      </c>
      <c r="N187" s="102">
        <v>1.13</v>
      </c>
      <c r="O187" s="260" t="s">
        <v>386</v>
      </c>
      <c r="P187" s="260" t="s">
        <v>133</v>
      </c>
    </row>
    <row r="188" spans="1:14" ht="23.25">
      <c r="A188" s="149" t="s">
        <v>173</v>
      </c>
      <c r="B188" s="150"/>
      <c r="C188" s="127"/>
      <c r="D188" s="127"/>
      <c r="E188" s="127"/>
      <c r="F188" s="127"/>
      <c r="G188" s="127"/>
      <c r="H188" s="127"/>
      <c r="I188" s="127"/>
      <c r="J188" s="127"/>
      <c r="K188" s="151"/>
      <c r="M188" s="103" t="s">
        <v>23</v>
      </c>
      <c r="N188" s="102">
        <v>2.01</v>
      </c>
    </row>
    <row r="189" spans="1:14" ht="21.75">
      <c r="A189" s="153"/>
      <c r="B189" s="134" t="s">
        <v>388</v>
      </c>
      <c r="C189" s="127" t="s">
        <v>87</v>
      </c>
      <c r="D189" s="127"/>
      <c r="E189" s="127"/>
      <c r="F189" s="127"/>
      <c r="G189" s="127"/>
      <c r="H189" s="127"/>
      <c r="I189" s="127"/>
      <c r="J189" s="127"/>
      <c r="K189" s="151"/>
      <c r="M189" s="103" t="s">
        <v>24</v>
      </c>
      <c r="N189" s="102">
        <v>3.14</v>
      </c>
    </row>
    <row r="190" spans="1:14" ht="21.75">
      <c r="A190" s="153"/>
      <c r="B190" s="134" t="s">
        <v>358</v>
      </c>
      <c r="C190" s="127" t="s">
        <v>175</v>
      </c>
      <c r="D190" s="127"/>
      <c r="E190" s="127"/>
      <c r="F190" s="127"/>
      <c r="G190" s="165" t="s">
        <v>359</v>
      </c>
      <c r="H190" s="127"/>
      <c r="I190" s="134" t="s">
        <v>385</v>
      </c>
      <c r="J190" s="133">
        <f>(H10/2)-J51</f>
        <v>17.5</v>
      </c>
      <c r="K190" s="151" t="s">
        <v>14</v>
      </c>
      <c r="M190" s="103" t="s">
        <v>25</v>
      </c>
      <c r="N190" s="102">
        <v>4.91</v>
      </c>
    </row>
    <row r="191" spans="1:14" ht="21.75">
      <c r="A191" s="153"/>
      <c r="B191" s="134" t="s">
        <v>176</v>
      </c>
      <c r="C191" s="127" t="s">
        <v>177</v>
      </c>
      <c r="D191" s="127"/>
      <c r="E191" s="134" t="s">
        <v>385</v>
      </c>
      <c r="F191" s="127" t="s">
        <v>178</v>
      </c>
      <c r="G191" s="165"/>
      <c r="H191" s="127"/>
      <c r="I191" s="134" t="s">
        <v>385</v>
      </c>
      <c r="J191" s="133">
        <f>SQRT(J14/J12)</f>
        <v>10.103626344344017</v>
      </c>
      <c r="K191" s="151" t="s">
        <v>14</v>
      </c>
      <c r="M191" s="118" t="s">
        <v>26</v>
      </c>
      <c r="N191" s="115">
        <v>6.16</v>
      </c>
    </row>
    <row r="192" spans="1:11" ht="21.75">
      <c r="A192" s="153"/>
      <c r="B192" s="127" t="s">
        <v>179</v>
      </c>
      <c r="C192" s="127"/>
      <c r="D192" s="127"/>
      <c r="E192" s="134" t="s">
        <v>360</v>
      </c>
      <c r="F192" s="134" t="s">
        <v>385</v>
      </c>
      <c r="G192" s="127" t="s">
        <v>361</v>
      </c>
      <c r="H192" s="127"/>
      <c r="I192" s="134" t="s">
        <v>385</v>
      </c>
      <c r="J192" s="164">
        <f>2*SQRT(J22)</f>
        <v>40</v>
      </c>
      <c r="K192" s="151" t="s">
        <v>99</v>
      </c>
    </row>
    <row r="193" spans="1:11" ht="24.75">
      <c r="A193" s="153"/>
      <c r="B193" s="127" t="s">
        <v>180</v>
      </c>
      <c r="C193" s="127"/>
      <c r="D193" s="134" t="s">
        <v>362</v>
      </c>
      <c r="E193" s="134" t="s">
        <v>385</v>
      </c>
      <c r="F193" s="127" t="s">
        <v>363</v>
      </c>
      <c r="G193" s="127"/>
      <c r="H193" s="127"/>
      <c r="I193" s="134" t="s">
        <v>385</v>
      </c>
      <c r="J193" s="164">
        <f>(J67*(J51+(J191^2)/J190)+J192*J14/J190)/100</f>
        <v>8602.291815957073</v>
      </c>
      <c r="K193" s="151" t="s">
        <v>76</v>
      </c>
    </row>
    <row r="194" spans="1:11" ht="21.75">
      <c r="A194" s="153"/>
      <c r="B194" s="127"/>
      <c r="C194" s="127"/>
      <c r="D194" s="134" t="s">
        <v>364</v>
      </c>
      <c r="E194" s="134"/>
      <c r="F194" s="127"/>
      <c r="G194" s="127"/>
      <c r="H194" s="127"/>
      <c r="I194" s="134" t="s">
        <v>385</v>
      </c>
      <c r="J194" s="166">
        <f>1.2*J193</f>
        <v>10322.750179148486</v>
      </c>
      <c r="K194" s="151" t="s">
        <v>76</v>
      </c>
    </row>
    <row r="195" spans="1:11" ht="21.75">
      <c r="A195" s="153"/>
      <c r="B195" s="127"/>
      <c r="C195" s="127"/>
      <c r="D195" s="127"/>
      <c r="E195" s="127"/>
      <c r="F195" s="127"/>
      <c r="G195" s="134" t="s">
        <v>364</v>
      </c>
      <c r="H195" s="134" t="str">
        <f>IF(J194&gt;J177,A110,IF(J194&lt;J177,A111))</f>
        <v>&lt;</v>
      </c>
      <c r="I195" s="134" t="s">
        <v>357</v>
      </c>
      <c r="J195" s="127"/>
      <c r="K195" s="266" t="str">
        <f>IF(J194&lt;J177,M83,IF(J194&gt;J177,M84))</f>
        <v>OK.</v>
      </c>
    </row>
    <row r="196" spans="1:11" ht="21.75">
      <c r="A196" s="153"/>
      <c r="B196" s="127"/>
      <c r="C196" s="127"/>
      <c r="D196" s="127"/>
      <c r="E196" s="127"/>
      <c r="F196" s="127"/>
      <c r="G196" s="134"/>
      <c r="H196" s="134"/>
      <c r="I196" s="134"/>
      <c r="J196" s="127"/>
      <c r="K196" s="266"/>
    </row>
    <row r="197" spans="1:11" ht="21.75">
      <c r="A197" s="153"/>
      <c r="B197" s="127"/>
      <c r="C197" s="127"/>
      <c r="D197" s="127"/>
      <c r="E197" s="127"/>
      <c r="F197" s="127"/>
      <c r="G197" s="134"/>
      <c r="H197" s="134"/>
      <c r="I197" s="134"/>
      <c r="J197" s="127"/>
      <c r="K197" s="266"/>
    </row>
    <row r="198" spans="1:11" ht="21.75">
      <c r="A198" s="153"/>
      <c r="B198" s="127"/>
      <c r="C198" s="127"/>
      <c r="D198" s="127"/>
      <c r="E198" s="127"/>
      <c r="F198" s="127"/>
      <c r="G198" s="134"/>
      <c r="H198" s="134"/>
      <c r="I198" s="134"/>
      <c r="J198" s="127"/>
      <c r="K198" s="266"/>
    </row>
    <row r="199" spans="1:11" ht="21.75">
      <c r="A199" s="153"/>
      <c r="B199" s="127"/>
      <c r="C199" s="127"/>
      <c r="D199" s="127"/>
      <c r="E199" s="127"/>
      <c r="F199" s="127"/>
      <c r="G199" s="134"/>
      <c r="H199" s="134"/>
      <c r="I199" s="134"/>
      <c r="J199" s="127"/>
      <c r="K199" s="266"/>
    </row>
    <row r="200" spans="1:11" ht="21.75">
      <c r="A200" s="153"/>
      <c r="B200" s="127"/>
      <c r="C200" s="127"/>
      <c r="D200" s="127"/>
      <c r="E200" s="127"/>
      <c r="F200" s="127"/>
      <c r="G200" s="134"/>
      <c r="H200" s="134"/>
      <c r="I200" s="134"/>
      <c r="J200" s="127"/>
      <c r="K200" s="266"/>
    </row>
    <row r="201" spans="1:11" ht="21.75">
      <c r="A201" s="153"/>
      <c r="B201" s="127"/>
      <c r="C201" s="127"/>
      <c r="D201" s="127"/>
      <c r="E201" s="127"/>
      <c r="F201" s="127"/>
      <c r="G201" s="134"/>
      <c r="H201" s="134"/>
      <c r="I201" s="134"/>
      <c r="J201" s="127"/>
      <c r="K201" s="266"/>
    </row>
    <row r="202" spans="1:11" ht="21.75">
      <c r="A202" s="153"/>
      <c r="B202" s="127"/>
      <c r="C202" s="127"/>
      <c r="D202" s="127"/>
      <c r="E202" s="127"/>
      <c r="F202" s="127"/>
      <c r="G202" s="134"/>
      <c r="H202" s="134"/>
      <c r="I202" s="134"/>
      <c r="J202" s="127"/>
      <c r="K202" s="266"/>
    </row>
    <row r="203" spans="1:11" ht="21.75">
      <c r="A203" s="153"/>
      <c r="B203" s="127"/>
      <c r="C203" s="127"/>
      <c r="D203" s="127"/>
      <c r="E203" s="127"/>
      <c r="F203" s="127"/>
      <c r="G203" s="134"/>
      <c r="H203" s="134"/>
      <c r="I203" s="134"/>
      <c r="J203" s="127"/>
      <c r="K203" s="266"/>
    </row>
    <row r="204" spans="1:11" ht="21.75">
      <c r="A204" s="153"/>
      <c r="B204" s="127"/>
      <c r="C204" s="127"/>
      <c r="D204" s="127"/>
      <c r="E204" s="127"/>
      <c r="F204" s="127"/>
      <c r="G204" s="134"/>
      <c r="H204" s="134"/>
      <c r="I204" s="134"/>
      <c r="J204" s="127"/>
      <c r="K204" s="266"/>
    </row>
    <row r="205" spans="1:11" ht="21.75">
      <c r="A205" s="153"/>
      <c r="B205" s="127"/>
      <c r="C205" s="127"/>
      <c r="D205" s="127"/>
      <c r="E205" s="127"/>
      <c r="F205" s="127"/>
      <c r="G205" s="134"/>
      <c r="H205" s="134"/>
      <c r="I205" s="134"/>
      <c r="J205" s="127"/>
      <c r="K205" s="266"/>
    </row>
    <row r="206" spans="1:11" ht="21.75">
      <c r="A206" s="153"/>
      <c r="B206" s="127"/>
      <c r="C206" s="127"/>
      <c r="D206" s="127"/>
      <c r="E206" s="127"/>
      <c r="F206" s="127"/>
      <c r="G206" s="134"/>
      <c r="H206" s="134"/>
      <c r="I206" s="134"/>
      <c r="J206" s="127"/>
      <c r="K206" s="266"/>
    </row>
    <row r="207" spans="1:11" ht="21.75">
      <c r="A207" s="153"/>
      <c r="B207" s="127"/>
      <c r="C207" s="127"/>
      <c r="D207" s="127"/>
      <c r="E207" s="127"/>
      <c r="F207" s="127"/>
      <c r="G207" s="134"/>
      <c r="H207" s="134"/>
      <c r="I207" s="134"/>
      <c r="J207" s="127"/>
      <c r="K207" s="266"/>
    </row>
    <row r="208" spans="1:11" ht="22.5" thickBot="1">
      <c r="A208" s="157"/>
      <c r="B208" s="479" t="str">
        <f>+F6</f>
        <v>S. 0.35x0.35 (1225) x 18.00 m.</v>
      </c>
      <c r="C208" s="479"/>
      <c r="D208" s="351" t="str">
        <f>+I6</f>
        <v>(BATTER PILE)</v>
      </c>
      <c r="E208" s="307" t="s">
        <v>442</v>
      </c>
      <c r="F208" s="158"/>
      <c r="G208" s="158"/>
      <c r="H208" s="158"/>
      <c r="I208" s="158"/>
      <c r="J208" s="158"/>
      <c r="K208" s="159"/>
    </row>
    <row r="209" spans="1:11" ht="23.25">
      <c r="A209" s="249" t="s">
        <v>181</v>
      </c>
      <c r="B209" s="250"/>
      <c r="C209" s="145"/>
      <c r="D209" s="145"/>
      <c r="E209" s="145"/>
      <c r="F209" s="145"/>
      <c r="G209" s="145"/>
      <c r="H209" s="145"/>
      <c r="I209" s="145"/>
      <c r="J209" s="145"/>
      <c r="K209" s="152"/>
    </row>
    <row r="210" spans="1:11" ht="21.75">
      <c r="A210" s="153"/>
      <c r="B210" s="127"/>
      <c r="C210" s="127" t="s">
        <v>182</v>
      </c>
      <c r="D210" s="127"/>
      <c r="E210" s="134" t="s">
        <v>385</v>
      </c>
      <c r="F210" s="127" t="s">
        <v>183</v>
      </c>
      <c r="G210" s="127"/>
      <c r="H210" s="127"/>
      <c r="I210" s="134" t="s">
        <v>385</v>
      </c>
      <c r="J210" s="166">
        <f>J11*100/360</f>
        <v>5</v>
      </c>
      <c r="K210" s="151" t="s">
        <v>14</v>
      </c>
    </row>
    <row r="211" spans="1:11" ht="21.75">
      <c r="A211" s="153"/>
      <c r="B211" s="127"/>
      <c r="C211" s="134" t="s">
        <v>286</v>
      </c>
      <c r="D211" s="134" t="s">
        <v>385</v>
      </c>
      <c r="E211" s="127" t="s">
        <v>184</v>
      </c>
      <c r="F211" s="127"/>
      <c r="G211" s="127"/>
      <c r="H211" s="127"/>
      <c r="I211" s="134" t="s">
        <v>385</v>
      </c>
      <c r="J211" s="166">
        <f>J66</f>
        <v>118683.88327617012</v>
      </c>
      <c r="K211" s="151" t="s">
        <v>42</v>
      </c>
    </row>
    <row r="212" spans="1:11" ht="21.75">
      <c r="A212" s="153"/>
      <c r="B212" s="127"/>
      <c r="C212" s="134" t="s">
        <v>388</v>
      </c>
      <c r="D212" s="134" t="s">
        <v>385</v>
      </c>
      <c r="E212" s="127" t="s">
        <v>174</v>
      </c>
      <c r="F212" s="127"/>
      <c r="G212" s="127"/>
      <c r="H212" s="127"/>
      <c r="I212" s="134" t="s">
        <v>385</v>
      </c>
      <c r="J212" s="280">
        <f>J51</f>
        <v>0</v>
      </c>
      <c r="K212" s="151" t="s">
        <v>14</v>
      </c>
    </row>
    <row r="213" spans="1:11" ht="24.75">
      <c r="A213" s="153"/>
      <c r="B213" s="127" t="s">
        <v>185</v>
      </c>
      <c r="C213" s="127"/>
      <c r="D213" s="127"/>
      <c r="E213" s="127"/>
      <c r="F213" s="165" t="s">
        <v>365</v>
      </c>
      <c r="G213" s="127"/>
      <c r="H213" s="127"/>
      <c r="I213" s="134" t="s">
        <v>385</v>
      </c>
      <c r="J213" s="280">
        <f>(J211*J212*(J11*100)^2)/(8*J25*J14)</f>
        <v>0</v>
      </c>
      <c r="K213" s="151" t="s">
        <v>14</v>
      </c>
    </row>
    <row r="214" spans="1:11" ht="21.75">
      <c r="A214" s="153"/>
      <c r="B214" s="127" t="s">
        <v>186</v>
      </c>
      <c r="C214" s="127"/>
      <c r="D214" s="127"/>
      <c r="E214" s="127"/>
      <c r="F214" s="165" t="s">
        <v>366</v>
      </c>
      <c r="G214" s="127"/>
      <c r="H214" s="127"/>
      <c r="I214" s="134" t="s">
        <v>385</v>
      </c>
      <c r="J214" s="280">
        <f>1.8*J213</f>
        <v>0</v>
      </c>
      <c r="K214" s="151" t="s">
        <v>14</v>
      </c>
    </row>
    <row r="215" spans="1:11" ht="21.75">
      <c r="A215" s="153"/>
      <c r="B215" s="127"/>
      <c r="C215" s="127"/>
      <c r="D215" s="127"/>
      <c r="E215" s="127"/>
      <c r="F215" s="127"/>
      <c r="G215" s="127"/>
      <c r="H215" s="155" t="s">
        <v>186</v>
      </c>
      <c r="I215" s="134" t="str">
        <f>IF(J214&lt;J210,A111,IF(J214&gt;J210,A110))</f>
        <v>&lt;</v>
      </c>
      <c r="J215" s="127" t="s">
        <v>183</v>
      </c>
      <c r="K215" s="266" t="str">
        <f>IF(J214&lt;J210,M83,IF(J214&gt;J210,M84))</f>
        <v>OK.</v>
      </c>
    </row>
    <row r="216" spans="1:11" ht="21.75">
      <c r="A216" s="153"/>
      <c r="B216" s="127"/>
      <c r="C216" s="281" t="s">
        <v>187</v>
      </c>
      <c r="D216" s="127"/>
      <c r="E216" s="127"/>
      <c r="F216" s="127"/>
      <c r="G216" s="127"/>
      <c r="H216" s="127"/>
      <c r="I216" s="127"/>
      <c r="J216" s="127"/>
      <c r="K216" s="266"/>
    </row>
    <row r="217" spans="1:11" ht="24.75">
      <c r="A217" s="153"/>
      <c r="B217" s="127" t="s">
        <v>188</v>
      </c>
      <c r="C217" s="127"/>
      <c r="D217" s="127"/>
      <c r="E217" s="127" t="s">
        <v>367</v>
      </c>
      <c r="F217" s="127"/>
      <c r="G217" s="127"/>
      <c r="H217" s="127"/>
      <c r="I217" s="134" t="s">
        <v>385</v>
      </c>
      <c r="J217" s="164">
        <f>(5/100)*(5*(J13/100)*(J11*100)^4)/(384*J25*J14)</f>
        <v>0.6317320191943324</v>
      </c>
      <c r="K217" s="151" t="s">
        <v>14</v>
      </c>
    </row>
    <row r="218" spans="1:11" ht="21.75">
      <c r="A218" s="153"/>
      <c r="B218" s="127" t="s">
        <v>189</v>
      </c>
      <c r="C218" s="127"/>
      <c r="D218" s="127"/>
      <c r="E218" s="127" t="s">
        <v>190</v>
      </c>
      <c r="F218" s="127"/>
      <c r="G218" s="127"/>
      <c r="H218" s="127"/>
      <c r="I218" s="134" t="s">
        <v>385</v>
      </c>
      <c r="J218" s="164">
        <f>1.85*J217</f>
        <v>1.168704235509515</v>
      </c>
      <c r="K218" s="151" t="s">
        <v>14</v>
      </c>
    </row>
    <row r="219" spans="1:11" ht="21.75">
      <c r="A219" s="153"/>
      <c r="B219" s="127" t="s">
        <v>191</v>
      </c>
      <c r="C219" s="127"/>
      <c r="D219" s="127"/>
      <c r="E219" s="127"/>
      <c r="F219" s="127"/>
      <c r="G219" s="127"/>
      <c r="H219" s="127"/>
      <c r="I219" s="134" t="s">
        <v>385</v>
      </c>
      <c r="J219" s="166">
        <f>J218-J214</f>
        <v>1.168704235509515</v>
      </c>
      <c r="K219" s="151" t="s">
        <v>14</v>
      </c>
    </row>
    <row r="220" spans="1:11" ht="21.75">
      <c r="A220" s="153"/>
      <c r="B220" s="127"/>
      <c r="C220" s="127"/>
      <c r="D220" s="127"/>
      <c r="E220" s="127"/>
      <c r="F220" s="127"/>
      <c r="G220" s="127"/>
      <c r="H220" s="155" t="s">
        <v>192</v>
      </c>
      <c r="I220" s="134" t="str">
        <f>IF(J219&lt;J210,A111,IF(J219&gt;J210,A110))</f>
        <v>&lt;</v>
      </c>
      <c r="J220" s="127" t="s">
        <v>183</v>
      </c>
      <c r="K220" s="266" t="str">
        <f>IF(J219&lt;J210,M83,IF(J219&gt;J210,M84))</f>
        <v>OK.</v>
      </c>
    </row>
    <row r="221" spans="1:11" ht="21.75">
      <c r="A221" s="153"/>
      <c r="B221" s="127"/>
      <c r="C221" s="127"/>
      <c r="D221" s="127"/>
      <c r="E221" s="127"/>
      <c r="F221" s="127"/>
      <c r="G221" s="127"/>
      <c r="H221" s="127"/>
      <c r="I221" s="127"/>
      <c r="J221" s="127"/>
      <c r="K221" s="151"/>
    </row>
    <row r="222" spans="1:11" ht="23.25">
      <c r="A222" s="239"/>
      <c r="B222" s="282" t="s">
        <v>252</v>
      </c>
      <c r="C222" s="240"/>
      <c r="D222" s="240"/>
      <c r="E222" s="240"/>
      <c r="F222" s="240"/>
      <c r="G222" s="240"/>
      <c r="H222" s="240"/>
      <c r="I222" s="240"/>
      <c r="J222" s="240"/>
      <c r="K222" s="283"/>
    </row>
    <row r="223" spans="1:11" ht="21.75">
      <c r="A223" s="153"/>
      <c r="B223" s="127"/>
      <c r="C223" s="127"/>
      <c r="D223" s="127"/>
      <c r="E223" s="127"/>
      <c r="F223" s="127"/>
      <c r="G223" s="127"/>
      <c r="H223" s="127"/>
      <c r="I223" s="127"/>
      <c r="J223" s="127"/>
      <c r="K223" s="151"/>
    </row>
    <row r="224" spans="1:11" ht="21.75">
      <c r="A224" s="244"/>
      <c r="B224" s="139"/>
      <c r="C224" s="139"/>
      <c r="D224" s="139"/>
      <c r="E224" s="139"/>
      <c r="F224" s="139"/>
      <c r="G224" s="139"/>
      <c r="H224" s="139"/>
      <c r="I224" s="139"/>
      <c r="J224" s="139"/>
      <c r="K224" s="284"/>
    </row>
    <row r="225" spans="1:11" ht="21.75">
      <c r="A225" s="153"/>
      <c r="B225" s="127"/>
      <c r="C225" s="127"/>
      <c r="D225" s="127"/>
      <c r="E225" s="127"/>
      <c r="F225" s="127"/>
      <c r="G225" s="127"/>
      <c r="H225" s="127"/>
      <c r="I225" s="127"/>
      <c r="J225" s="127"/>
      <c r="K225" s="151"/>
    </row>
    <row r="226" spans="1:11" ht="21.75">
      <c r="A226" s="153"/>
      <c r="B226" s="127"/>
      <c r="C226" s="127"/>
      <c r="D226" s="127"/>
      <c r="E226" s="26"/>
      <c r="F226" s="26"/>
      <c r="G226" s="26"/>
      <c r="H226" s="26"/>
      <c r="I226" s="127"/>
      <c r="J226" s="127"/>
      <c r="K226" s="151"/>
    </row>
    <row r="227" spans="1:11" ht="21.75">
      <c r="A227" s="153"/>
      <c r="B227" s="127"/>
      <c r="C227" s="127"/>
      <c r="D227" s="127"/>
      <c r="E227" s="26"/>
      <c r="F227" s="26"/>
      <c r="G227" s="26"/>
      <c r="H227" s="26"/>
      <c r="I227" s="127"/>
      <c r="J227" s="127"/>
      <c r="K227" s="151"/>
    </row>
    <row r="228" spans="1:11" ht="21.75">
      <c r="A228" s="153"/>
      <c r="B228" s="127"/>
      <c r="C228" s="127"/>
      <c r="D228" s="127"/>
      <c r="E228" s="116" t="s">
        <v>374</v>
      </c>
      <c r="F228" s="116"/>
      <c r="G228" s="117"/>
      <c r="H228" s="116" t="s">
        <v>375</v>
      </c>
      <c r="I228" s="142"/>
      <c r="J228" s="143"/>
      <c r="K228" s="151"/>
    </row>
    <row r="229" spans="1:11" ht="21.75">
      <c r="A229" s="153"/>
      <c r="B229" s="127"/>
      <c r="C229" s="127"/>
      <c r="D229" s="127"/>
      <c r="E229" s="116" t="s">
        <v>376</v>
      </c>
      <c r="F229" s="116"/>
      <c r="G229" s="117"/>
      <c r="H229" s="285" t="s">
        <v>377</v>
      </c>
      <c r="I229" s="142"/>
      <c r="J229" s="143"/>
      <c r="K229" s="151"/>
    </row>
    <row r="230" spans="1:11" ht="21.75">
      <c r="A230" s="153"/>
      <c r="B230" s="127"/>
      <c r="C230" s="127"/>
      <c r="D230" s="127"/>
      <c r="E230" s="127"/>
      <c r="F230" s="127"/>
      <c r="G230" s="127"/>
      <c r="H230" s="127"/>
      <c r="I230" s="127"/>
      <c r="J230" s="127"/>
      <c r="K230" s="151"/>
    </row>
    <row r="231" spans="1:11" ht="21.75">
      <c r="A231" s="153"/>
      <c r="B231" s="127"/>
      <c r="C231" s="127"/>
      <c r="D231" s="127"/>
      <c r="E231" s="127"/>
      <c r="F231" s="127"/>
      <c r="G231" s="127"/>
      <c r="H231" s="127"/>
      <c r="I231" s="127"/>
      <c r="J231" s="127"/>
      <c r="K231" s="151"/>
    </row>
    <row r="232" spans="1:11" ht="21.75">
      <c r="A232" s="153"/>
      <c r="B232" s="127"/>
      <c r="C232" s="127"/>
      <c r="D232" s="127"/>
      <c r="E232" s="127"/>
      <c r="F232" s="127"/>
      <c r="G232" s="127"/>
      <c r="H232" s="127"/>
      <c r="I232" s="127"/>
      <c r="J232" s="127"/>
      <c r="K232" s="151"/>
    </row>
    <row r="233" spans="1:11" ht="21.75">
      <c r="A233" s="153"/>
      <c r="B233" s="127"/>
      <c r="C233" s="127"/>
      <c r="D233" s="127"/>
      <c r="E233" s="127"/>
      <c r="F233" s="127"/>
      <c r="G233" s="127"/>
      <c r="H233" s="127"/>
      <c r="I233" s="127"/>
      <c r="J233" s="127"/>
      <c r="K233" s="151"/>
    </row>
    <row r="234" spans="1:11" ht="21.75">
      <c r="A234" s="153"/>
      <c r="B234" s="127"/>
      <c r="C234" s="127"/>
      <c r="D234" s="127"/>
      <c r="K234" s="151"/>
    </row>
    <row r="235" spans="1:11" ht="21.75">
      <c r="A235" s="153"/>
      <c r="B235" s="127"/>
      <c r="C235" s="127"/>
      <c r="D235" s="127"/>
      <c r="K235" s="151"/>
    </row>
    <row r="236" spans="1:11" ht="21.75">
      <c r="A236" s="153"/>
      <c r="B236" s="127"/>
      <c r="C236" s="127"/>
      <c r="D236" s="127"/>
      <c r="E236" s="127"/>
      <c r="F236" s="127"/>
      <c r="G236" s="127"/>
      <c r="H236" s="127"/>
      <c r="I236" s="127"/>
      <c r="J236" s="127"/>
      <c r="K236" s="151"/>
    </row>
    <row r="237" spans="1:11" ht="21.75">
      <c r="A237" s="153"/>
      <c r="B237" s="127"/>
      <c r="C237" s="127"/>
      <c r="D237" s="127"/>
      <c r="E237" s="127"/>
      <c r="F237" s="127"/>
      <c r="G237" s="127"/>
      <c r="H237" s="127"/>
      <c r="I237" s="127"/>
      <c r="J237" s="127"/>
      <c r="K237" s="151"/>
    </row>
    <row r="238" spans="1:11" ht="21.75">
      <c r="A238" s="153"/>
      <c r="B238" s="127"/>
      <c r="C238" s="127"/>
      <c r="D238" s="127"/>
      <c r="E238" s="127"/>
      <c r="F238" s="127"/>
      <c r="G238" s="127"/>
      <c r="H238" s="127"/>
      <c r="I238" s="127"/>
      <c r="J238" s="127"/>
      <c r="K238" s="151"/>
    </row>
    <row r="239" spans="1:11" ht="21.75">
      <c r="A239" s="153"/>
      <c r="B239" s="127"/>
      <c r="C239" s="127"/>
      <c r="D239" s="127"/>
      <c r="E239" s="6"/>
      <c r="F239" s="6"/>
      <c r="G239" s="6"/>
      <c r="H239" s="6"/>
      <c r="I239" s="127"/>
      <c r="J239" s="127"/>
      <c r="K239" s="151"/>
    </row>
    <row r="240" spans="1:11" ht="21.75">
      <c r="A240" s="153"/>
      <c r="B240" s="127"/>
      <c r="C240" s="127"/>
      <c r="D240" s="127"/>
      <c r="K240" s="151"/>
    </row>
    <row r="241" spans="1:11" ht="21.75">
      <c r="A241" s="153"/>
      <c r="B241" s="127"/>
      <c r="C241" s="127"/>
      <c r="D241" s="127"/>
      <c r="K241" s="151"/>
    </row>
    <row r="242" spans="1:11" ht="21.75">
      <c r="A242" s="153"/>
      <c r="B242" s="127"/>
      <c r="C242" s="127"/>
      <c r="D242" s="127"/>
      <c r="E242" s="6"/>
      <c r="F242" s="6"/>
      <c r="G242" s="6"/>
      <c r="H242" s="6"/>
      <c r="I242" s="127"/>
      <c r="J242" s="127"/>
      <c r="K242" s="151"/>
    </row>
    <row r="243" spans="1:11" ht="21.75">
      <c r="A243" s="153"/>
      <c r="B243" s="127"/>
      <c r="C243" s="127"/>
      <c r="D243" s="127"/>
      <c r="E243" s="127"/>
      <c r="F243" s="127"/>
      <c r="G243" s="127"/>
      <c r="H243" s="127"/>
      <c r="I243" s="127"/>
      <c r="J243" s="127"/>
      <c r="K243" s="151"/>
    </row>
    <row r="244" spans="1:11" ht="21.75">
      <c r="A244" s="153"/>
      <c r="B244" s="127"/>
      <c r="C244" s="127"/>
      <c r="D244" s="127"/>
      <c r="E244" s="127"/>
      <c r="F244" s="127"/>
      <c r="G244" s="127"/>
      <c r="H244" s="127"/>
      <c r="I244" s="127"/>
      <c r="J244" s="127"/>
      <c r="K244" s="151"/>
    </row>
    <row r="245" spans="1:11" ht="21.75">
      <c r="A245" s="153"/>
      <c r="B245" s="127"/>
      <c r="C245" s="127"/>
      <c r="D245" s="127"/>
      <c r="E245" s="127"/>
      <c r="F245" s="127"/>
      <c r="G245" s="127"/>
      <c r="H245" s="127"/>
      <c r="I245" s="127"/>
      <c r="J245" s="127"/>
      <c r="K245" s="151"/>
    </row>
    <row r="246" spans="1:11" ht="21.75">
      <c r="A246" s="153"/>
      <c r="B246" s="127"/>
      <c r="C246" s="127"/>
      <c r="D246" s="127"/>
      <c r="K246" s="151"/>
    </row>
    <row r="247" spans="1:11" ht="21.75">
      <c r="A247" s="153"/>
      <c r="B247" s="127"/>
      <c r="C247" s="127"/>
      <c r="D247" s="127"/>
      <c r="K247" s="151"/>
    </row>
    <row r="248" spans="1:11" ht="21.75">
      <c r="A248" s="153"/>
      <c r="B248" s="127"/>
      <c r="C248" s="127"/>
      <c r="D248" s="127"/>
      <c r="E248" s="127"/>
      <c r="F248" s="127"/>
      <c r="G248" s="127"/>
      <c r="H248" s="127"/>
      <c r="I248" s="127"/>
      <c r="J248" s="127"/>
      <c r="K248" s="151"/>
    </row>
    <row r="249" spans="1:11" ht="22.5" thickBot="1">
      <c r="A249" s="157"/>
      <c r="B249" s="478" t="str">
        <f>+F6</f>
        <v>S. 0.35x0.35 (1225) x 18.00 m.</v>
      </c>
      <c r="C249" s="478"/>
      <c r="D249" s="350" t="str">
        <f>+I6</f>
        <v>(BATTER PILE)</v>
      </c>
      <c r="E249" s="329" t="s">
        <v>443</v>
      </c>
      <c r="F249" s="158"/>
      <c r="G249" s="158"/>
      <c r="H249" s="158"/>
      <c r="I249" s="158"/>
      <c r="J249" s="158"/>
      <c r="K249" s="159"/>
    </row>
  </sheetData>
  <sheetProtection/>
  <mergeCells count="19">
    <mergeCell ref="B73:D74"/>
    <mergeCell ref="B60:D60"/>
    <mergeCell ref="B86:C86"/>
    <mergeCell ref="B249:C249"/>
    <mergeCell ref="B167:C167"/>
    <mergeCell ref="B127:C127"/>
    <mergeCell ref="B208:C208"/>
    <mergeCell ref="A4:K4"/>
    <mergeCell ref="E32:F32"/>
    <mergeCell ref="J32:K32"/>
    <mergeCell ref="C32:C33"/>
    <mergeCell ref="E8:K8"/>
    <mergeCell ref="A32:B34"/>
    <mergeCell ref="I60:K60"/>
    <mergeCell ref="I73:K73"/>
    <mergeCell ref="E73:F73"/>
    <mergeCell ref="G73:H73"/>
    <mergeCell ref="E111:F111"/>
    <mergeCell ref="E121:F121"/>
  </mergeCells>
  <printOptions/>
  <pageMargins left="0.67" right="0.26" top="0.45" bottom="0.34" header="0.27" footer="0.21"/>
  <pageSetup horizontalDpi="300" verticalDpi="300" orientation="portrait" paperSize="9" scale="90" r:id="rId2"/>
  <rowBreaks count="6" manualBreakCount="6">
    <brk id="42" max="24" man="1"/>
    <brk id="86" max="24" man="1"/>
    <brk id="127" max="24" man="1"/>
    <brk id="167" max="24" man="1"/>
    <brk id="208" max="24" man="1"/>
    <brk id="249" max="24" man="1"/>
  </rowBreaks>
  <colBreaks count="1" manualBreakCount="1">
    <brk id="11" max="2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54"/>
  <sheetViews>
    <sheetView zoomScalePageLayoutView="0" workbookViewId="0" topLeftCell="A1">
      <selection activeCell="AI42" sqref="AI42"/>
    </sheetView>
  </sheetViews>
  <sheetFormatPr defaultColWidth="9.33203125" defaultRowHeight="21"/>
  <cols>
    <col min="1" max="1" width="8.83203125" style="0" customWidth="1"/>
    <col min="2" max="2" width="3.5" style="0" customWidth="1"/>
    <col min="3" max="3" width="2" style="0" customWidth="1"/>
    <col min="4" max="8" width="3.33203125" style="0" customWidth="1"/>
    <col min="9" max="13" width="5.83203125" style="0" customWidth="1"/>
    <col min="14" max="14" width="3.33203125" style="0" customWidth="1"/>
    <col min="15" max="15" width="1.83203125" style="0" customWidth="1"/>
    <col min="16" max="16" width="2.16015625" style="0" customWidth="1"/>
    <col min="17" max="17" width="4.83203125" style="0" customWidth="1"/>
    <col min="18" max="21" width="9.83203125" style="0" customWidth="1"/>
    <col min="22" max="22" width="4.83203125" style="0" customWidth="1"/>
    <col min="23" max="23" width="2.16015625" style="0" customWidth="1"/>
    <col min="24" max="24" width="4.66015625" style="0" customWidth="1"/>
    <col min="25" max="28" width="9.83203125" style="0" customWidth="1"/>
    <col min="29" max="29" width="4.83203125" style="0" customWidth="1"/>
    <col min="30" max="30" width="2.16015625" style="0" customWidth="1"/>
    <col min="31" max="31" width="1.83203125" style="0" customWidth="1"/>
    <col min="32" max="32" width="3.33203125" style="0" customWidth="1"/>
    <col min="33" max="37" width="5.83203125" style="0" customWidth="1"/>
    <col min="38" max="42" width="3.33203125" style="0" customWidth="1"/>
    <col min="43" max="43" width="2" style="0" customWidth="1"/>
    <col min="44" max="44" width="11.33203125" style="0" customWidth="1"/>
    <col min="45" max="45" width="2.16015625" style="0" customWidth="1"/>
    <col min="46" max="46" width="2.5" style="0" customWidth="1"/>
    <col min="47" max="47" width="0.82421875" style="0" customWidth="1"/>
    <col min="49" max="49" width="9.66015625" style="0" customWidth="1"/>
    <col min="50" max="50" width="6.16015625" style="0" customWidth="1"/>
    <col min="52" max="62" width="9.5" style="0" customWidth="1"/>
  </cols>
  <sheetData>
    <row r="1" ht="3.75" customHeight="1" thickBot="1"/>
    <row r="2" spans="1:48" ht="39.75" customHeight="1">
      <c r="A2" s="364"/>
      <c r="B2" s="22"/>
      <c r="C2" s="365" t="s">
        <v>47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23"/>
      <c r="AS2" s="6"/>
      <c r="AT2" s="6"/>
      <c r="AU2" s="6"/>
      <c r="AV2" s="6"/>
    </row>
    <row r="3" spans="1:48" ht="25.5" customHeight="1">
      <c r="A3" s="13"/>
      <c r="B3" s="6"/>
      <c r="C3" s="509" t="s">
        <v>48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366"/>
      <c r="O3" s="366"/>
      <c r="P3" s="366"/>
      <c r="Q3" s="36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366"/>
      <c r="AD3" s="366"/>
      <c r="AE3" s="366"/>
      <c r="AF3" s="366"/>
      <c r="AG3" s="366"/>
      <c r="AH3" s="509" t="s">
        <v>49</v>
      </c>
      <c r="AI3" s="509"/>
      <c r="AJ3" s="509"/>
      <c r="AK3" s="509"/>
      <c r="AL3" s="509"/>
      <c r="AM3" s="509"/>
      <c r="AN3" s="509"/>
      <c r="AO3" s="509"/>
      <c r="AP3" s="509"/>
      <c r="AQ3" s="509"/>
      <c r="AR3" s="15"/>
      <c r="AS3" s="6"/>
      <c r="AT3" s="6"/>
      <c r="AU3" s="6"/>
      <c r="AV3" s="6"/>
    </row>
    <row r="4" spans="1:48" ht="25.5" customHeight="1">
      <c r="A4" s="13"/>
      <c r="B4" s="6"/>
      <c r="C4" s="367">
        <v>100</v>
      </c>
      <c r="D4" s="10"/>
      <c r="E4" s="10"/>
      <c r="F4" s="10"/>
      <c r="G4" s="10"/>
      <c r="H4" s="366"/>
      <c r="I4" s="509">
        <v>100</v>
      </c>
      <c r="J4" s="509"/>
      <c r="K4" s="509"/>
      <c r="L4" s="366"/>
      <c r="M4" s="509">
        <v>455</v>
      </c>
      <c r="N4" s="509"/>
      <c r="O4" s="509"/>
      <c r="P4" s="509"/>
      <c r="Q4" s="366"/>
      <c r="R4" s="366">
        <v>30</v>
      </c>
      <c r="S4" s="366"/>
      <c r="T4" s="368"/>
      <c r="U4" s="6"/>
      <c r="V4" s="6"/>
      <c r="W4" s="6"/>
      <c r="X4" s="6"/>
      <c r="Y4" s="6"/>
      <c r="Z4" s="6"/>
      <c r="AA4" s="28"/>
      <c r="AB4" s="6"/>
      <c r="AC4" s="6"/>
      <c r="AD4" s="6"/>
      <c r="AE4" s="6"/>
      <c r="AF4" s="6"/>
      <c r="AG4" s="366"/>
      <c r="AH4" s="366"/>
      <c r="AI4" s="509">
        <v>100</v>
      </c>
      <c r="AJ4" s="509"/>
      <c r="AK4" s="366"/>
      <c r="AL4" s="366"/>
      <c r="AM4" s="366"/>
      <c r="AN4" s="509">
        <v>100</v>
      </c>
      <c r="AO4" s="509"/>
      <c r="AP4" s="366"/>
      <c r="AQ4" s="366"/>
      <c r="AR4" s="15"/>
      <c r="AS4" s="6"/>
      <c r="AT4" s="6"/>
      <c r="AU4" s="6"/>
      <c r="AV4" s="6"/>
    </row>
    <row r="5" spans="1:48" ht="21" customHeight="1">
      <c r="A5" s="13"/>
      <c r="B5" s="6"/>
      <c r="C5" s="510">
        <v>655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369">
        <v>30</v>
      </c>
      <c r="S5" s="370">
        <v>20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15"/>
      <c r="AS5" s="6"/>
      <c r="AT5" s="6"/>
      <c r="AU5" s="6"/>
      <c r="AV5" s="6"/>
    </row>
    <row r="6" spans="1:48" ht="21.75" customHeight="1">
      <c r="A6" s="13"/>
      <c r="B6" s="6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15"/>
      <c r="AS6" s="6"/>
      <c r="AT6" s="6"/>
      <c r="AU6" s="6"/>
      <c r="AV6" s="6"/>
    </row>
    <row r="7" spans="1:48" ht="25.5" customHeight="1">
      <c r="A7" s="13"/>
      <c r="B7" s="6"/>
      <c r="C7" s="6"/>
      <c r="D7" s="6"/>
      <c r="E7" s="6"/>
      <c r="F7" s="6"/>
      <c r="G7" s="6"/>
      <c r="H7" s="31" t="s">
        <v>447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8"/>
      <c r="Y7" s="8"/>
      <c r="Z7" s="8"/>
      <c r="AA7" s="8"/>
      <c r="AB7" s="8"/>
      <c r="AC7" s="8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15"/>
      <c r="AS7" s="6"/>
      <c r="AT7" s="6"/>
      <c r="AU7" s="6"/>
      <c r="AV7" s="6"/>
    </row>
    <row r="8" spans="1:48" ht="7.5" customHeight="1">
      <c r="A8" s="13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6"/>
      <c r="X8" s="8"/>
      <c r="Y8" s="8"/>
      <c r="Z8" s="8"/>
      <c r="AA8" s="8"/>
      <c r="AB8" s="8"/>
      <c r="AC8" s="8"/>
      <c r="AD8" s="6"/>
      <c r="AE8" s="6"/>
      <c r="AF8" s="6"/>
      <c r="AG8" s="6"/>
      <c r="AH8" s="6"/>
      <c r="AI8" s="6"/>
      <c r="AJ8" s="29"/>
      <c r="AK8" s="29"/>
      <c r="AL8" s="29"/>
      <c r="AM8" s="29"/>
      <c r="AN8" s="29"/>
      <c r="AO8" s="29"/>
      <c r="AP8" s="29"/>
      <c r="AQ8" s="29"/>
      <c r="AR8" s="15"/>
      <c r="AS8" s="6"/>
      <c r="AT8" s="6"/>
      <c r="AU8" s="6"/>
      <c r="AV8" s="6"/>
    </row>
    <row r="9" spans="1:48" ht="1.5" customHeight="1">
      <c r="A9" s="13"/>
      <c r="B9" s="1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9"/>
      <c r="AK9" s="29"/>
      <c r="AL9" s="29"/>
      <c r="AM9" s="29"/>
      <c r="AN9" s="29"/>
      <c r="AO9" s="29"/>
      <c r="AP9" s="29"/>
      <c r="AQ9" s="29"/>
      <c r="AR9" s="15"/>
      <c r="AS9" s="6"/>
      <c r="AT9" s="6"/>
      <c r="AU9" s="6"/>
      <c r="AV9" s="6"/>
    </row>
    <row r="10" spans="1:48" ht="2.25" customHeight="1">
      <c r="A10" s="13"/>
      <c r="B10" s="12"/>
      <c r="C10" s="6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29"/>
      <c r="AK10" s="29"/>
      <c r="AL10" s="29"/>
      <c r="AM10" s="29"/>
      <c r="AN10" s="29"/>
      <c r="AO10" s="29"/>
      <c r="AP10" s="29"/>
      <c r="AQ10" s="29"/>
      <c r="AR10" s="15"/>
      <c r="AS10" s="6"/>
      <c r="AT10" s="6"/>
      <c r="AU10" s="6"/>
      <c r="AV10" s="6"/>
    </row>
    <row r="11" spans="1:48" ht="3" customHeight="1">
      <c r="A11" s="13"/>
      <c r="B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9"/>
      <c r="AK11" s="29"/>
      <c r="AL11" s="29"/>
      <c r="AM11" s="29"/>
      <c r="AN11" s="29"/>
      <c r="AO11" s="29"/>
      <c r="AP11" s="29"/>
      <c r="AQ11" s="29"/>
      <c r="AR11" s="15"/>
      <c r="AS11" s="6"/>
      <c r="AT11" s="6"/>
      <c r="AU11" s="6"/>
      <c r="AV11" s="6"/>
    </row>
    <row r="12" spans="1:48" ht="4.5" customHeight="1">
      <c r="A12" s="13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372"/>
      <c r="Y12" s="372"/>
      <c r="Z12" s="372"/>
      <c r="AA12" s="372"/>
      <c r="AB12" s="372"/>
      <c r="AC12" s="37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15"/>
      <c r="AS12" s="6"/>
      <c r="AT12" s="6"/>
      <c r="AU12" s="6"/>
      <c r="AV12" s="6"/>
    </row>
    <row r="13" spans="1:48" ht="6.75" customHeight="1">
      <c r="A13" s="13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9"/>
      <c r="AK13" s="29"/>
      <c r="AL13" s="29"/>
      <c r="AM13" s="29"/>
      <c r="AN13" s="29"/>
      <c r="AO13" s="29"/>
      <c r="AP13" s="29"/>
      <c r="AQ13" s="29"/>
      <c r="AR13" s="15"/>
      <c r="AS13" s="6"/>
      <c r="AT13" s="6"/>
      <c r="AU13" s="6"/>
      <c r="AV13" s="6"/>
    </row>
    <row r="14" spans="1:48" ht="12" customHeight="1">
      <c r="A14" s="27"/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9"/>
      <c r="AK14" s="29"/>
      <c r="AL14" s="29"/>
      <c r="AM14" s="29"/>
      <c r="AN14" s="29"/>
      <c r="AO14" s="29"/>
      <c r="AP14" s="29"/>
      <c r="AQ14" s="29"/>
      <c r="AR14" s="15"/>
      <c r="AS14" s="6"/>
      <c r="AT14" s="6"/>
      <c r="AU14" s="6"/>
      <c r="AV14" s="6"/>
    </row>
    <row r="15" spans="1:48" ht="6.75" customHeight="1">
      <c r="A15" s="13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9"/>
      <c r="AK15" s="29"/>
      <c r="AL15" s="29"/>
      <c r="AM15" s="29"/>
      <c r="AN15" s="29"/>
      <c r="AO15" s="29"/>
      <c r="AP15" s="29"/>
      <c r="AQ15" s="29"/>
      <c r="AR15" s="15"/>
      <c r="AS15" s="6"/>
      <c r="AT15" s="6"/>
      <c r="AU15" s="6"/>
      <c r="AV15" s="6"/>
    </row>
    <row r="16" spans="1:48" ht="4.5" customHeight="1">
      <c r="A16" s="13"/>
      <c r="B16" s="1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72"/>
      <c r="Y16" s="372"/>
      <c r="Z16" s="372"/>
      <c r="AA16" s="372"/>
      <c r="AB16" s="372"/>
      <c r="AC16" s="372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15"/>
      <c r="AS16" s="6"/>
      <c r="AT16" s="6"/>
      <c r="AU16" s="6"/>
      <c r="AV16" s="6"/>
    </row>
    <row r="17" spans="1:48" ht="3.75" customHeight="1">
      <c r="A17" s="13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9"/>
      <c r="AK17" s="29"/>
      <c r="AL17" s="29"/>
      <c r="AM17" s="29"/>
      <c r="AN17" s="29"/>
      <c r="AO17" s="29"/>
      <c r="AP17" s="29"/>
      <c r="AQ17" s="29"/>
      <c r="AR17" s="15"/>
      <c r="AS17" s="6"/>
      <c r="AT17" s="6"/>
      <c r="AU17" s="6"/>
      <c r="AV17" s="6"/>
    </row>
    <row r="18" spans="1:48" ht="2.25" customHeight="1">
      <c r="A18" s="13"/>
      <c r="B18" s="12"/>
      <c r="C18" s="6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29"/>
      <c r="AK18" s="29"/>
      <c r="AL18" s="29"/>
      <c r="AM18" s="29"/>
      <c r="AN18" s="29"/>
      <c r="AO18" s="29"/>
      <c r="AP18" s="29"/>
      <c r="AQ18" s="29"/>
      <c r="AR18" s="15"/>
      <c r="AS18" s="6"/>
      <c r="AT18" s="6"/>
      <c r="AU18" s="6"/>
      <c r="AV18" s="6"/>
    </row>
    <row r="19" spans="1:48" ht="1.5" customHeight="1">
      <c r="A19" s="13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9"/>
      <c r="AK19" s="29"/>
      <c r="AL19" s="29"/>
      <c r="AM19" s="29"/>
      <c r="AN19" s="29"/>
      <c r="AO19" s="29"/>
      <c r="AP19" s="29"/>
      <c r="AQ19" s="29"/>
      <c r="AR19" s="15"/>
      <c r="AS19" s="6"/>
      <c r="AT19" s="6"/>
      <c r="AU19" s="6"/>
      <c r="AV19" s="6"/>
    </row>
    <row r="20" spans="1:48" ht="6.75" customHeight="1">
      <c r="A20" s="13"/>
      <c r="B20" s="1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6"/>
      <c r="X20" s="32"/>
      <c r="Y20" s="32"/>
      <c r="Z20" s="32"/>
      <c r="AA20" s="32"/>
      <c r="AB20" s="32"/>
      <c r="AC20" s="32"/>
      <c r="AD20" s="6"/>
      <c r="AE20" s="6"/>
      <c r="AF20" s="6"/>
      <c r="AG20" s="6"/>
      <c r="AH20" s="6"/>
      <c r="AI20" s="6"/>
      <c r="AJ20" s="29"/>
      <c r="AK20" s="29"/>
      <c r="AL20" s="29"/>
      <c r="AM20" s="29"/>
      <c r="AN20" s="29"/>
      <c r="AO20" s="29"/>
      <c r="AP20" s="29"/>
      <c r="AQ20" s="29"/>
      <c r="AR20" s="15"/>
      <c r="AS20" s="6"/>
      <c r="AT20" s="6"/>
      <c r="AU20" s="6"/>
      <c r="AV20" s="6"/>
    </row>
    <row r="21" spans="1:48" ht="6.75" customHeight="1">
      <c r="A21" s="1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9"/>
      <c r="AK21" s="29"/>
      <c r="AL21" s="29"/>
      <c r="AM21" s="29"/>
      <c r="AN21" s="29"/>
      <c r="AO21" s="29"/>
      <c r="AP21" s="29"/>
      <c r="AQ21" s="29"/>
      <c r="AR21" s="15"/>
      <c r="AS21" s="6"/>
      <c r="AT21" s="6"/>
      <c r="AU21" s="6"/>
      <c r="AV21" s="6"/>
    </row>
    <row r="22" spans="1:48" ht="21" customHeight="1">
      <c r="A22" s="13"/>
      <c r="B22" s="6"/>
      <c r="C22" s="373"/>
      <c r="D22" s="373"/>
      <c r="E22" s="373"/>
      <c r="F22" s="373"/>
      <c r="G22" s="373"/>
      <c r="H22" s="31"/>
      <c r="I22" s="374" t="s">
        <v>36</v>
      </c>
      <c r="J22" s="25"/>
      <c r="K22" s="25"/>
      <c r="L22" s="25"/>
      <c r="M22" s="25"/>
      <c r="N22" s="6"/>
      <c r="O22" s="6"/>
      <c r="P22" s="6"/>
      <c r="Q22" s="374" t="s">
        <v>55</v>
      </c>
      <c r="R22" s="6"/>
      <c r="S22" s="6"/>
      <c r="U22" s="375" t="s">
        <v>57</v>
      </c>
      <c r="V22" s="6"/>
      <c r="W22" s="6"/>
      <c r="X22" s="6"/>
      <c r="Y22" s="6"/>
      <c r="Z22" s="6"/>
      <c r="AA22" s="6"/>
      <c r="AB22" s="31" t="s">
        <v>446</v>
      </c>
      <c r="AC22" s="6"/>
      <c r="AD22" s="6"/>
      <c r="AE22" s="6"/>
      <c r="AF22" s="6"/>
      <c r="AG22" s="6"/>
      <c r="AH22" s="374" t="s">
        <v>36</v>
      </c>
      <c r="AI22" s="6"/>
      <c r="AJ22" s="29"/>
      <c r="AK22" s="29"/>
      <c r="AL22" s="29"/>
      <c r="AM22" s="29"/>
      <c r="AN22" s="29"/>
      <c r="AO22" s="29"/>
      <c r="AP22" s="29"/>
      <c r="AQ22" s="29"/>
      <c r="AR22" s="15"/>
      <c r="AS22" s="6"/>
      <c r="AT22" s="6"/>
      <c r="AU22" s="6"/>
      <c r="AV22" s="6"/>
    </row>
    <row r="23" spans="1:48" ht="21.75" customHeight="1">
      <c r="A23" s="13"/>
      <c r="B23" s="378" t="s">
        <v>35</v>
      </c>
      <c r="C23" s="374"/>
      <c r="D23" s="374"/>
      <c r="E23" s="374"/>
      <c r="F23" s="374"/>
      <c r="G23" s="374"/>
      <c r="H23" s="374"/>
      <c r="K23" s="374"/>
      <c r="L23" s="374" t="s">
        <v>37</v>
      </c>
      <c r="M23" s="374"/>
      <c r="N23" s="374"/>
      <c r="O23" s="374"/>
      <c r="P23" s="374"/>
      <c r="R23" s="374"/>
      <c r="S23" s="374"/>
      <c r="T23" s="374"/>
      <c r="V23" s="374"/>
      <c r="W23" s="374"/>
      <c r="X23" s="374"/>
      <c r="Y23" s="374" t="s">
        <v>38</v>
      </c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L23" s="374" t="s">
        <v>56</v>
      </c>
      <c r="AM23" s="374"/>
      <c r="AN23" s="374"/>
      <c r="AO23" s="374"/>
      <c r="AP23" s="374"/>
      <c r="AQ23" s="374"/>
      <c r="AR23" s="15"/>
      <c r="AS23" s="6"/>
      <c r="AT23" s="6"/>
      <c r="AU23" s="6"/>
      <c r="AV23" s="6"/>
    </row>
    <row r="24" spans="1:48" ht="16.5" customHeight="1">
      <c r="A24" s="13"/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376"/>
      <c r="O24" s="376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5"/>
      <c r="AS24" s="6"/>
      <c r="AT24" s="6"/>
      <c r="AU24" s="6"/>
      <c r="AV24" s="6"/>
    </row>
    <row r="25" spans="1:48" ht="19.5" customHeight="1">
      <c r="A25" s="13"/>
      <c r="B25" s="6"/>
      <c r="C25" s="37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5"/>
      <c r="AS25" s="6"/>
      <c r="AT25" s="6"/>
      <c r="AU25" s="6"/>
      <c r="AV25" s="6"/>
    </row>
    <row r="26" spans="1:48" ht="19.5" customHeight="1">
      <c r="A26" s="13"/>
      <c r="B26" s="6"/>
      <c r="C26" s="377"/>
      <c r="D26" s="10"/>
      <c r="E26" s="10"/>
      <c r="F26" s="10"/>
      <c r="G26" s="10"/>
      <c r="H26" s="10"/>
      <c r="I26" s="378"/>
      <c r="J26" s="10"/>
      <c r="K26" s="10"/>
      <c r="L26" s="10"/>
      <c r="M26" s="10"/>
      <c r="N26" s="10"/>
      <c r="O26" s="10"/>
      <c r="P26" s="10"/>
      <c r="Q26" s="10"/>
      <c r="R26" s="17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5"/>
      <c r="AS26" s="6"/>
      <c r="AT26" s="6"/>
      <c r="AU26" s="6"/>
      <c r="AV26" s="6"/>
    </row>
    <row r="27" spans="1:48" ht="21">
      <c r="A27" s="1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15"/>
      <c r="AS27" s="6"/>
      <c r="AT27" s="6"/>
      <c r="AU27" s="6"/>
      <c r="AV27" s="6"/>
    </row>
    <row r="28" spans="1:48" ht="21" customHeight="1">
      <c r="A28" s="1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15"/>
      <c r="AS28" s="6"/>
      <c r="AT28" s="6"/>
      <c r="AU28" s="6"/>
      <c r="AV28" s="6"/>
    </row>
    <row r="29" spans="1:48" ht="21" customHeight="1">
      <c r="A29" s="1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29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15"/>
      <c r="AS29" s="6"/>
      <c r="AT29" s="6"/>
      <c r="AU29" s="6"/>
      <c r="AV29" s="6"/>
    </row>
    <row r="30" spans="1:48" ht="17.25" customHeight="1">
      <c r="A30" s="1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379"/>
      <c r="AC30" s="380"/>
      <c r="AD30" s="10"/>
      <c r="AE30" s="10"/>
      <c r="AF30" s="380"/>
      <c r="AG30" s="10"/>
      <c r="AH30" s="10"/>
      <c r="AI30" s="380"/>
      <c r="AJ30" s="10"/>
      <c r="AK30" s="10"/>
      <c r="AL30" s="10"/>
      <c r="AM30" s="10"/>
      <c r="AN30" s="10"/>
      <c r="AO30" s="10"/>
      <c r="AP30" s="10"/>
      <c r="AQ30" s="10"/>
      <c r="AR30" s="108"/>
      <c r="AS30" s="6"/>
      <c r="AT30" s="6"/>
      <c r="AU30" s="6"/>
      <c r="AV30" s="6"/>
    </row>
    <row r="31" spans="1:48" ht="4.5" customHeight="1">
      <c r="A31" s="1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15"/>
      <c r="AS31" s="6"/>
      <c r="AT31" s="6"/>
      <c r="AU31" s="6"/>
      <c r="AV31" s="6"/>
    </row>
    <row r="32" spans="1:48" ht="22.5" customHeight="1">
      <c r="A32" s="1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15"/>
      <c r="AS32" s="6"/>
      <c r="AT32" s="6"/>
      <c r="AU32" s="6"/>
      <c r="AV32" s="6"/>
    </row>
    <row r="33" spans="1:48" ht="8.25" customHeight="1">
      <c r="A33" s="1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5"/>
      <c r="AS33" s="6"/>
      <c r="AT33" s="6"/>
      <c r="AU33" s="6"/>
      <c r="AV33" s="6"/>
    </row>
    <row r="34" spans="1:48" ht="18" customHeight="1">
      <c r="A34" s="1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15"/>
      <c r="AS34" s="6"/>
      <c r="AT34" s="6"/>
      <c r="AU34" s="6"/>
      <c r="AV34" s="6"/>
    </row>
    <row r="35" spans="1:48" ht="18" customHeight="1">
      <c r="A35" s="1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15"/>
      <c r="AS35" s="6"/>
      <c r="AT35" s="6"/>
      <c r="AU35" s="6"/>
      <c r="AV35" s="6"/>
    </row>
    <row r="36" spans="1:48" ht="8.25" customHeight="1">
      <c r="A36" s="1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15"/>
      <c r="AS36" s="6"/>
      <c r="AT36" s="6"/>
      <c r="AU36" s="6"/>
      <c r="AV36" s="6"/>
    </row>
    <row r="37" spans="1:48" ht="22.5" customHeight="1">
      <c r="A37" s="1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15"/>
      <c r="AS37" s="6"/>
      <c r="AT37" s="6"/>
      <c r="AU37" s="6"/>
      <c r="AV37" s="6"/>
    </row>
    <row r="38" spans="1:48" ht="4.5" customHeight="1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15"/>
      <c r="AS38" s="6"/>
      <c r="AT38" s="6"/>
      <c r="AU38" s="6"/>
      <c r="AV38" s="6"/>
    </row>
    <row r="39" spans="1:48" ht="21" customHeight="1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15"/>
      <c r="AS39" s="6"/>
      <c r="AT39" s="6"/>
      <c r="AU39" s="6"/>
      <c r="AV39" s="6"/>
    </row>
    <row r="40" spans="1:48" ht="21" customHeight="1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15"/>
      <c r="AS40" s="6"/>
      <c r="AT40" s="6"/>
      <c r="AU40" s="6"/>
      <c r="AV40" s="6"/>
    </row>
    <row r="41" spans="1:48" ht="21" customHeight="1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15"/>
      <c r="AS41" s="6"/>
      <c r="AT41" s="6"/>
      <c r="AU41" s="6"/>
      <c r="AV41" s="6"/>
    </row>
    <row r="42" spans="1:48" ht="21" customHeight="1">
      <c r="A42" s="1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381"/>
      <c r="AB42" s="382"/>
      <c r="AC42" s="6"/>
      <c r="AD42" s="10"/>
      <c r="AE42" s="10"/>
      <c r="AF42" s="380"/>
      <c r="AG42" s="10"/>
      <c r="AH42" s="10"/>
      <c r="AI42" s="380"/>
      <c r="AJ42" s="10"/>
      <c r="AK42" s="10"/>
      <c r="AL42" s="10"/>
      <c r="AM42" s="10"/>
      <c r="AN42" s="10"/>
      <c r="AO42" s="10"/>
      <c r="AP42" s="10"/>
      <c r="AQ42" s="10"/>
      <c r="AR42" s="108"/>
      <c r="AS42" s="6"/>
      <c r="AT42" s="6"/>
      <c r="AU42" s="6"/>
      <c r="AV42" s="6"/>
    </row>
    <row r="43" spans="1:51" ht="21" customHeight="1" thickBot="1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383"/>
      <c r="Q43" s="6"/>
      <c r="R43" s="6"/>
      <c r="S43" s="6"/>
      <c r="T43" s="6"/>
      <c r="U43" s="6"/>
      <c r="V43" s="6"/>
      <c r="W43" s="6"/>
      <c r="X43" s="6"/>
      <c r="Y43" s="6"/>
      <c r="Z43" s="6"/>
      <c r="AA43" s="384"/>
      <c r="AB43" s="385"/>
      <c r="AC43" s="384"/>
      <c r="AD43" s="386"/>
      <c r="AE43" s="386"/>
      <c r="AF43" s="387"/>
      <c r="AG43" s="386"/>
      <c r="AH43" s="25"/>
      <c r="AI43" s="6"/>
      <c r="AJ43" s="6"/>
      <c r="AK43" s="6"/>
      <c r="AL43" s="6"/>
      <c r="AM43" s="6"/>
      <c r="AN43" s="6"/>
      <c r="AO43" s="6"/>
      <c r="AP43" s="6"/>
      <c r="AQ43" s="6"/>
      <c r="AR43" s="15"/>
      <c r="AS43" s="6"/>
      <c r="AT43" s="6"/>
      <c r="AU43" s="6"/>
      <c r="AV43" s="6"/>
      <c r="AY43" s="388"/>
    </row>
    <row r="44" spans="1:48" ht="21" customHeight="1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9"/>
      <c r="S44" s="29"/>
      <c r="T44" s="21"/>
      <c r="U44" s="22"/>
      <c r="V44" s="22"/>
      <c r="W44" s="22"/>
      <c r="X44" s="389"/>
      <c r="Y44" s="22"/>
      <c r="Z44" s="389"/>
      <c r="AA44" s="22"/>
      <c r="AB44" s="23"/>
      <c r="AC44" s="390" t="s">
        <v>50</v>
      </c>
      <c r="AD44" s="391"/>
      <c r="AE44" s="24"/>
      <c r="AF44" s="22"/>
      <c r="AG44" s="505">
        <f>+CERTIFICATE!A5</f>
        <v>0</v>
      </c>
      <c r="AH44" s="505"/>
      <c r="AI44" s="505"/>
      <c r="AJ44" s="505"/>
      <c r="AK44" s="505"/>
      <c r="AL44" s="505"/>
      <c r="AM44" s="505"/>
      <c r="AN44" s="505"/>
      <c r="AO44" s="505"/>
      <c r="AP44" s="505"/>
      <c r="AQ44" s="505"/>
      <c r="AR44" s="506"/>
      <c r="AS44" s="6"/>
      <c r="AT44" s="6"/>
      <c r="AU44" s="6"/>
      <c r="AV44" s="6"/>
    </row>
    <row r="45" spans="1:48" ht="21" customHeight="1" thickBot="1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92"/>
      <c r="U45" s="11"/>
      <c r="V45" s="11"/>
      <c r="W45" s="11"/>
      <c r="X45" s="119"/>
      <c r="Y45" s="11"/>
      <c r="Z45" s="119"/>
      <c r="AA45" s="11"/>
      <c r="AB45" s="20"/>
      <c r="AC45" s="19"/>
      <c r="AD45" s="11"/>
      <c r="AE45" s="11"/>
      <c r="AF45" s="11"/>
      <c r="AG45" s="507"/>
      <c r="AH45" s="507"/>
      <c r="AI45" s="507"/>
      <c r="AJ45" s="507"/>
      <c r="AK45" s="507"/>
      <c r="AL45" s="507"/>
      <c r="AM45" s="507"/>
      <c r="AN45" s="507"/>
      <c r="AO45" s="507"/>
      <c r="AP45" s="507"/>
      <c r="AQ45" s="507"/>
      <c r="AR45" s="508"/>
      <c r="AS45" s="6"/>
      <c r="AT45" s="6"/>
      <c r="AU45" s="6"/>
      <c r="AV45" s="6"/>
    </row>
    <row r="46" spans="1:48" ht="21" customHeight="1" thickBot="1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93" t="s">
        <v>51</v>
      </c>
      <c r="U46" s="394"/>
      <c r="V46" s="395"/>
      <c r="W46" s="396" t="s">
        <v>52</v>
      </c>
      <c r="X46" s="397"/>
      <c r="Y46" s="397"/>
      <c r="Z46" s="398"/>
      <c r="AA46" s="398"/>
      <c r="AB46" s="399"/>
      <c r="AC46" s="400" t="s">
        <v>383</v>
      </c>
      <c r="AD46" s="401"/>
      <c r="AE46" s="402"/>
      <c r="AF46" s="455" t="s">
        <v>53</v>
      </c>
      <c r="AG46" s="9"/>
      <c r="AH46" s="8"/>
      <c r="AI46" s="403" t="s">
        <v>54</v>
      </c>
      <c r="AJ46" s="8"/>
      <c r="AK46" s="454" t="s">
        <v>494</v>
      </c>
      <c r="AL46" s="8"/>
      <c r="AM46" s="401"/>
      <c r="AN46" s="404" t="s">
        <v>15</v>
      </c>
      <c r="AO46" s="401"/>
      <c r="AP46" s="9"/>
      <c r="AQ46" s="9"/>
      <c r="AR46" s="405"/>
      <c r="AS46" s="6"/>
      <c r="AT46" s="6"/>
      <c r="AU46" s="6"/>
      <c r="AV46" s="6"/>
    </row>
    <row r="47" spans="1:48" ht="21" customHeight="1">
      <c r="A47" s="13"/>
      <c r="B47" s="6"/>
      <c r="C47" s="6"/>
      <c r="D47" s="6"/>
      <c r="E47" s="6"/>
      <c r="F47" s="40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407">
        <v>18</v>
      </c>
      <c r="U47" s="408"/>
      <c r="V47" s="34"/>
      <c r="W47" s="8"/>
      <c r="X47" s="409" t="s">
        <v>493</v>
      </c>
      <c r="Y47" s="410"/>
      <c r="Z47" s="32"/>
      <c r="AA47" s="32"/>
      <c r="AB47" s="120"/>
      <c r="AC47" s="400" t="s">
        <v>381</v>
      </c>
      <c r="AD47" s="401"/>
      <c r="AE47" s="7"/>
      <c r="AF47" s="8"/>
      <c r="AG47" s="8"/>
      <c r="AH47" s="8"/>
      <c r="AI47" s="403" t="s">
        <v>54</v>
      </c>
      <c r="AJ47" s="8"/>
      <c r="AK47" s="8"/>
      <c r="AL47" s="8"/>
      <c r="AM47" s="411"/>
      <c r="AN47" s="5"/>
      <c r="AO47" s="6"/>
      <c r="AP47" s="6"/>
      <c r="AQ47" s="6"/>
      <c r="AR47" s="15"/>
      <c r="AS47" s="6"/>
      <c r="AT47" s="6"/>
      <c r="AU47" s="6"/>
      <c r="AV47" s="6"/>
    </row>
    <row r="48" spans="1:48" ht="21" customHeight="1" thickBot="1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412"/>
      <c r="U48" s="413"/>
      <c r="V48" s="34"/>
      <c r="W48" s="8"/>
      <c r="X48" s="414"/>
      <c r="Y48" s="117" t="s">
        <v>495</v>
      </c>
      <c r="Z48" s="32"/>
      <c r="AA48" s="431" t="s">
        <v>4</v>
      </c>
      <c r="AB48" s="120"/>
      <c r="AC48" s="415" t="s">
        <v>382</v>
      </c>
      <c r="AD48" s="416"/>
      <c r="AE48" s="18"/>
      <c r="AF48" s="11"/>
      <c r="AG48" s="119"/>
      <c r="AH48" s="417"/>
      <c r="AI48" s="403" t="s">
        <v>54</v>
      </c>
      <c r="AJ48" s="11"/>
      <c r="AK48" s="11"/>
      <c r="AL48" s="11"/>
      <c r="AM48" s="417"/>
      <c r="AN48" s="18"/>
      <c r="AO48" s="11"/>
      <c r="AP48" s="11"/>
      <c r="AQ48" s="11"/>
      <c r="AR48" s="20"/>
      <c r="AS48" s="6"/>
      <c r="AT48" s="6"/>
      <c r="AU48" s="6"/>
      <c r="AV48" s="6"/>
    </row>
    <row r="49" spans="1:48" ht="21" customHeight="1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412"/>
      <c r="U49" s="413"/>
      <c r="V49" s="34"/>
      <c r="W49" s="8"/>
      <c r="X49" s="32"/>
      <c r="Y49" s="105" t="s">
        <v>0</v>
      </c>
      <c r="Z49" s="4"/>
      <c r="AA49" s="431" t="s">
        <v>1</v>
      </c>
      <c r="AB49" s="432"/>
      <c r="AC49" s="13"/>
      <c r="AD49" s="386"/>
      <c r="AE49" s="418"/>
      <c r="AF49" s="419"/>
      <c r="AG49" s="420"/>
      <c r="AH49" s="421"/>
      <c r="AI49" s="422"/>
      <c r="AJ49" s="422"/>
      <c r="AK49" s="422"/>
      <c r="AL49" s="422"/>
      <c r="AM49" s="422"/>
      <c r="AN49" s="422"/>
      <c r="AO49" s="422"/>
      <c r="AP49" s="422"/>
      <c r="AQ49" s="422"/>
      <c r="AR49" s="423"/>
      <c r="AS49" s="6"/>
      <c r="AT49" s="6"/>
      <c r="AU49" s="6"/>
      <c r="AV49" s="6"/>
    </row>
    <row r="50" spans="1:48" ht="21" customHeight="1" thickBot="1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433"/>
      <c r="U50" s="30"/>
      <c r="V50" s="14"/>
      <c r="W50" s="6"/>
      <c r="X50" s="4"/>
      <c r="Y50" s="105"/>
      <c r="Z50" s="4"/>
      <c r="AA50" s="434"/>
      <c r="AB50" s="15"/>
      <c r="AC50" s="13"/>
      <c r="AD50" s="6"/>
      <c r="AE50" s="6"/>
      <c r="AF50" s="6"/>
      <c r="AG50" s="122"/>
      <c r="AH50" s="3"/>
      <c r="AI50" s="104"/>
      <c r="AJ50" s="104"/>
      <c r="AK50" s="104"/>
      <c r="AL50" s="104"/>
      <c r="AM50" s="104"/>
      <c r="AN50" s="104"/>
      <c r="AO50" s="104"/>
      <c r="AP50" s="104"/>
      <c r="AQ50" s="104"/>
      <c r="AR50" s="424"/>
      <c r="AS50" s="6"/>
      <c r="AT50" s="6"/>
      <c r="AU50" s="6"/>
      <c r="AV50" s="6"/>
    </row>
    <row r="51" spans="1:48" ht="21" customHeight="1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435" t="s">
        <v>2</v>
      </c>
      <c r="U51" s="436"/>
      <c r="V51" s="437"/>
      <c r="W51" s="438" t="s">
        <v>385</v>
      </c>
      <c r="X51" s="439"/>
      <c r="Y51" s="439">
        <v>14300</v>
      </c>
      <c r="Z51" s="440" t="s">
        <v>279</v>
      </c>
      <c r="AA51" s="22"/>
      <c r="AB51" s="23"/>
      <c r="AC51" s="13"/>
      <c r="AD51" s="6"/>
      <c r="AF51" s="6"/>
      <c r="AG51" s="95"/>
      <c r="AI51" s="6"/>
      <c r="AJ51" s="6"/>
      <c r="AK51" s="6"/>
      <c r="AL51" s="6"/>
      <c r="AM51" s="6"/>
      <c r="AN51" s="6"/>
      <c r="AO51" s="6"/>
      <c r="AP51" s="6"/>
      <c r="AQ51" s="6"/>
      <c r="AR51" s="425"/>
      <c r="AS51" s="6"/>
      <c r="AT51" s="6"/>
      <c r="AU51" s="6"/>
      <c r="AV51" s="6"/>
    </row>
    <row r="52" spans="1:48" ht="21" customHeight="1" thickBot="1">
      <c r="A52" s="19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41" t="s">
        <v>3</v>
      </c>
      <c r="U52" s="124"/>
      <c r="V52" s="442"/>
      <c r="W52" s="443" t="s">
        <v>385</v>
      </c>
      <c r="X52" s="444"/>
      <c r="Y52" s="444">
        <v>6600</v>
      </c>
      <c r="Z52" s="124" t="s">
        <v>280</v>
      </c>
      <c r="AA52" s="11"/>
      <c r="AB52" s="20"/>
      <c r="AC52" s="19"/>
      <c r="AD52" s="11"/>
      <c r="AE52" s="426"/>
      <c r="AF52" s="11"/>
      <c r="AG52" s="426"/>
      <c r="AH52" s="426"/>
      <c r="AI52" s="11"/>
      <c r="AJ52" s="11"/>
      <c r="AK52" s="11"/>
      <c r="AL52" s="11"/>
      <c r="AM52" s="11"/>
      <c r="AN52" s="11"/>
      <c r="AO52" s="11"/>
      <c r="AP52" s="11"/>
      <c r="AQ52" s="11"/>
      <c r="AR52" s="20"/>
      <c r="AS52" s="6"/>
      <c r="AT52" s="6"/>
      <c r="AU52" s="6"/>
      <c r="AV52" s="6"/>
    </row>
    <row r="53" spans="20:48" ht="21" customHeight="1">
      <c r="T53" s="6"/>
      <c r="U53" s="6"/>
      <c r="AB53" s="6"/>
      <c r="AC53" s="6"/>
      <c r="AD53" s="6"/>
      <c r="AR53" s="6"/>
      <c r="AS53" s="6"/>
      <c r="AT53" s="6"/>
      <c r="AU53" s="6"/>
      <c r="AV53" s="6"/>
    </row>
    <row r="54" spans="28:48" ht="21" customHeight="1">
      <c r="AB54" s="6"/>
      <c r="AC54" s="6"/>
      <c r="AD54" s="6"/>
      <c r="AR54" s="6"/>
      <c r="AS54" s="6"/>
      <c r="AT54" s="6"/>
      <c r="AU54" s="6"/>
      <c r="AV54" s="6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</sheetData>
  <sheetProtection/>
  <mergeCells count="8">
    <mergeCell ref="AG44:AR45"/>
    <mergeCell ref="C3:M3"/>
    <mergeCell ref="AN4:AO4"/>
    <mergeCell ref="AH3:AQ3"/>
    <mergeCell ref="C5:Q5"/>
    <mergeCell ref="AI4:AJ4"/>
    <mergeCell ref="I4:K4"/>
    <mergeCell ref="M4:P4"/>
  </mergeCells>
  <printOptions/>
  <pageMargins left="0.57" right="0.21" top="0.39" bottom="0.11" header="0.22" footer="0.13"/>
  <pageSetup horizontalDpi="180" verticalDpi="18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Z53"/>
  <sheetViews>
    <sheetView tabSelected="1" zoomScalePageLayoutView="0" workbookViewId="0" topLeftCell="A1">
      <selection activeCell="AJ50" sqref="AJ50"/>
    </sheetView>
  </sheetViews>
  <sheetFormatPr defaultColWidth="9.33203125" defaultRowHeight="21"/>
  <cols>
    <col min="1" max="1" width="2" style="0" customWidth="1"/>
    <col min="2" max="2" width="8.83203125" style="0" customWidth="1"/>
    <col min="3" max="3" width="3.5" style="0" customWidth="1"/>
    <col min="4" max="4" width="2" style="0" customWidth="1"/>
    <col min="5" max="9" width="3.33203125" style="0" customWidth="1"/>
    <col min="10" max="14" width="5.83203125" style="0" customWidth="1"/>
    <col min="15" max="15" width="3.33203125" style="0" customWidth="1"/>
    <col min="16" max="16" width="1.83203125" style="0" customWidth="1"/>
    <col min="17" max="17" width="2.16015625" style="0" customWidth="1"/>
    <col min="18" max="18" width="4.83203125" style="0" customWidth="1"/>
    <col min="19" max="22" width="9.83203125" style="0" customWidth="1"/>
    <col min="23" max="23" width="4.83203125" style="0" customWidth="1"/>
    <col min="24" max="24" width="2.16015625" style="0" customWidth="1"/>
    <col min="25" max="25" width="4.66015625" style="0" customWidth="1"/>
    <col min="26" max="29" width="9.83203125" style="0" customWidth="1"/>
    <col min="30" max="30" width="4.83203125" style="0" customWidth="1"/>
    <col min="31" max="31" width="2.16015625" style="0" customWidth="1"/>
    <col min="32" max="32" width="1.83203125" style="0" customWidth="1"/>
    <col min="33" max="33" width="3.33203125" style="0" customWidth="1"/>
    <col min="34" max="38" width="5.83203125" style="0" customWidth="1"/>
    <col min="39" max="43" width="3.33203125" style="0" customWidth="1"/>
    <col min="44" max="44" width="2" style="0" customWidth="1"/>
    <col min="45" max="45" width="10.5" style="0" customWidth="1"/>
    <col min="46" max="46" width="8.5" style="0" customWidth="1"/>
    <col min="48" max="48" width="4" style="0" customWidth="1"/>
    <col min="50" max="50" width="9.66015625" style="0" customWidth="1"/>
    <col min="51" max="51" width="6.16015625" style="0" customWidth="1"/>
    <col min="53" max="63" width="9.5" style="0" customWidth="1"/>
  </cols>
  <sheetData>
    <row r="1" ht="11.25" customHeight="1" thickBot="1"/>
    <row r="2" spans="2:49" ht="39.75" customHeight="1">
      <c r="B2" s="364"/>
      <c r="C2" s="22"/>
      <c r="D2" s="365" t="s">
        <v>47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23"/>
      <c r="AT2" s="6"/>
      <c r="AU2" s="6"/>
      <c r="AV2" s="6"/>
      <c r="AW2" s="6"/>
    </row>
    <row r="3" spans="2:49" ht="25.5" customHeight="1">
      <c r="B3" s="13"/>
      <c r="C3" s="6"/>
      <c r="D3" s="367" t="s">
        <v>48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67" t="s">
        <v>49</v>
      </c>
      <c r="AE3" s="10"/>
      <c r="AF3" s="10"/>
      <c r="AG3" s="37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5"/>
      <c r="AT3" s="6"/>
      <c r="AU3" s="6"/>
      <c r="AV3" s="6"/>
      <c r="AW3" s="6"/>
    </row>
    <row r="4" spans="2:49" ht="25.5" customHeight="1">
      <c r="B4" s="13"/>
      <c r="C4" s="6"/>
      <c r="D4" s="367">
        <v>100</v>
      </c>
      <c r="E4" s="10"/>
      <c r="F4" s="10"/>
      <c r="G4" s="10"/>
      <c r="H4" s="10"/>
      <c r="I4" s="10"/>
      <c r="J4" s="509">
        <v>900</v>
      </c>
      <c r="K4" s="509"/>
      <c r="L4" s="509"/>
      <c r="M4" s="509"/>
      <c r="N4" s="509"/>
      <c r="O4" s="509"/>
      <c r="P4" s="509"/>
      <c r="Q4" s="509"/>
      <c r="R4" s="509"/>
      <c r="S4" s="509"/>
      <c r="T4" s="6"/>
      <c r="U4" s="6"/>
      <c r="V4" s="6"/>
      <c r="W4" s="6"/>
      <c r="X4" s="6"/>
      <c r="Y4" s="6"/>
      <c r="Z4" s="6"/>
      <c r="AA4" s="6"/>
      <c r="AB4" s="28"/>
      <c r="AC4" s="6"/>
      <c r="AD4" s="6"/>
      <c r="AE4" s="6"/>
      <c r="AF4" s="6"/>
      <c r="AG4" s="6"/>
      <c r="AH4" s="367"/>
      <c r="AI4" s="10"/>
      <c r="AJ4" s="429">
        <v>100</v>
      </c>
      <c r="AK4" s="10"/>
      <c r="AL4" s="10"/>
      <c r="AM4" s="367">
        <v>100</v>
      </c>
      <c r="AN4" s="10"/>
      <c r="AO4" s="10"/>
      <c r="AP4" s="10"/>
      <c r="AQ4" s="10"/>
      <c r="AR4" s="10"/>
      <c r="AS4" s="15"/>
      <c r="AT4" s="6"/>
      <c r="AU4" s="6"/>
      <c r="AV4" s="6"/>
      <c r="AW4" s="6"/>
    </row>
    <row r="5" spans="2:49" ht="17.25" customHeight="1">
      <c r="B5" s="13"/>
      <c r="C5" s="6"/>
      <c r="D5" s="427"/>
      <c r="E5" s="10"/>
      <c r="F5" s="10"/>
      <c r="G5" s="10"/>
      <c r="H5" s="10"/>
      <c r="I5" s="10"/>
      <c r="J5" s="427"/>
      <c r="K5" s="10"/>
      <c r="L5" s="10"/>
      <c r="M5" s="10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15"/>
      <c r="AT5" s="6"/>
      <c r="AU5" s="6"/>
      <c r="AV5" s="6"/>
      <c r="AW5" s="6"/>
    </row>
    <row r="6" spans="2:49" ht="23.25">
      <c r="B6" s="13"/>
      <c r="C6" s="6"/>
      <c r="D6" s="8"/>
      <c r="E6" s="8"/>
      <c r="F6" s="8"/>
      <c r="G6" s="8"/>
      <c r="H6" s="8"/>
      <c r="I6" s="430"/>
      <c r="J6" s="8"/>
      <c r="K6" s="8"/>
      <c r="L6" s="8"/>
      <c r="M6" s="8"/>
      <c r="N6" s="8"/>
      <c r="O6" s="8"/>
      <c r="P6" s="6"/>
      <c r="Q6" s="6"/>
      <c r="R6" s="8"/>
      <c r="S6" s="8"/>
      <c r="T6" s="8"/>
      <c r="U6" s="8"/>
      <c r="V6" s="8"/>
      <c r="W6" s="8"/>
      <c r="X6" s="6"/>
      <c r="Y6" s="8"/>
      <c r="Z6" s="8"/>
      <c r="AA6" s="8"/>
      <c r="AB6" s="8"/>
      <c r="AC6" s="8"/>
      <c r="AD6" s="8"/>
      <c r="AE6" s="6"/>
      <c r="AF6" s="8"/>
      <c r="AG6" s="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15"/>
      <c r="AT6" s="6"/>
      <c r="AU6" s="6"/>
      <c r="AV6" s="6"/>
      <c r="AW6" s="6"/>
    </row>
    <row r="7" spans="2:49" ht="7.5" customHeight="1">
      <c r="B7" s="13"/>
      <c r="C7" s="12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32"/>
      <c r="Q7" s="6"/>
      <c r="R7" s="8"/>
      <c r="S7" s="8"/>
      <c r="T7" s="8"/>
      <c r="U7" s="8"/>
      <c r="V7" s="8"/>
      <c r="W7" s="8"/>
      <c r="X7" s="6"/>
      <c r="Y7" s="8"/>
      <c r="Z7" s="8"/>
      <c r="AA7" s="8"/>
      <c r="AB7" s="8"/>
      <c r="AC7" s="8"/>
      <c r="AD7" s="8"/>
      <c r="AE7" s="6"/>
      <c r="AF7" s="8"/>
      <c r="AG7" s="8"/>
      <c r="AH7" s="32"/>
      <c r="AI7" s="32"/>
      <c r="AJ7" s="32"/>
      <c r="AK7" s="123"/>
      <c r="AL7" s="123"/>
      <c r="AM7" s="123"/>
      <c r="AN7" s="123"/>
      <c r="AO7" s="123"/>
      <c r="AP7" s="123"/>
      <c r="AQ7" s="123"/>
      <c r="AR7" s="123"/>
      <c r="AS7" s="16"/>
      <c r="AT7" s="6"/>
      <c r="AU7" s="6"/>
      <c r="AV7" s="6"/>
      <c r="AW7" s="6"/>
    </row>
    <row r="8" spans="2:49" ht="1.5" customHeight="1">
      <c r="B8" s="13"/>
      <c r="C8" s="12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29"/>
      <c r="AL8" s="29"/>
      <c r="AM8" s="29"/>
      <c r="AN8" s="29"/>
      <c r="AO8" s="29"/>
      <c r="AP8" s="29"/>
      <c r="AQ8" s="29"/>
      <c r="AR8" s="29"/>
      <c r="AS8" s="16"/>
      <c r="AT8" s="6"/>
      <c r="AU8" s="6"/>
      <c r="AV8" s="6"/>
      <c r="AW8" s="6"/>
    </row>
    <row r="9" spans="2:49" ht="2.25" customHeight="1">
      <c r="B9" s="13"/>
      <c r="C9" s="12"/>
      <c r="D9" s="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29"/>
      <c r="AL9" s="29"/>
      <c r="AM9" s="29"/>
      <c r="AN9" s="29"/>
      <c r="AO9" s="29"/>
      <c r="AP9" s="29"/>
      <c r="AQ9" s="29"/>
      <c r="AR9" s="29"/>
      <c r="AS9" s="16"/>
      <c r="AT9" s="6"/>
      <c r="AU9" s="6"/>
      <c r="AV9" s="6"/>
      <c r="AW9" s="6"/>
    </row>
    <row r="10" spans="2:49" ht="3" customHeight="1">
      <c r="B10" s="13"/>
      <c r="C10" s="6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  <c r="R10" s="8"/>
      <c r="S10" s="8"/>
      <c r="T10" s="8"/>
      <c r="U10" s="8"/>
      <c r="V10" s="8"/>
      <c r="W10" s="8"/>
      <c r="X10" s="6"/>
      <c r="Y10" s="8"/>
      <c r="Z10" s="8"/>
      <c r="AA10" s="8"/>
      <c r="AB10" s="8"/>
      <c r="AC10" s="8"/>
      <c r="AD10" s="8"/>
      <c r="AE10" s="6"/>
      <c r="AF10" s="8"/>
      <c r="AG10" s="8"/>
      <c r="AH10" s="8"/>
      <c r="AI10" s="8"/>
      <c r="AJ10" s="8"/>
      <c r="AK10" s="121"/>
      <c r="AL10" s="121"/>
      <c r="AM10" s="121"/>
      <c r="AN10" s="121"/>
      <c r="AO10" s="121"/>
      <c r="AP10" s="121"/>
      <c r="AQ10" s="121"/>
      <c r="AR10" s="121"/>
      <c r="AS10" s="16"/>
      <c r="AT10" s="6"/>
      <c r="AU10" s="6"/>
      <c r="AV10" s="6"/>
      <c r="AW10" s="6"/>
    </row>
    <row r="11" spans="2:49" ht="4.5" customHeight="1">
      <c r="B11" s="13"/>
      <c r="C11" s="6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16"/>
      <c r="AT11" s="6"/>
      <c r="AU11" s="6"/>
      <c r="AV11" s="6"/>
      <c r="AW11" s="6"/>
    </row>
    <row r="12" spans="2:49" ht="6.75" customHeight="1">
      <c r="B12" s="13"/>
      <c r="C12" s="6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9"/>
      <c r="AL12" s="29"/>
      <c r="AM12" s="29"/>
      <c r="AN12" s="29"/>
      <c r="AO12" s="29"/>
      <c r="AP12" s="29"/>
      <c r="AQ12" s="29"/>
      <c r="AR12" s="29"/>
      <c r="AS12" s="16"/>
      <c r="AT12" s="6"/>
      <c r="AU12" s="6"/>
      <c r="AV12" s="6"/>
      <c r="AW12" s="6"/>
    </row>
    <row r="13" spans="2:49" ht="12" customHeight="1">
      <c r="B13" s="13"/>
      <c r="C13" s="6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9"/>
      <c r="AL13" s="29"/>
      <c r="AM13" s="29"/>
      <c r="AN13" s="29"/>
      <c r="AO13" s="29"/>
      <c r="AP13" s="29"/>
      <c r="AQ13" s="29"/>
      <c r="AR13" s="29"/>
      <c r="AS13" s="16"/>
      <c r="AT13" s="6"/>
      <c r="AU13" s="6"/>
      <c r="AV13" s="6"/>
      <c r="AW13" s="6"/>
    </row>
    <row r="14" spans="2:49" ht="6.75" customHeight="1">
      <c r="B14" s="13"/>
      <c r="C14" s="6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29"/>
      <c r="AL14" s="29"/>
      <c r="AM14" s="29"/>
      <c r="AN14" s="29"/>
      <c r="AO14" s="29"/>
      <c r="AP14" s="29"/>
      <c r="AQ14" s="29"/>
      <c r="AR14" s="29"/>
      <c r="AS14" s="16"/>
      <c r="AT14" s="6"/>
      <c r="AU14" s="6"/>
      <c r="AV14" s="6"/>
      <c r="AW14" s="6"/>
    </row>
    <row r="15" spans="2:49" ht="4.5" customHeight="1">
      <c r="B15" s="13"/>
      <c r="C15" s="6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8"/>
      <c r="S15" s="8"/>
      <c r="T15" s="8"/>
      <c r="U15" s="8"/>
      <c r="V15" s="8"/>
      <c r="W15" s="8"/>
      <c r="X15" s="6"/>
      <c r="Y15" s="8"/>
      <c r="Z15" s="8"/>
      <c r="AA15" s="8"/>
      <c r="AB15" s="8"/>
      <c r="AC15" s="8"/>
      <c r="AD15" s="8"/>
      <c r="AE15" s="6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16"/>
      <c r="AT15" s="6"/>
      <c r="AU15" s="6"/>
      <c r="AV15" s="6"/>
      <c r="AW15" s="6"/>
    </row>
    <row r="16" spans="2:49" ht="3.75" customHeight="1">
      <c r="B16" s="13"/>
      <c r="C16" s="6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9"/>
      <c r="AL16" s="29"/>
      <c r="AM16" s="29"/>
      <c r="AN16" s="29"/>
      <c r="AO16" s="29"/>
      <c r="AP16" s="29"/>
      <c r="AQ16" s="29"/>
      <c r="AR16" s="29"/>
      <c r="AS16" s="16"/>
      <c r="AT16" s="6"/>
      <c r="AU16" s="6"/>
      <c r="AV16" s="6"/>
      <c r="AW16" s="6"/>
    </row>
    <row r="17" spans="2:49" ht="2.25" customHeight="1">
      <c r="B17" s="13"/>
      <c r="C17" s="12"/>
      <c r="D17" s="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29"/>
      <c r="AL17" s="29"/>
      <c r="AM17" s="29"/>
      <c r="AN17" s="29"/>
      <c r="AO17" s="29"/>
      <c r="AP17" s="29"/>
      <c r="AQ17" s="29"/>
      <c r="AR17" s="29"/>
      <c r="AS17" s="16"/>
      <c r="AT17" s="6"/>
      <c r="AU17" s="6"/>
      <c r="AV17" s="6"/>
      <c r="AW17" s="6"/>
    </row>
    <row r="18" spans="2:49" ht="1.5" customHeight="1">
      <c r="B18" s="13"/>
      <c r="C18" s="12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9"/>
      <c r="AL18" s="29"/>
      <c r="AM18" s="29"/>
      <c r="AN18" s="29"/>
      <c r="AO18" s="29"/>
      <c r="AP18" s="29"/>
      <c r="AQ18" s="29"/>
      <c r="AR18" s="29"/>
      <c r="AS18" s="16"/>
      <c r="AT18" s="6"/>
      <c r="AU18" s="6"/>
      <c r="AV18" s="6"/>
      <c r="AW18" s="6"/>
    </row>
    <row r="19" spans="2:49" ht="6.75" customHeight="1">
      <c r="B19" s="13"/>
      <c r="C19" s="12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6"/>
      <c r="R19" s="32"/>
      <c r="S19" s="32"/>
      <c r="T19" s="32"/>
      <c r="U19" s="32"/>
      <c r="V19" s="32"/>
      <c r="W19" s="32"/>
      <c r="X19" s="6"/>
      <c r="Y19" s="32"/>
      <c r="Z19" s="32"/>
      <c r="AA19" s="32"/>
      <c r="AB19" s="32"/>
      <c r="AC19" s="32"/>
      <c r="AD19" s="32"/>
      <c r="AE19" s="6"/>
      <c r="AF19" s="32"/>
      <c r="AG19" s="32"/>
      <c r="AH19" s="32"/>
      <c r="AI19" s="32"/>
      <c r="AJ19" s="32"/>
      <c r="AK19" s="123"/>
      <c r="AL19" s="123"/>
      <c r="AM19" s="123"/>
      <c r="AN19" s="123"/>
      <c r="AO19" s="123"/>
      <c r="AP19" s="123"/>
      <c r="AQ19" s="123"/>
      <c r="AR19" s="123"/>
      <c r="AS19" s="16"/>
      <c r="AT19" s="6"/>
      <c r="AU19" s="6"/>
      <c r="AV19" s="6"/>
      <c r="AW19" s="6"/>
    </row>
    <row r="20" spans="2:49" ht="6.75" customHeight="1">
      <c r="B20" s="1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29"/>
      <c r="AL20" s="29"/>
      <c r="AM20" s="29"/>
      <c r="AN20" s="29"/>
      <c r="AO20" s="29"/>
      <c r="AP20" s="29"/>
      <c r="AQ20" s="29"/>
      <c r="AR20" s="29"/>
      <c r="AS20" s="15"/>
      <c r="AT20" s="6"/>
      <c r="AU20" s="6"/>
      <c r="AV20" s="6"/>
      <c r="AW20" s="6"/>
    </row>
    <row r="21" spans="2:49" ht="21" customHeight="1">
      <c r="B21" s="13"/>
      <c r="C21" s="6"/>
      <c r="D21" s="373"/>
      <c r="E21" s="373"/>
      <c r="F21" s="373"/>
      <c r="G21" s="31" t="s">
        <v>31</v>
      </c>
      <c r="H21" s="373"/>
      <c r="I21" s="31"/>
      <c r="L21" s="25"/>
      <c r="M21" s="25"/>
      <c r="N21" s="25"/>
      <c r="O21" s="6"/>
      <c r="P21" s="6"/>
      <c r="Q21" s="6"/>
      <c r="R21" s="6"/>
      <c r="S21" s="6"/>
      <c r="T21" s="6"/>
      <c r="V21" s="6"/>
      <c r="W21" s="6"/>
      <c r="X21" s="6"/>
      <c r="Y21" s="6"/>
      <c r="Z21" s="6"/>
      <c r="AA21" s="31" t="s">
        <v>59</v>
      </c>
      <c r="AB21" s="6"/>
      <c r="AC21" s="6"/>
      <c r="AD21" s="6"/>
      <c r="AE21" s="6"/>
      <c r="AF21" s="6"/>
      <c r="AG21" s="6"/>
      <c r="AH21" s="6"/>
      <c r="AI21" s="6"/>
      <c r="AK21" s="29"/>
      <c r="AL21" s="29"/>
      <c r="AS21" s="15"/>
      <c r="AT21" s="6"/>
      <c r="AU21" s="6"/>
      <c r="AV21" s="6"/>
      <c r="AW21" s="6"/>
    </row>
    <row r="22" spans="2:49" ht="21.75" customHeight="1">
      <c r="B22" s="13"/>
      <c r="C22" s="511" t="s">
        <v>58</v>
      </c>
      <c r="D22" s="511"/>
      <c r="E22" s="511"/>
      <c r="F22" s="511"/>
      <c r="G22" s="511"/>
      <c r="H22" s="511"/>
      <c r="I22" s="511"/>
      <c r="J22" s="445"/>
      <c r="K22" s="446"/>
      <c r="L22" s="446"/>
      <c r="M22" s="446"/>
      <c r="N22" s="446"/>
      <c r="O22" s="446"/>
      <c r="P22" s="446"/>
      <c r="Q22" s="446"/>
      <c r="R22" s="446"/>
      <c r="S22" s="446"/>
      <c r="T22" s="512" t="s">
        <v>29</v>
      </c>
      <c r="U22" s="512"/>
      <c r="V22" s="512"/>
      <c r="W22" s="512"/>
      <c r="X22" s="512"/>
      <c r="Y22" s="512"/>
      <c r="Z22" s="512"/>
      <c r="AA22" s="512"/>
      <c r="AB22" s="512"/>
      <c r="AC22" s="512"/>
      <c r="AD22" s="512"/>
      <c r="AE22" s="512"/>
      <c r="AF22" s="512"/>
      <c r="AG22" s="512"/>
      <c r="AH22" s="512"/>
      <c r="AJ22" s="428"/>
      <c r="AK22" s="428"/>
      <c r="AL22" s="428"/>
      <c r="AM22" s="511" t="s">
        <v>58</v>
      </c>
      <c r="AN22" s="511"/>
      <c r="AO22" s="511"/>
      <c r="AP22" s="511"/>
      <c r="AQ22" s="511"/>
      <c r="AR22" s="511"/>
      <c r="AS22" s="15"/>
      <c r="AT22" s="6"/>
      <c r="AU22" s="6"/>
      <c r="AV22" s="6"/>
      <c r="AW22" s="6"/>
    </row>
    <row r="23" spans="2:49" ht="16.5" customHeight="1">
      <c r="B23" s="13"/>
      <c r="C23" s="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376"/>
      <c r="P23" s="376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5"/>
      <c r="AT23" s="6"/>
      <c r="AU23" s="6"/>
      <c r="AV23" s="6"/>
      <c r="AW23" s="6"/>
    </row>
    <row r="24" spans="2:49" ht="19.5" customHeight="1">
      <c r="B24" s="13"/>
      <c r="C24" s="6"/>
      <c r="D24" s="377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5"/>
      <c r="AT24" s="6"/>
      <c r="AU24" s="6"/>
      <c r="AV24" s="6"/>
      <c r="AW24" s="6"/>
    </row>
    <row r="25" spans="2:49" ht="19.5" customHeight="1">
      <c r="B25" s="13"/>
      <c r="C25" s="6"/>
      <c r="D25" s="37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5"/>
      <c r="AT25" s="6"/>
      <c r="AU25" s="6"/>
      <c r="AV25" s="6"/>
      <c r="AW25" s="6"/>
    </row>
    <row r="26" spans="2:49" ht="21"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5"/>
      <c r="AT26" s="6"/>
      <c r="AU26" s="6"/>
      <c r="AV26" s="6"/>
      <c r="AW26" s="6"/>
    </row>
    <row r="27" spans="2:49" ht="21" customHeight="1"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15"/>
      <c r="AT27" s="6"/>
      <c r="AU27" s="6"/>
      <c r="AV27" s="6"/>
      <c r="AW27" s="6"/>
    </row>
    <row r="28" spans="2:49" ht="21" customHeight="1">
      <c r="B28" s="1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9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15"/>
      <c r="AT28" s="6"/>
      <c r="AU28" s="6"/>
      <c r="AV28" s="6"/>
      <c r="AW28" s="6"/>
    </row>
    <row r="29" spans="2:49" ht="17.25" customHeight="1">
      <c r="B29" s="13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379"/>
      <c r="AD29" s="380"/>
      <c r="AE29" s="10"/>
      <c r="AF29" s="10"/>
      <c r="AG29" s="380"/>
      <c r="AH29" s="10"/>
      <c r="AI29" s="10"/>
      <c r="AJ29" s="380"/>
      <c r="AK29" s="10"/>
      <c r="AL29" s="10"/>
      <c r="AM29" s="10"/>
      <c r="AN29" s="10"/>
      <c r="AO29" s="10"/>
      <c r="AP29" s="10"/>
      <c r="AQ29" s="10"/>
      <c r="AR29" s="10"/>
      <c r="AS29" s="108"/>
      <c r="AT29" s="6"/>
      <c r="AU29" s="6"/>
      <c r="AV29" s="6"/>
      <c r="AW29" s="6"/>
    </row>
    <row r="30" spans="2:49" ht="4.5" customHeight="1"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15"/>
      <c r="AT30" s="6"/>
      <c r="AU30" s="6"/>
      <c r="AV30" s="6"/>
      <c r="AW30" s="6"/>
    </row>
    <row r="31" spans="2:49" ht="22.5" customHeight="1"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15"/>
      <c r="AT31" s="6"/>
      <c r="AU31" s="6"/>
      <c r="AV31" s="6"/>
      <c r="AW31" s="6"/>
    </row>
    <row r="32" spans="2:49" ht="8.25" customHeight="1">
      <c r="B32" s="1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5"/>
      <c r="AT32" s="6"/>
      <c r="AU32" s="6"/>
      <c r="AV32" s="6"/>
      <c r="AW32" s="6"/>
    </row>
    <row r="33" spans="2:49" ht="18" customHeight="1">
      <c r="B33" s="1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5"/>
      <c r="AT33" s="6"/>
      <c r="AU33" s="6"/>
      <c r="AV33" s="6"/>
      <c r="AW33" s="6"/>
    </row>
    <row r="34" spans="2:49" ht="18" customHeight="1"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15"/>
      <c r="AT34" s="6"/>
      <c r="AU34" s="6"/>
      <c r="AV34" s="6"/>
      <c r="AW34" s="6"/>
    </row>
    <row r="35" spans="2:49" ht="8.25" customHeight="1">
      <c r="B35" s="1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5"/>
      <c r="AT35" s="6"/>
      <c r="AU35" s="6"/>
      <c r="AV35" s="6"/>
      <c r="AW35" s="6"/>
    </row>
    <row r="36" spans="2:49" ht="22.5" customHeight="1">
      <c r="B36" s="1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15"/>
      <c r="AT36" s="6"/>
      <c r="AU36" s="6"/>
      <c r="AV36" s="6"/>
      <c r="AW36" s="6"/>
    </row>
    <row r="37" spans="2:49" ht="4.5" customHeight="1"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15"/>
      <c r="AT37" s="6"/>
      <c r="AU37" s="6"/>
      <c r="AV37" s="6"/>
      <c r="AW37" s="6"/>
    </row>
    <row r="38" spans="2:49" ht="21" customHeight="1">
      <c r="B38" s="1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15"/>
      <c r="AT38" s="6"/>
      <c r="AU38" s="6"/>
      <c r="AV38" s="6"/>
      <c r="AW38" s="6"/>
    </row>
    <row r="39" spans="2:49" ht="21" customHeight="1">
      <c r="B39" s="1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15"/>
      <c r="AT39" s="6"/>
      <c r="AU39" s="6"/>
      <c r="AV39" s="6"/>
      <c r="AW39" s="6"/>
    </row>
    <row r="40" spans="2:49" ht="21" customHeight="1">
      <c r="B40" s="1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15"/>
      <c r="AT40" s="6"/>
      <c r="AU40" s="6"/>
      <c r="AV40" s="6"/>
      <c r="AW40" s="6"/>
    </row>
    <row r="41" spans="2:49" ht="21" customHeight="1"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381"/>
      <c r="AC41" s="382"/>
      <c r="AD41" s="6"/>
      <c r="AE41" s="10"/>
      <c r="AF41" s="10"/>
      <c r="AG41" s="380"/>
      <c r="AH41" s="10"/>
      <c r="AI41" s="10"/>
      <c r="AJ41" s="380"/>
      <c r="AK41" s="10"/>
      <c r="AL41" s="10"/>
      <c r="AM41" s="10"/>
      <c r="AN41" s="10"/>
      <c r="AO41" s="10"/>
      <c r="AP41" s="10"/>
      <c r="AQ41" s="10"/>
      <c r="AR41" s="10"/>
      <c r="AS41" s="108"/>
      <c r="AT41" s="6"/>
      <c r="AU41" s="6"/>
      <c r="AV41" s="6"/>
      <c r="AW41" s="6"/>
    </row>
    <row r="42" spans="2:52" ht="21" customHeight="1" thickBot="1">
      <c r="B42" s="13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83"/>
      <c r="R42" s="6"/>
      <c r="S42" s="6"/>
      <c r="T42" s="6"/>
      <c r="U42" s="6"/>
      <c r="V42" s="6"/>
      <c r="W42" s="6"/>
      <c r="X42" s="6"/>
      <c r="Y42" s="6"/>
      <c r="Z42" s="6"/>
      <c r="AA42" s="6"/>
      <c r="AB42" s="384"/>
      <c r="AC42" s="385"/>
      <c r="AD42" s="384"/>
      <c r="AE42" s="386"/>
      <c r="AF42" s="386"/>
      <c r="AG42" s="387"/>
      <c r="AH42" s="386"/>
      <c r="AI42" s="25"/>
      <c r="AJ42" s="6"/>
      <c r="AK42" s="6"/>
      <c r="AL42" s="6"/>
      <c r="AM42" s="6"/>
      <c r="AN42" s="6"/>
      <c r="AO42" s="6"/>
      <c r="AP42" s="6"/>
      <c r="AQ42" s="6"/>
      <c r="AR42" s="6"/>
      <c r="AS42" s="15"/>
      <c r="AT42" s="6"/>
      <c r="AU42" s="6"/>
      <c r="AV42" s="6"/>
      <c r="AW42" s="6"/>
      <c r="AZ42" s="388"/>
    </row>
    <row r="43" spans="2:49" ht="21" customHeight="1"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9"/>
      <c r="T43" s="29"/>
      <c r="U43" s="21"/>
      <c r="V43" s="22"/>
      <c r="W43" s="22"/>
      <c r="X43" s="22"/>
      <c r="Y43" s="389"/>
      <c r="Z43" s="22"/>
      <c r="AA43" s="389"/>
      <c r="AB43" s="22"/>
      <c r="AC43" s="23"/>
      <c r="AD43" s="390" t="s">
        <v>50</v>
      </c>
      <c r="AE43" s="391"/>
      <c r="AF43" s="24"/>
      <c r="AG43" s="22"/>
      <c r="AH43" s="505">
        <f>+CERTIFICATE!A5</f>
        <v>0</v>
      </c>
      <c r="AI43" s="505"/>
      <c r="AJ43" s="505"/>
      <c r="AK43" s="505"/>
      <c r="AL43" s="505"/>
      <c r="AM43" s="505"/>
      <c r="AN43" s="505"/>
      <c r="AO43" s="505"/>
      <c r="AP43" s="505"/>
      <c r="AQ43" s="505"/>
      <c r="AR43" s="505"/>
      <c r="AS43" s="506"/>
      <c r="AT43" s="6"/>
      <c r="AU43" s="6"/>
      <c r="AV43" s="6"/>
      <c r="AW43" s="6"/>
    </row>
    <row r="44" spans="2:49" ht="21" customHeight="1" thickBot="1"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392"/>
      <c r="V44" s="11"/>
      <c r="W44" s="11"/>
      <c r="X44" s="11"/>
      <c r="Y44" s="119"/>
      <c r="Z44" s="11"/>
      <c r="AA44" s="119"/>
      <c r="AB44" s="11"/>
      <c r="AC44" s="20"/>
      <c r="AD44" s="19"/>
      <c r="AE44" s="11"/>
      <c r="AF44" s="11"/>
      <c r="AG44" s="11"/>
      <c r="AH44" s="507"/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8"/>
      <c r="AT44" s="6"/>
      <c r="AU44" s="6"/>
      <c r="AV44" s="6"/>
      <c r="AW44" s="6"/>
    </row>
    <row r="45" spans="2:49" ht="21" customHeight="1" thickBot="1">
      <c r="B45" s="13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393" t="s">
        <v>51</v>
      </c>
      <c r="V45" s="394"/>
      <c r="W45" s="395"/>
      <c r="X45" s="396" t="s">
        <v>52</v>
      </c>
      <c r="Y45" s="397"/>
      <c r="Z45" s="397"/>
      <c r="AA45" s="398"/>
      <c r="AB45" s="398"/>
      <c r="AC45" s="399"/>
      <c r="AD45" s="400" t="s">
        <v>383</v>
      </c>
      <c r="AE45" s="401"/>
      <c r="AF45" s="402"/>
      <c r="AG45" s="93" t="s">
        <v>53</v>
      </c>
      <c r="AH45" s="9"/>
      <c r="AI45" s="8"/>
      <c r="AJ45" s="403" t="s">
        <v>54</v>
      </c>
      <c r="AK45" s="8"/>
      <c r="AL45" s="125" t="s">
        <v>494</v>
      </c>
      <c r="AM45" s="8"/>
      <c r="AN45" s="401"/>
      <c r="AO45" s="404" t="s">
        <v>15</v>
      </c>
      <c r="AP45" s="401"/>
      <c r="AQ45" s="9"/>
      <c r="AR45" s="9"/>
      <c r="AS45" s="405"/>
      <c r="AT45" s="6"/>
      <c r="AU45" s="6"/>
      <c r="AV45" s="6"/>
      <c r="AW45" s="6"/>
    </row>
    <row r="46" spans="2:49" ht="21" customHeight="1">
      <c r="B46" s="13"/>
      <c r="C46" s="6"/>
      <c r="D46" s="6"/>
      <c r="E46" s="6"/>
      <c r="F46" s="6"/>
      <c r="G46" s="40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07">
        <v>18</v>
      </c>
      <c r="V46" s="408"/>
      <c r="W46" s="34"/>
      <c r="X46" s="8"/>
      <c r="Y46" s="409" t="s">
        <v>30</v>
      </c>
      <c r="Z46" s="410"/>
      <c r="AA46" s="32"/>
      <c r="AB46" s="32"/>
      <c r="AC46" s="120"/>
      <c r="AD46" s="400" t="s">
        <v>381</v>
      </c>
      <c r="AE46" s="401"/>
      <c r="AF46" s="7"/>
      <c r="AG46" s="8"/>
      <c r="AH46" s="8"/>
      <c r="AI46" s="8"/>
      <c r="AJ46" s="403" t="s">
        <v>54</v>
      </c>
      <c r="AK46" s="8"/>
      <c r="AL46" s="8"/>
      <c r="AM46" s="8"/>
      <c r="AN46" s="411"/>
      <c r="AO46" s="5"/>
      <c r="AP46" s="6"/>
      <c r="AQ46" s="6"/>
      <c r="AR46" s="6"/>
      <c r="AS46" s="15"/>
      <c r="AT46" s="6"/>
      <c r="AU46" s="6"/>
      <c r="AV46" s="6"/>
      <c r="AW46" s="6"/>
    </row>
    <row r="47" spans="2:49" ht="21" customHeight="1" thickBot="1">
      <c r="B47" s="13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12"/>
      <c r="V47" s="413"/>
      <c r="W47" s="34"/>
      <c r="X47" s="8"/>
      <c r="Y47" s="414"/>
      <c r="Z47" s="117" t="s">
        <v>495</v>
      </c>
      <c r="AA47" s="32"/>
      <c r="AB47" s="431" t="s">
        <v>1</v>
      </c>
      <c r="AC47" s="120"/>
      <c r="AD47" s="415" t="s">
        <v>382</v>
      </c>
      <c r="AE47" s="416"/>
      <c r="AF47" s="18"/>
      <c r="AG47" s="11"/>
      <c r="AH47" s="119"/>
      <c r="AI47" s="417"/>
      <c r="AJ47" s="403" t="s">
        <v>54</v>
      </c>
      <c r="AK47" s="11"/>
      <c r="AL47" s="11"/>
      <c r="AM47" s="11"/>
      <c r="AN47" s="417"/>
      <c r="AO47" s="18"/>
      <c r="AP47" s="11"/>
      <c r="AQ47" s="11"/>
      <c r="AR47" s="11"/>
      <c r="AS47" s="20"/>
      <c r="AT47" s="6"/>
      <c r="AU47" s="6"/>
      <c r="AV47" s="6"/>
      <c r="AW47" s="6"/>
    </row>
    <row r="48" spans="2:49" ht="21" customHeight="1">
      <c r="B48" s="13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12"/>
      <c r="V48" s="413"/>
      <c r="W48" s="34"/>
      <c r="X48" s="8"/>
      <c r="Y48" s="32"/>
      <c r="Z48" s="105" t="s">
        <v>0</v>
      </c>
      <c r="AA48" s="4"/>
      <c r="AB48" s="431" t="s">
        <v>1</v>
      </c>
      <c r="AC48" s="432"/>
      <c r="AD48" s="13"/>
      <c r="AE48" s="386"/>
      <c r="AF48" s="418"/>
      <c r="AG48" s="419"/>
      <c r="AH48" s="420"/>
      <c r="AI48" s="421"/>
      <c r="AJ48" s="422"/>
      <c r="AK48" s="422"/>
      <c r="AL48" s="422"/>
      <c r="AM48" s="422"/>
      <c r="AN48" s="422"/>
      <c r="AO48" s="422"/>
      <c r="AP48" s="422"/>
      <c r="AQ48" s="422"/>
      <c r="AR48" s="422"/>
      <c r="AS48" s="423"/>
      <c r="AT48" s="6"/>
      <c r="AU48" s="6"/>
      <c r="AV48" s="6"/>
      <c r="AW48" s="6"/>
    </row>
    <row r="49" spans="2:49" ht="21" customHeight="1" thickBot="1">
      <c r="B49" s="13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33"/>
      <c r="V49" s="30"/>
      <c r="W49" s="14"/>
      <c r="X49" s="6"/>
      <c r="Y49" s="4"/>
      <c r="Z49" s="105"/>
      <c r="AA49" s="4"/>
      <c r="AB49" s="434"/>
      <c r="AC49" s="15"/>
      <c r="AD49" s="13"/>
      <c r="AE49" s="6"/>
      <c r="AF49" s="6"/>
      <c r="AG49" s="6"/>
      <c r="AH49" s="122"/>
      <c r="AI49" s="3"/>
      <c r="AJ49" s="104"/>
      <c r="AK49" s="104"/>
      <c r="AL49" s="104"/>
      <c r="AM49" s="104"/>
      <c r="AN49" s="104"/>
      <c r="AO49" s="104"/>
      <c r="AP49" s="104"/>
      <c r="AQ49" s="104"/>
      <c r="AR49" s="104"/>
      <c r="AS49" s="424"/>
      <c r="AT49" s="6"/>
      <c r="AU49" s="6"/>
      <c r="AV49" s="6"/>
      <c r="AW49" s="6"/>
    </row>
    <row r="50" spans="2:49" ht="21" customHeight="1">
      <c r="B50" s="1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35" t="s">
        <v>2</v>
      </c>
      <c r="V50" s="436"/>
      <c r="W50" s="437"/>
      <c r="X50" s="438" t="s">
        <v>385</v>
      </c>
      <c r="Y50" s="439"/>
      <c r="Z50" s="439">
        <v>10800</v>
      </c>
      <c r="AA50" s="440" t="s">
        <v>279</v>
      </c>
      <c r="AB50" s="22"/>
      <c r="AC50" s="23"/>
      <c r="AD50" s="13"/>
      <c r="AE50" s="6"/>
      <c r="AG50" s="6"/>
      <c r="AH50" s="95"/>
      <c r="AJ50" s="6"/>
      <c r="AK50" s="6"/>
      <c r="AL50" s="6"/>
      <c r="AM50" s="6"/>
      <c r="AN50" s="6"/>
      <c r="AO50" s="6"/>
      <c r="AP50" s="6"/>
      <c r="AQ50" s="6"/>
      <c r="AR50" s="6"/>
      <c r="AS50" s="425"/>
      <c r="AT50" s="6"/>
      <c r="AU50" s="6"/>
      <c r="AV50" s="6"/>
      <c r="AW50" s="6"/>
    </row>
    <row r="51" spans="2:49" ht="21" customHeight="1" thickBot="1">
      <c r="B51" s="1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441" t="s">
        <v>3</v>
      </c>
      <c r="V51" s="124"/>
      <c r="W51" s="442"/>
      <c r="X51" s="443" t="s">
        <v>385</v>
      </c>
      <c r="Y51" s="444"/>
      <c r="Z51" s="444">
        <v>5000</v>
      </c>
      <c r="AA51" s="124" t="s">
        <v>280</v>
      </c>
      <c r="AB51" s="11"/>
      <c r="AC51" s="20"/>
      <c r="AD51" s="19"/>
      <c r="AE51" s="11"/>
      <c r="AF51" s="426"/>
      <c r="AG51" s="11"/>
      <c r="AH51" s="426"/>
      <c r="AI51" s="426"/>
      <c r="AJ51" s="11"/>
      <c r="AK51" s="11"/>
      <c r="AL51" s="11"/>
      <c r="AM51" s="11"/>
      <c r="AN51" s="11"/>
      <c r="AO51" s="11"/>
      <c r="AP51" s="11"/>
      <c r="AQ51" s="11"/>
      <c r="AR51" s="11"/>
      <c r="AS51" s="20"/>
      <c r="AT51" s="6"/>
      <c r="AU51" s="6"/>
      <c r="AV51" s="6"/>
      <c r="AW51" s="6"/>
    </row>
    <row r="52" spans="21:49" ht="21" customHeight="1">
      <c r="U52" s="6"/>
      <c r="V52" s="6"/>
      <c r="AC52" s="6"/>
      <c r="AD52" s="6"/>
      <c r="AE52" s="6"/>
      <c r="AS52" s="6"/>
      <c r="AT52" s="6"/>
      <c r="AU52" s="6"/>
      <c r="AV52" s="6"/>
      <c r="AW52" s="6"/>
    </row>
    <row r="53" spans="29:49" ht="21" customHeight="1">
      <c r="AC53" s="6"/>
      <c r="AD53" s="6"/>
      <c r="AE53" s="6"/>
      <c r="AS53" s="6"/>
      <c r="AT53" s="6"/>
      <c r="AU53" s="6"/>
      <c r="AV53" s="6"/>
      <c r="AW53" s="6"/>
    </row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5">
    <mergeCell ref="AH43:AS44"/>
    <mergeCell ref="C22:I22"/>
    <mergeCell ref="J4:S4"/>
    <mergeCell ref="AM22:AR22"/>
    <mergeCell ref="T22:AH22"/>
  </mergeCells>
  <printOptions/>
  <pageMargins left="0.29" right="0.21" top="0.43" bottom="0.11" header="0.26" footer="0.13"/>
  <pageSetup horizontalDpi="180" verticalDpi="18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T1</cp:lastModifiedBy>
  <cp:lastPrinted>2006-10-16T06:02:42Z</cp:lastPrinted>
  <dcterms:created xsi:type="dcterms:W3CDTF">2000-06-13T22:37:12Z</dcterms:created>
  <dcterms:modified xsi:type="dcterms:W3CDTF">2012-11-22T06:19:24Z</dcterms:modified>
  <cp:category/>
  <cp:version/>
  <cp:contentType/>
  <cp:contentStatus/>
</cp:coreProperties>
</file>