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Work\2022\Dr_Eak\"/>
    </mc:Choice>
  </mc:AlternateContent>
  <xr:revisionPtr revIDLastSave="0" documentId="13_ncr:1_{3EA78361-B28B-4A7B-BA1D-B08ADECEC024}" xr6:coauthVersionLast="47" xr6:coauthVersionMax="47" xr10:uidLastSave="{00000000-0000-0000-0000-000000000000}"/>
  <bookViews>
    <workbookView xWindow="-120" yWindow="-120" windowWidth="20730" windowHeight="11160" activeTab="5" xr2:uid="{C49B6D76-C76E-423F-B41B-D259C13B3840}"/>
  </bookViews>
  <sheets>
    <sheet name="Pipe" sheetId="13" r:id="rId1"/>
    <sheet name="Trapezoidal" sheetId="8" r:id="rId2"/>
    <sheet name="Rectangular" sheetId="11" r:id="rId3"/>
    <sheet name="Triangle" sheetId="14" r:id="rId4"/>
    <sheet name="n" sheetId="2" r:id="rId5"/>
    <sheet name="Notes" sheetId="15"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3" l="1"/>
  <c r="J23" i="11"/>
  <c r="W4" i="11"/>
  <c r="J24" i="11" s="1"/>
  <c r="J25" i="8"/>
  <c r="W4" i="8"/>
  <c r="J25" i="13"/>
  <c r="W4" i="13"/>
  <c r="G5" i="14" l="1"/>
  <c r="G5" i="11"/>
  <c r="G5" i="8"/>
  <c r="J20" i="14" l="1"/>
  <c r="E21" i="14"/>
  <c r="E20" i="14"/>
  <c r="N26" i="14"/>
  <c r="AN21" i="14"/>
  <c r="AN20" i="14"/>
  <c r="AI20" i="14"/>
  <c r="AN19" i="14"/>
  <c r="AI19" i="14"/>
  <c r="AN18" i="14"/>
  <c r="AI18" i="14"/>
  <c r="AN17" i="14"/>
  <c r="AI17" i="14"/>
  <c r="Z17" i="14"/>
  <c r="Z18" i="14" s="1"/>
  <c r="AN16" i="14"/>
  <c r="AI16" i="14"/>
  <c r="AN15" i="14"/>
  <c r="AI15" i="14"/>
  <c r="AN14" i="14"/>
  <c r="AI14" i="14"/>
  <c r="AN13" i="14"/>
  <c r="AI13" i="14"/>
  <c r="E12" i="14"/>
  <c r="AN12" i="14"/>
  <c r="AI12" i="14"/>
  <c r="AY11" i="14"/>
  <c r="AY12" i="14" s="1"/>
  <c r="AY13" i="14" s="1"/>
  <c r="AI11" i="14"/>
  <c r="AN10" i="14"/>
  <c r="AI10" i="14"/>
  <c r="AI9" i="14"/>
  <c r="Y8" i="14"/>
  <c r="Y12" i="14" s="1"/>
  <c r="X8" i="14"/>
  <c r="X12" i="14" s="1"/>
  <c r="E23" i="11"/>
  <c r="E24" i="11" s="1"/>
  <c r="X38" i="11"/>
  <c r="X37" i="11"/>
  <c r="X36" i="11"/>
  <c r="X35" i="11"/>
  <c r="X34" i="11"/>
  <c r="X33" i="11"/>
  <c r="X32" i="11"/>
  <c r="X31" i="11"/>
  <c r="X30" i="11"/>
  <c r="X29" i="11"/>
  <c r="X28" i="11"/>
  <c r="X27" i="11"/>
  <c r="X26" i="11"/>
  <c r="X25" i="11"/>
  <c r="X24" i="11"/>
  <c r="X23" i="11"/>
  <c r="X22" i="11"/>
  <c r="X21" i="11"/>
  <c r="X20" i="11"/>
  <c r="X19" i="11"/>
  <c r="X18" i="11"/>
  <c r="E23" i="13"/>
  <c r="E20" i="13"/>
  <c r="E22" i="13" s="1"/>
  <c r="N26" i="13"/>
  <c r="AN21" i="13"/>
  <c r="AN20" i="13"/>
  <c r="AI20" i="13"/>
  <c r="AN19" i="13"/>
  <c r="AI19" i="13"/>
  <c r="AN18" i="13"/>
  <c r="AI18" i="13"/>
  <c r="AN17" i="13"/>
  <c r="AI17" i="13"/>
  <c r="Z17" i="13"/>
  <c r="Z18" i="13" s="1"/>
  <c r="AN16" i="13"/>
  <c r="AI16" i="13"/>
  <c r="AN15" i="13"/>
  <c r="AI15" i="13"/>
  <c r="AN14" i="13"/>
  <c r="AI14" i="13"/>
  <c r="AN13" i="13"/>
  <c r="AI13" i="13"/>
  <c r="AN12" i="13"/>
  <c r="AI12" i="13"/>
  <c r="E12" i="13"/>
  <c r="AY11" i="13"/>
  <c r="AY12" i="13" s="1"/>
  <c r="AY13" i="13" s="1"/>
  <c r="AI11" i="13"/>
  <c r="AN10" i="13"/>
  <c r="AI10" i="13"/>
  <c r="AI9" i="13"/>
  <c r="Y8" i="13"/>
  <c r="Y12" i="13" s="1"/>
  <c r="X8" i="13"/>
  <c r="X9" i="13" s="1"/>
  <c r="Y9" i="13" s="1"/>
  <c r="Z9" i="13" s="1"/>
  <c r="E22" i="11"/>
  <c r="J20" i="11"/>
  <c r="E20" i="11"/>
  <c r="E21" i="11"/>
  <c r="Y11" i="14" l="1"/>
  <c r="X11" i="14"/>
  <c r="X9" i="14"/>
  <c r="Y9" i="14" s="1"/>
  <c r="Z9" i="14" s="1"/>
  <c r="X10" i="14"/>
  <c r="Y10" i="14" s="1"/>
  <c r="Z10" i="14" s="1"/>
  <c r="X38" i="14"/>
  <c r="E22" i="14"/>
  <c r="X21" i="14"/>
  <c r="X31" i="14"/>
  <c r="J23" i="14"/>
  <c r="W4" i="14" s="1"/>
  <c r="J24" i="14" s="1"/>
  <c r="X32" i="14"/>
  <c r="X26" i="14"/>
  <c r="X33" i="14"/>
  <c r="X20" i="14"/>
  <c r="J21" i="14"/>
  <c r="X27" i="14"/>
  <c r="X34" i="14"/>
  <c r="X22" i="14"/>
  <c r="X28" i="14"/>
  <c r="X35" i="14"/>
  <c r="X18" i="14"/>
  <c r="Z8" i="14"/>
  <c r="X24" i="14"/>
  <c r="X36" i="14"/>
  <c r="X29" i="14"/>
  <c r="X37" i="14"/>
  <c r="X19" i="14"/>
  <c r="X23" i="14"/>
  <c r="X25" i="14"/>
  <c r="X30" i="14"/>
  <c r="J21" i="13"/>
  <c r="E21" i="13"/>
  <c r="X12" i="13"/>
  <c r="X13" i="13" s="1"/>
  <c r="O24" i="13" s="1"/>
  <c r="O26" i="13" s="1"/>
  <c r="X11" i="13"/>
  <c r="Y11" i="13"/>
  <c r="Y13" i="13" s="1"/>
  <c r="P24" i="13" s="1"/>
  <c r="X10" i="13"/>
  <c r="Y10" i="13" s="1"/>
  <c r="Z10" i="13" s="1"/>
  <c r="Z8" i="13"/>
  <c r="X13" i="14" l="1"/>
  <c r="O24" i="14" s="1"/>
  <c r="O26" i="14" s="1"/>
  <c r="Y13" i="14"/>
  <c r="P24" i="14" s="1"/>
  <c r="J22" i="14"/>
  <c r="AA18" i="14" s="1"/>
  <c r="AA19" i="14" s="1"/>
  <c r="Z12" i="14"/>
  <c r="Z11" i="14"/>
  <c r="X38" i="13"/>
  <c r="X21" i="13"/>
  <c r="X37" i="13"/>
  <c r="X29" i="13"/>
  <c r="X28" i="13"/>
  <c r="X35" i="13"/>
  <c r="X27" i="13"/>
  <c r="X19" i="13"/>
  <c r="X26" i="13"/>
  <c r="X18" i="13"/>
  <c r="X25" i="13"/>
  <c r="X32" i="13"/>
  <c r="X24" i="13"/>
  <c r="X20" i="13"/>
  <c r="X34" i="13"/>
  <c r="X33" i="13"/>
  <c r="X36" i="13"/>
  <c r="X31" i="13"/>
  <c r="X23" i="13"/>
  <c r="X30" i="13"/>
  <c r="X22" i="13"/>
  <c r="J24" i="13"/>
  <c r="J22" i="13"/>
  <c r="Z11" i="13"/>
  <c r="Z12" i="13"/>
  <c r="J23" i="13" l="1"/>
  <c r="AA18" i="13" s="1"/>
  <c r="AA19" i="13" s="1"/>
  <c r="E24" i="13"/>
  <c r="Z13" i="14"/>
  <c r="Q24" i="14" s="1"/>
  <c r="E23" i="14" s="1"/>
  <c r="E24" i="14" s="1"/>
  <c r="Z13" i="13"/>
  <c r="Q24" i="13" s="1"/>
  <c r="E25" i="13" l="1"/>
  <c r="N26" i="11"/>
  <c r="AN21" i="11"/>
  <c r="AN20" i="11"/>
  <c r="AI20" i="11"/>
  <c r="AN19" i="11"/>
  <c r="AI19" i="11"/>
  <c r="AN18" i="11"/>
  <c r="AI18" i="11"/>
  <c r="AN17" i="11"/>
  <c r="AI17" i="11"/>
  <c r="Z17" i="11"/>
  <c r="Z18" i="11" s="1"/>
  <c r="AN16" i="11"/>
  <c r="AI16" i="11"/>
  <c r="AN15" i="11"/>
  <c r="AI15" i="11"/>
  <c r="AN14" i="11"/>
  <c r="AI14" i="11"/>
  <c r="AN13" i="11"/>
  <c r="AI13" i="11"/>
  <c r="E12" i="11"/>
  <c r="AN12" i="11"/>
  <c r="AI12" i="11"/>
  <c r="AY11" i="11"/>
  <c r="AY12" i="11" s="1"/>
  <c r="AY13" i="11" s="1"/>
  <c r="AI11" i="11"/>
  <c r="AN10" i="11"/>
  <c r="AI10" i="11"/>
  <c r="AI9" i="11"/>
  <c r="Y8" i="11"/>
  <c r="Y12" i="11" s="1"/>
  <c r="X8" i="11"/>
  <c r="X12" i="11" s="1"/>
  <c r="X11" i="11" l="1"/>
  <c r="Z8" i="11"/>
  <c r="Z12" i="11" s="1"/>
  <c r="X9" i="11"/>
  <c r="Y9" i="11" s="1"/>
  <c r="Z9" i="11" s="1"/>
  <c r="X10" i="11"/>
  <c r="Y10" i="11" s="1"/>
  <c r="Z10" i="11" s="1"/>
  <c r="Y11" i="11"/>
  <c r="J21" i="11"/>
  <c r="Z17" i="8"/>
  <c r="Z18" i="8" s="1"/>
  <c r="E22" i="8"/>
  <c r="J21" i="8"/>
  <c r="Z11" i="11" l="1"/>
  <c r="Z13" i="11" s="1"/>
  <c r="Q24" i="11" s="1"/>
  <c r="X13" i="11"/>
  <c r="O24" i="11" s="1"/>
  <c r="O26" i="11" s="1"/>
  <c r="Y13" i="11"/>
  <c r="P24" i="11" s="1"/>
  <c r="J22" i="11"/>
  <c r="AY11" i="8"/>
  <c r="AY12" i="8" s="1"/>
  <c r="AY13" i="8" s="1"/>
  <c r="AN21" i="8"/>
  <c r="AN20" i="8"/>
  <c r="AN19" i="8"/>
  <c r="AN18" i="8"/>
  <c r="AN17" i="8"/>
  <c r="AN16" i="8"/>
  <c r="AN15" i="8"/>
  <c r="AN14" i="8"/>
  <c r="AN13" i="8"/>
  <c r="AN12" i="8"/>
  <c r="AN10" i="8"/>
  <c r="Y8" i="8"/>
  <c r="Y11" i="8" s="1"/>
  <c r="X8" i="8"/>
  <c r="X9" i="8" s="1"/>
  <c r="Y9" i="8" s="1"/>
  <c r="Z9" i="8" s="1"/>
  <c r="N26" i="8"/>
  <c r="AI20" i="8"/>
  <c r="AI19" i="8"/>
  <c r="AI18" i="8"/>
  <c r="AI17" i="8"/>
  <c r="AI16" i="8"/>
  <c r="AI15" i="8"/>
  <c r="AI14" i="8"/>
  <c r="AI13" i="8"/>
  <c r="AI12" i="8"/>
  <c r="AI11" i="8"/>
  <c r="AI10" i="8"/>
  <c r="AI9" i="8"/>
  <c r="AA18" i="11" l="1"/>
  <c r="AA19" i="11" s="1"/>
  <c r="Y12" i="8"/>
  <c r="Z8" i="8"/>
  <c r="Z12" i="8" s="1"/>
  <c r="X12" i="8"/>
  <c r="X11" i="8"/>
  <c r="X10" i="8"/>
  <c r="Y10" i="8" s="1"/>
  <c r="Z10" i="8" s="1"/>
  <c r="Z11" i="8" l="1"/>
  <c r="Z13" i="8" s="1"/>
  <c r="Q24" i="8" s="1"/>
  <c r="Y13" i="8"/>
  <c r="P24" i="8" s="1"/>
  <c r="X13" i="8"/>
  <c r="O24" i="8" s="1"/>
  <c r="O26" i="8" s="1"/>
  <c r="E21" i="8" l="1"/>
  <c r="J22" i="8" l="1"/>
  <c r="E23" i="8"/>
  <c r="E13" i="8"/>
  <c r="X34" i="8" s="1"/>
  <c r="B17" i="2"/>
  <c r="B18" i="2" s="1"/>
  <c r="B19" i="2" s="1"/>
  <c r="B20" i="2" s="1"/>
  <c r="B21" i="2" s="1"/>
  <c r="B22" i="2" s="1"/>
  <c r="B23" i="2" s="1"/>
  <c r="B24" i="2" s="1"/>
  <c r="B25" i="2" s="1"/>
  <c r="B26" i="2" s="1"/>
  <c r="B27" i="2" s="1"/>
  <c r="B28" i="2" s="1"/>
  <c r="B13" i="2"/>
  <c r="B14" i="2" s="1"/>
  <c r="B9" i="2"/>
  <c r="B10" i="2" s="1"/>
  <c r="B6" i="2"/>
  <c r="X20" i="8" l="1"/>
  <c r="X23" i="8"/>
  <c r="X28" i="8"/>
  <c r="X24" i="8"/>
  <c r="X32" i="8"/>
  <c r="X38" i="8"/>
  <c r="X25" i="8"/>
  <c r="X26" i="8"/>
  <c r="X27" i="8"/>
  <c r="X21" i="8"/>
  <c r="X35" i="8"/>
  <c r="X29" i="8"/>
  <c r="X36" i="8"/>
  <c r="X22" i="8"/>
  <c r="X33" i="8"/>
  <c r="X37" i="8"/>
  <c r="X30" i="8"/>
  <c r="X18" i="8"/>
  <c r="X19" i="8"/>
  <c r="X31" i="8"/>
  <c r="J24" i="8"/>
  <c r="B29" i="2"/>
  <c r="E24" i="8" l="1"/>
  <c r="E25" i="8" s="1"/>
  <c r="J23" i="8"/>
  <c r="AA18" i="8" l="1"/>
  <c r="AA19" i="8" s="1"/>
</calcChain>
</file>

<file path=xl/sharedStrings.xml><?xml version="1.0" encoding="utf-8"?>
<sst xmlns="http://schemas.openxmlformats.org/spreadsheetml/2006/main" count="392" uniqueCount="153">
  <si>
    <t>ผิวทางน้ำเปิด</t>
  </si>
  <si>
    <t>เรียบและตรง</t>
  </si>
  <si>
    <t>ไหลช้าเนื่องจากมีสระลึกเป็นช่วง ๆ</t>
  </si>
  <si>
    <t>แม่น้ําสายหลัก</t>
  </si>
  <si>
    <t>ทุ่งหญ้า</t>
  </si>
  <si>
    <t>ไม้พันธุ์เตี้ยบาง ๆ</t>
  </si>
  <si>
    <t>ไม้พันธุ์เตี้ยมาก</t>
  </si>
  <si>
    <t>ต้นไม้</t>
  </si>
  <si>
    <t>เรียบ</t>
  </si>
  <si>
    <t>มีกรวดบ้าง</t>
  </si>
  <si>
    <t>เต็มไปด้วยหญ้า</t>
  </si>
  <si>
    <t>ก้อนหิน</t>
  </si>
  <si>
    <t xml:space="preserve">แก้ว </t>
  </si>
  <si>
    <t xml:space="preserve">ทองเหลือง </t>
  </si>
  <si>
    <t xml:space="preserve">เหล็กทาสี </t>
  </si>
  <si>
    <t>เหล็กเรียบ</t>
  </si>
  <si>
    <t>เหล็กมีหมุดย้ำ</t>
  </si>
  <si>
    <t>เหล็กหล่อ</t>
  </si>
  <si>
    <t>คอนกรีตขัดผิว</t>
  </si>
  <si>
    <t>คอนกรีตผิวหยาบ</t>
  </si>
  <si>
    <t>ไม้ไสเรียบ</t>
  </si>
  <si>
    <t>ไม้ไม่ได้ไส</t>
  </si>
  <si>
    <t>ดินเหนียว</t>
  </si>
  <si>
    <t>ก่ออิฐ</t>
  </si>
  <si>
    <t>แอสฟัลต์</t>
  </si>
  <si>
    <t>โลหะลูกฟูก</t>
  </si>
  <si>
    <t>หินเรียง</t>
  </si>
  <si>
    <t>n</t>
  </si>
  <si>
    <t>m</t>
  </si>
  <si>
    <t>ตาราง สัมประสิทธิ์ความขรุขระของ Manning's n for Channels</t>
  </si>
  <si>
    <t xml:space="preserve">1) ทางน้ำเปิดธรรมชาติ </t>
  </si>
  <si>
    <t xml:space="preserve">2) ลุ่มแม่น้ำที่มีน้ำท่วมถึง </t>
  </si>
  <si>
    <t xml:space="preserve">3) ทางน้ำเปิดดินขุด </t>
  </si>
  <si>
    <t xml:space="preserve">4) ทางน้ำเปิดดาดผิว </t>
  </si>
  <si>
    <t xml:space="preserve">  ทางน้ำเปิดธรรมชาติ </t>
  </si>
  <si>
    <t xml:space="preserve">  ลุ่มแม่น้ำที่มีน้ำท่วมถึง </t>
  </si>
  <si>
    <t xml:space="preserve">  ทางน้ำเปิดดินขุด </t>
  </si>
  <si>
    <t xml:space="preserve">  ทางน้ำเปิดดาดผิว </t>
  </si>
  <si>
    <t>1) ทางน้ำเปิดธรรมชาติ เรียบและตรง</t>
  </si>
  <si>
    <t xml:space="preserve">  ทางน้ำเปิดธรรมชาติ ไหลช้าเนื่องจากมีสระลึกเป็นช่วง ๆ</t>
  </si>
  <si>
    <t xml:space="preserve">  ทางน้ำเปิดธรรมชาติ แม่น้ําสายหลัก</t>
  </si>
  <si>
    <t>2) ลุ่มแม่น้ำที่มีน้ำท่วมถึง ทุ่งหญ้า</t>
  </si>
  <si>
    <t xml:space="preserve">  ลุ่มแม่น้ำที่มีน้ำท่วมถึง ไม้พันธุ์เตี้ยบาง ๆ</t>
  </si>
  <si>
    <t xml:space="preserve">  ลุ่มแม่น้ำที่มีน้ำท่วมถึง ไม้พันธุ์เตี้ยมาก</t>
  </si>
  <si>
    <t xml:space="preserve">  ลุ่มแม่น้ำที่มีน้ำท่วมถึง ต้นไม้</t>
  </si>
  <si>
    <t>3) ทางน้ำเปิดดินขุด เรียบ</t>
  </si>
  <si>
    <t xml:space="preserve">  ทางน้ำเปิดดินขุด มีกรวดบ้าง</t>
  </si>
  <si>
    <t xml:space="preserve">  ทางน้ำเปิดดินขุด เต็มไปด้วยหญ้า</t>
  </si>
  <si>
    <t xml:space="preserve">  ทางน้ำเปิดดินขุด ก้อนหิน</t>
  </si>
  <si>
    <t xml:space="preserve">4) ทางน้ำเปิดดาดผิว แก้ว </t>
  </si>
  <si>
    <t xml:space="preserve">  ทางน้ำเปิดดาดผิว ทองเหลือง </t>
  </si>
  <si>
    <t xml:space="preserve">  ทางน้ำเปิดดาดผิว เหล็กเรียบ</t>
  </si>
  <si>
    <t xml:space="preserve">  ทางน้ำเปิดดาดผิว เหล็กทาสี </t>
  </si>
  <si>
    <t xml:space="preserve">  ทางน้ำเปิดดาดผิว เหล็กมีหมุดย้ำ</t>
  </si>
  <si>
    <t xml:space="preserve">  ทางน้ำเปิดดาดผิว เหล็กหล่อ</t>
  </si>
  <si>
    <t xml:space="preserve">  ทางน้ำเปิดดาดผิว คอนกรีตขัดผิว</t>
  </si>
  <si>
    <t xml:space="preserve">  ทางน้ำเปิดดาดผิว คอนกรีตผิวหยาบ</t>
  </si>
  <si>
    <t xml:space="preserve">  ทางน้ำเปิดดาดผิว ไม้ไสเรียบ</t>
  </si>
  <si>
    <t xml:space="preserve">  ทางน้ำเปิดดาดผิว ไม้ไม่ได้ไส</t>
  </si>
  <si>
    <t xml:space="preserve">  ทางน้ำเปิดดาดผิว ดินเหนียว</t>
  </si>
  <si>
    <t xml:space="preserve">  ทางน้ำเปิดดาดผิว ก่ออิฐ</t>
  </si>
  <si>
    <t xml:space="preserve">  ทางน้ำเปิดดาดผิว แอสฟัลต์</t>
  </si>
  <si>
    <t xml:space="preserve">  ทางน้ำเปิดดาดผิว โลหะลูกฟูก</t>
  </si>
  <si>
    <t xml:space="preserve">  ทางน้ำเปิดดาดผิว หินเรียง</t>
  </si>
  <si>
    <t>MANNING'S EQUATION for OPEN CHANNEL FLOW</t>
  </si>
  <si>
    <t>Temperrater (°C )</t>
  </si>
  <si>
    <t>Water Dynamic Viscosity</t>
  </si>
  <si>
    <t>Dynamic viscosity</t>
  </si>
  <si>
    <t>Temperature</t>
  </si>
  <si>
    <t>Kinematic viscosity</t>
  </si>
  <si>
    <t>[°C]</t>
  </si>
  <si>
    <t>[Pa s], [N s/m2]</t>
  </si>
  <si>
    <r>
      <t>[m</t>
    </r>
    <r>
      <rPr>
        <b/>
        <vertAlign val="superscript"/>
        <sz val="8.8000000000000007"/>
        <color rgb="FF000000"/>
        <rFont val="Arial"/>
        <family val="2"/>
      </rPr>
      <t>2</t>
    </r>
    <r>
      <rPr>
        <b/>
        <sz val="8.8000000000000007"/>
        <color rgb="FF000000"/>
        <rFont val="Arial"/>
        <family val="2"/>
      </rPr>
      <t>/s*10</t>
    </r>
    <r>
      <rPr>
        <b/>
        <vertAlign val="superscript"/>
        <sz val="8.8000000000000007"/>
        <color rgb="FF000000"/>
        <rFont val="Arial"/>
        <family val="2"/>
      </rPr>
      <t>-6</t>
    </r>
    <r>
      <rPr>
        <b/>
        <sz val="8.8000000000000007"/>
        <color rgb="FF000000"/>
        <rFont val="Arial"/>
        <family val="2"/>
      </rPr>
      <t>], [cSt])</t>
    </r>
  </si>
  <si>
    <t>Density    (0-100°C at 1 atm, &gt;100 °C at saturation pressure)</t>
  </si>
  <si>
    <t>Specific weight</t>
  </si>
  <si>
    <t>Thermal expansion coefficient</t>
  </si>
  <si>
    <r>
      <t>[g/cm</t>
    </r>
    <r>
      <rPr>
        <b/>
        <vertAlign val="superscript"/>
        <sz val="8.8000000000000007"/>
        <color rgb="FF000000"/>
        <rFont val="Arial"/>
        <family val="2"/>
      </rPr>
      <t>3</t>
    </r>
    <r>
      <rPr>
        <b/>
        <sz val="8.8000000000000007"/>
        <color rgb="FF000000"/>
        <rFont val="Arial"/>
        <family val="2"/>
      </rPr>
      <t>]</t>
    </r>
  </si>
  <si>
    <r>
      <t>[kg/m</t>
    </r>
    <r>
      <rPr>
        <b/>
        <vertAlign val="superscript"/>
        <sz val="8.8000000000000007"/>
        <color rgb="FF000000"/>
        <rFont val="Arial"/>
        <family val="2"/>
      </rPr>
      <t>3</t>
    </r>
    <r>
      <rPr>
        <b/>
        <sz val="8.8000000000000007"/>
        <color rgb="FF000000"/>
        <rFont val="Arial"/>
        <family val="2"/>
      </rPr>
      <t>]</t>
    </r>
  </si>
  <si>
    <r>
      <t>[sl/ft</t>
    </r>
    <r>
      <rPr>
        <b/>
        <vertAlign val="superscript"/>
        <sz val="8.8000000000000007"/>
        <color rgb="FF000000"/>
        <rFont val="Arial"/>
        <family val="2"/>
      </rPr>
      <t>3</t>
    </r>
    <r>
      <rPr>
        <b/>
        <sz val="8.8000000000000007"/>
        <color rgb="FF000000"/>
        <rFont val="Arial"/>
        <family val="2"/>
      </rPr>
      <t>]</t>
    </r>
  </si>
  <si>
    <r>
      <t>[lb</t>
    </r>
    <r>
      <rPr>
        <b/>
        <vertAlign val="subscript"/>
        <sz val="8.8000000000000007"/>
        <color rgb="FF000000"/>
        <rFont val="Arial"/>
        <family val="2"/>
      </rPr>
      <t>m</t>
    </r>
    <r>
      <rPr>
        <b/>
        <sz val="8.8000000000000007"/>
        <color rgb="FF000000"/>
        <rFont val="Arial"/>
        <family val="2"/>
      </rPr>
      <t>/ft</t>
    </r>
    <r>
      <rPr>
        <b/>
        <vertAlign val="superscript"/>
        <sz val="8.8000000000000007"/>
        <color rgb="FF000000"/>
        <rFont val="Arial"/>
        <family val="2"/>
      </rPr>
      <t>3</t>
    </r>
    <r>
      <rPr>
        <b/>
        <sz val="8.8000000000000007"/>
        <color rgb="FF000000"/>
        <rFont val="Arial"/>
        <family val="2"/>
      </rPr>
      <t>]</t>
    </r>
  </si>
  <si>
    <r>
      <t>[lb</t>
    </r>
    <r>
      <rPr>
        <b/>
        <vertAlign val="subscript"/>
        <sz val="8.8000000000000007"/>
        <color rgb="FF000000"/>
        <rFont val="Arial"/>
        <family val="2"/>
      </rPr>
      <t>m</t>
    </r>
    <r>
      <rPr>
        <b/>
        <sz val="8.8000000000000007"/>
        <color rgb="FF000000"/>
        <rFont val="Arial"/>
        <family val="2"/>
      </rPr>
      <t>/gal(US liq)]</t>
    </r>
  </si>
  <si>
    <r>
      <t>[kN/m</t>
    </r>
    <r>
      <rPr>
        <b/>
        <vertAlign val="superscript"/>
        <sz val="8.8000000000000007"/>
        <color rgb="FF000000"/>
        <rFont val="Arial"/>
        <family val="2"/>
      </rPr>
      <t>3</t>
    </r>
    <r>
      <rPr>
        <b/>
        <sz val="8.8000000000000007"/>
        <color rgb="FF000000"/>
        <rFont val="Arial"/>
        <family val="2"/>
      </rPr>
      <t>]</t>
    </r>
  </si>
  <si>
    <r>
      <t>[lb</t>
    </r>
    <r>
      <rPr>
        <b/>
        <vertAlign val="subscript"/>
        <sz val="8.8000000000000007"/>
        <color rgb="FF000000"/>
        <rFont val="Arial"/>
        <family val="2"/>
      </rPr>
      <t>f</t>
    </r>
    <r>
      <rPr>
        <b/>
        <sz val="8.8000000000000007"/>
        <color rgb="FF000000"/>
        <rFont val="Arial"/>
        <family val="2"/>
      </rPr>
      <t>/ft</t>
    </r>
    <r>
      <rPr>
        <b/>
        <vertAlign val="superscript"/>
        <sz val="8.8000000000000007"/>
        <color rgb="FF000000"/>
        <rFont val="Arial"/>
        <family val="2"/>
      </rPr>
      <t>3</t>
    </r>
    <r>
      <rPr>
        <b/>
        <sz val="8.8000000000000007"/>
        <color rgb="FF000000"/>
        <rFont val="Arial"/>
        <family val="2"/>
      </rPr>
      <t>]</t>
    </r>
  </si>
  <si>
    <r>
      <t>[</t>
    </r>
    <r>
      <rPr>
        <b/>
        <vertAlign val="subscript"/>
        <sz val="8.8000000000000007"/>
        <color rgb="FF000000"/>
        <rFont val="Arial"/>
        <family val="2"/>
      </rPr>
      <t>*</t>
    </r>
    <r>
      <rPr>
        <b/>
        <sz val="8.8000000000000007"/>
        <color rgb="FF000000"/>
        <rFont val="Arial"/>
        <family val="2"/>
      </rPr>
      <t>10</t>
    </r>
    <r>
      <rPr>
        <b/>
        <vertAlign val="superscript"/>
        <sz val="8.8000000000000007"/>
        <color rgb="FF000000"/>
        <rFont val="Arial"/>
        <family val="2"/>
      </rPr>
      <t>- 4</t>
    </r>
    <r>
      <rPr>
        <b/>
        <sz val="8.8000000000000007"/>
        <color rgb="FF000000"/>
        <rFont val="Arial"/>
        <family val="2"/>
      </rPr>
      <t> K</t>
    </r>
    <r>
      <rPr>
        <b/>
        <vertAlign val="superscript"/>
        <sz val="8.8000000000000007"/>
        <color rgb="FF000000"/>
        <rFont val="Arial"/>
        <family val="2"/>
      </rPr>
      <t>-1</t>
    </r>
    <r>
      <rPr>
        <b/>
        <sz val="8.8000000000000007"/>
        <color rgb="FF000000"/>
        <rFont val="Arial"/>
        <family val="2"/>
      </rPr>
      <t>]</t>
    </r>
  </si>
  <si>
    <t>Density</t>
  </si>
  <si>
    <t>x</t>
  </si>
  <si>
    <t>x1</t>
  </si>
  <si>
    <t>x2</t>
  </si>
  <si>
    <t>y1</t>
  </si>
  <si>
    <t>y2</t>
  </si>
  <si>
    <t>centistoke [cSt] = square millimetre/second [mm2/s]</t>
  </si>
  <si>
    <t>Desired T (°C )</t>
  </si>
  <si>
    <r>
      <t>Dynamic Viscosity (Ns/m</t>
    </r>
    <r>
      <rPr>
        <b/>
        <vertAlign val="superscript"/>
        <sz val="11"/>
        <color theme="1"/>
        <rFont val="Calibri"/>
        <family val="2"/>
        <scheme val="minor"/>
      </rPr>
      <t>2</t>
    </r>
    <r>
      <rPr>
        <b/>
        <sz val="11"/>
        <color theme="1"/>
        <rFont val="Calibri"/>
        <family val="2"/>
        <scheme val="minor"/>
      </rPr>
      <t>)</t>
    </r>
  </si>
  <si>
    <t>Using linear interpolation</t>
  </si>
  <si>
    <t>η</t>
  </si>
  <si>
    <t>Kinematic viscosity [cSt]</t>
  </si>
  <si>
    <t>D</t>
  </si>
  <si>
    <t>K</t>
  </si>
  <si>
    <r>
      <t>Density [kg/m</t>
    </r>
    <r>
      <rPr>
        <b/>
        <vertAlign val="superscript"/>
        <sz val="11"/>
        <color theme="1"/>
        <rFont val="Calibri"/>
        <family val="2"/>
        <scheme val="minor"/>
      </rPr>
      <t>2</t>
    </r>
    <r>
      <rPr>
        <b/>
        <sz val="11"/>
        <color theme="1"/>
        <rFont val="Calibri"/>
        <family val="2"/>
        <scheme val="minor"/>
      </rPr>
      <t>]</t>
    </r>
  </si>
  <si>
    <r>
      <t>ρ (kg/m</t>
    </r>
    <r>
      <rPr>
        <vertAlign val="superscript"/>
        <sz val="11"/>
        <color theme="1"/>
        <rFont val="Calibri"/>
        <family val="2"/>
        <scheme val="minor"/>
      </rPr>
      <t>2</t>
    </r>
    <r>
      <rPr>
        <sz val="11"/>
        <color theme="1"/>
        <rFont val="Calibri"/>
        <family val="2"/>
        <scheme val="minor"/>
      </rPr>
      <t>)</t>
    </r>
  </si>
  <si>
    <r>
      <t>linear interpolation (Ns/m</t>
    </r>
    <r>
      <rPr>
        <vertAlign val="superscript"/>
        <sz val="11"/>
        <color theme="1"/>
        <rFont val="Calibri"/>
        <family val="2"/>
        <scheme val="minor"/>
      </rPr>
      <t>2</t>
    </r>
    <r>
      <rPr>
        <sz val="11"/>
        <color theme="1"/>
        <rFont val="Calibri"/>
        <family val="2"/>
        <scheme val="minor"/>
      </rPr>
      <t>)</t>
    </r>
  </si>
  <si>
    <t>linear interpolation (cSt)</t>
  </si>
  <si>
    <t xml:space="preserve">  </t>
  </si>
  <si>
    <t>Project:</t>
  </si>
  <si>
    <t>Calculation:</t>
  </si>
  <si>
    <t>Sheet Number:</t>
  </si>
  <si>
    <t>Date:</t>
  </si>
  <si>
    <t>Manning Formula - Flow in Open Channel</t>
  </si>
  <si>
    <t>By:</t>
  </si>
  <si>
    <t>Approved:</t>
  </si>
  <si>
    <t>Results</t>
  </si>
  <si>
    <t xml:space="preserve"> Cross section area , A (m²)</t>
  </si>
  <si>
    <t>Wetted perimeter, P  (m)</t>
  </si>
  <si>
    <t>Hydraulic radius, Rh  (m)</t>
  </si>
  <si>
    <r>
      <t>Flow discharge , Q  (m</t>
    </r>
    <r>
      <rPr>
        <vertAlign val="superscript"/>
        <sz val="10"/>
        <rFont val="Arial"/>
        <family val="2"/>
      </rPr>
      <t>3</t>
    </r>
    <r>
      <rPr>
        <sz val="10"/>
        <rFont val="Arial"/>
        <family val="2"/>
      </rPr>
      <t xml:space="preserve"> /s)</t>
    </r>
  </si>
  <si>
    <t>Mean velocity, v (m/s)</t>
  </si>
  <si>
    <t xml:space="preserve"> Top width of channel , T  (m)</t>
  </si>
  <si>
    <r>
      <t xml:space="preserve"> Hydraulic mean depth, D</t>
    </r>
    <r>
      <rPr>
        <vertAlign val="subscript"/>
        <sz val="10"/>
        <rFont val="Arial"/>
        <family val="2"/>
      </rPr>
      <t>m</t>
    </r>
    <r>
      <rPr>
        <sz val="10"/>
        <rFont val="Arial"/>
        <family val="2"/>
      </rPr>
      <t xml:space="preserve">  (m)</t>
    </r>
  </si>
  <si>
    <t xml:space="preserve"> Heigth, y =</t>
  </si>
  <si>
    <t xml:space="preserve"> Manning's n Values</t>
  </si>
  <si>
    <t xml:space="preserve"> Mannings coeff , n =</t>
  </si>
  <si>
    <t xml:space="preserve"> Section slope, z =</t>
  </si>
  <si>
    <t xml:space="preserve"> Base width of the stream , B =</t>
  </si>
  <si>
    <t xml:space="preserve"> Reynols number, Re =</t>
  </si>
  <si>
    <t xml:space="preserve"> Type of flow in the channel</t>
  </si>
  <si>
    <t>Q,Trapezoidal</t>
  </si>
  <si>
    <t>g</t>
  </si>
  <si>
    <t>%</t>
  </si>
  <si>
    <t xml:space="preserve"> Hydraulic Gradient , S =</t>
  </si>
  <si>
    <t xml:space="preserve"> Bed slope , S =</t>
  </si>
  <si>
    <t xml:space="preserve"> Pipe diameter , D =</t>
  </si>
  <si>
    <t xml:space="preserve"> Filling heigth, y =</t>
  </si>
  <si>
    <r>
      <t xml:space="preserve"> Angle , </t>
    </r>
    <r>
      <rPr>
        <sz val="10"/>
        <rFont val="Symbol"/>
        <family val="1"/>
        <charset val="2"/>
      </rPr>
      <t>q</t>
    </r>
    <r>
      <rPr>
        <sz val="10"/>
        <rFont val="Arial"/>
        <family val="2"/>
      </rPr>
      <t xml:space="preserve"> (deg)</t>
    </r>
  </si>
  <si>
    <t xml:space="preserve"> Reynols number, Re </t>
  </si>
  <si>
    <t xml:space="preserve"> Ratio heigth to diameter, y to D </t>
  </si>
  <si>
    <t>Q,Rec</t>
  </si>
  <si>
    <t>Q,Pipe</t>
  </si>
  <si>
    <t>Q,Triangle</t>
  </si>
  <si>
    <t>Open Channel</t>
  </si>
  <si>
    <t>01</t>
  </si>
  <si>
    <t>02</t>
  </si>
  <si>
    <t>03</t>
  </si>
  <si>
    <t>04</t>
  </si>
  <si>
    <t>Date</t>
  </si>
  <si>
    <t>Version</t>
  </si>
  <si>
    <t>Action</t>
  </si>
  <si>
    <r>
      <t xml:space="preserve">Size </t>
    </r>
    <r>
      <rPr>
        <sz val="12"/>
        <color indexed="12"/>
        <rFont val="Tekton"/>
        <family val="2"/>
      </rPr>
      <t>(kB)</t>
    </r>
  </si>
  <si>
    <t>v1.00</t>
  </si>
  <si>
    <r>
      <t xml:space="preserve">Revision history  </t>
    </r>
    <r>
      <rPr>
        <b/>
        <sz val="11"/>
        <color indexed="53"/>
        <rFont val="Tekton"/>
        <charset val="222"/>
      </rPr>
      <t>Open Channels.xlsx</t>
    </r>
  </si>
  <si>
    <t>First Flow in Open Channel</t>
  </si>
  <si>
    <t>Updated by</t>
  </si>
  <si>
    <t>NeungCivil</t>
  </si>
  <si>
    <r>
      <t xml:space="preserve">Spreadsheet นี้ แรกเริ่มเดิมที มี วิศวกรแหล่งน้ำ ระดับ วย. ท่านนึงติดต่อมา
ให้ผมทำรายการคํานวณ เกี่ยวกับน้ำ โดยใช้ Spreadsheet ที่มีเนื้อหา กว้างมากๆ
ผมสนใจ รับงาน แต่ยังไม่ได้ตกลงราคากัน ผมจึงเริ่มเขียนเรื่อง Open Channel 
ก่อน ซึ่งเป็นเรื่องแรก ที่ง่ายที่สุดและเนื่องจากมีเวลาจำกัด ประกอบกับตัวผม
ต้องใช้เวลาศึกษา เรื่องอื่นๆ เยอะมากหลังจากส่งงานตัวอย่างไป
 แล้วขอยกเลิกงาน เพราะไม่มีเวลาทำ ดังนั้น ไฟล์นี้ 
ผมจะเริ่มทำเป็นไฟล์กลาง ให้เพื่อนๆ ใครที่นำไปพัฒนาต่อยอด
แนวแบบนี้ ที่ต่างประเทศทำกันเยอะ ช่วยกันต่อยอด 
แล้วก็ใส่ชื่อผู้พัฒนาคนนั้นต่อไปๆ
เช่น ปรับปรุงพัฒนา เรื่องอะไร เมื่อไหร่ ใคร?
เผื่อจะเป็นประโยชน์ ในอนาคตครับ
เริ่มที่ ผมก่อน เป็น version 1.00 เมื่อ 2 ปีก่อน (7/6/2024)
</t>
    </r>
    <r>
      <rPr>
        <b/>
        <sz val="16"/>
        <color rgb="FFC00000"/>
        <rFont val="Calibri"/>
        <family val="2"/>
        <scheme val="minor"/>
      </rPr>
      <t>Start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</si>
</sst>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7">
    <font>
      <sz val="11"/>
      <color theme="1"/>
      <name val="Calibri"/>
      <family val="2"/>
      <scheme val="minor"/>
    </font>
    <font>
      <sz val="12"/>
      <color rgb="FF000000"/>
      <name val="Arial"/>
      <family val="2"/>
    </font>
    <font>
      <sz val="10"/>
      <name val="Arial"/>
      <family val="2"/>
    </font>
    <font>
      <b/>
      <sz val="10"/>
      <name val="Arial"/>
      <family val="2"/>
    </font>
    <font>
      <vertAlign val="superscript"/>
      <sz val="10"/>
      <name val="Arial"/>
      <family val="2"/>
    </font>
    <font>
      <sz val="10"/>
      <name val="Symbol"/>
      <family val="1"/>
      <charset val="2"/>
    </font>
    <font>
      <vertAlign val="subscript"/>
      <sz val="10"/>
      <name val="Arial"/>
      <family val="2"/>
    </font>
    <font>
      <sz val="12"/>
      <color theme="1"/>
      <name val="Calibri"/>
      <family val="2"/>
      <scheme val="minor"/>
    </font>
    <font>
      <sz val="10"/>
      <color theme="1"/>
      <name val="Calibri"/>
      <family val="2"/>
      <scheme val="minor"/>
    </font>
    <font>
      <sz val="10"/>
      <color rgb="FF000000"/>
      <name val="Arial"/>
      <family val="2"/>
    </font>
    <font>
      <sz val="12"/>
      <color theme="1"/>
      <name val="Arial"/>
      <family val="2"/>
    </font>
    <font>
      <sz val="11"/>
      <color theme="1"/>
      <name val="Arial"/>
      <family val="2"/>
    </font>
    <font>
      <u/>
      <sz val="16"/>
      <color theme="1"/>
      <name val="Calibri"/>
      <family val="2"/>
      <scheme val="minor"/>
    </font>
    <font>
      <b/>
      <sz val="11"/>
      <color theme="1"/>
      <name val="Calibri"/>
      <family val="2"/>
      <scheme val="minor"/>
    </font>
    <font>
      <vertAlign val="superscript"/>
      <sz val="11"/>
      <color theme="1"/>
      <name val="Calibri"/>
      <family val="2"/>
      <scheme val="minor"/>
    </font>
    <font>
      <b/>
      <sz val="12"/>
      <name val="Arial"/>
      <family val="2"/>
    </font>
    <font>
      <sz val="8.8000000000000007"/>
      <color rgb="FF000000"/>
      <name val="Arial"/>
      <family val="2"/>
    </font>
    <font>
      <b/>
      <sz val="8.8000000000000007"/>
      <color rgb="FF000000"/>
      <name val="Arial"/>
      <family val="2"/>
    </font>
    <font>
      <b/>
      <vertAlign val="superscript"/>
      <sz val="8.8000000000000007"/>
      <color rgb="FF000000"/>
      <name val="Arial"/>
      <family val="2"/>
    </font>
    <font>
      <b/>
      <vertAlign val="subscript"/>
      <sz val="8.8000000000000007"/>
      <color rgb="FF000000"/>
      <name val="Arial"/>
      <family val="2"/>
    </font>
    <font>
      <b/>
      <vertAlign val="superscript"/>
      <sz val="11"/>
      <color theme="1"/>
      <name val="Calibri"/>
      <family val="2"/>
      <scheme val="minor"/>
    </font>
    <font>
      <b/>
      <sz val="10"/>
      <color theme="0"/>
      <name val="Arial"/>
      <family val="2"/>
    </font>
    <font>
      <sz val="14"/>
      <color theme="0"/>
      <name val="Calibri"/>
      <family val="2"/>
      <scheme val="minor"/>
    </font>
    <font>
      <sz val="12"/>
      <color rgb="FF555555"/>
      <name val="Segoe UI"/>
      <family val="2"/>
    </font>
    <font>
      <sz val="11"/>
      <color theme="1"/>
      <name val="Arial "/>
    </font>
    <font>
      <b/>
      <sz val="10"/>
      <color theme="1"/>
      <name val="Arial"/>
      <family val="2"/>
    </font>
    <font>
      <u/>
      <sz val="11"/>
      <color theme="10"/>
      <name val="Calibri"/>
      <family val="2"/>
      <scheme val="minor"/>
    </font>
    <font>
      <sz val="14"/>
      <name val="Tekton"/>
      <family val="2"/>
    </font>
    <font>
      <b/>
      <sz val="11"/>
      <name val="Tekton"/>
      <family val="2"/>
    </font>
    <font>
      <sz val="11"/>
      <name val="Tekton"/>
      <family val="2"/>
    </font>
    <font>
      <u/>
      <sz val="12"/>
      <color indexed="12"/>
      <name val="Arial"/>
      <family val="2"/>
    </font>
    <font>
      <b/>
      <sz val="11"/>
      <color indexed="53"/>
      <name val="Tekton"/>
      <charset val="222"/>
    </font>
    <font>
      <sz val="14"/>
      <color indexed="12"/>
      <name val="Marker"/>
      <family val="2"/>
    </font>
    <font>
      <sz val="14"/>
      <color indexed="12"/>
      <name val="Tekton"/>
      <family val="2"/>
    </font>
    <font>
      <sz val="12"/>
      <color indexed="12"/>
      <name val="Tekton"/>
      <family val="2"/>
    </font>
    <font>
      <sz val="16"/>
      <color theme="1"/>
      <name val="Calibri"/>
      <family val="2"/>
      <scheme val="minor"/>
    </font>
    <font>
      <b/>
      <sz val="16"/>
      <color rgb="FFC00000"/>
      <name val="Calibri"/>
      <family val="2"/>
      <scheme val="minor"/>
    </font>
  </fonts>
  <fills count="1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99CCFF"/>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CC"/>
        <bgColor indexed="64"/>
      </patternFill>
    </fill>
    <fill>
      <patternFill patternType="solid">
        <fgColor rgb="FF0033CC"/>
        <bgColor indexed="64"/>
      </patternFill>
    </fill>
    <fill>
      <patternFill patternType="solid">
        <fgColor theme="8" tint="0.39997558519241921"/>
        <bgColor indexed="64"/>
      </patternFill>
    </fill>
    <fill>
      <patternFill patternType="solid">
        <fgColor rgb="FFCCFFFF"/>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9"/>
        <bgColor indexed="64"/>
      </patternFill>
    </fill>
    <fill>
      <patternFill patternType="solid">
        <fgColor indexed="9"/>
        <bgColor indexed="9"/>
      </patternFill>
    </fill>
  </fills>
  <borders count="89">
    <border>
      <left/>
      <right/>
      <top/>
      <bottom/>
      <diagonal/>
    </border>
    <border>
      <left style="thin">
        <color indexed="64"/>
      </left>
      <right style="thin">
        <color indexed="64"/>
      </right>
      <top style="thin">
        <color indexed="64"/>
      </top>
      <bottom style="thin">
        <color indexed="64"/>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double">
        <color indexed="12"/>
      </left>
      <right/>
      <top/>
      <bottom style="double">
        <color indexed="12"/>
      </bottom>
      <diagonal/>
    </border>
    <border>
      <left/>
      <right/>
      <top/>
      <bottom style="double">
        <color indexed="12"/>
      </bottom>
      <diagonal/>
    </border>
    <border>
      <left/>
      <right style="double">
        <color indexed="12"/>
      </right>
      <top/>
      <bottom style="double">
        <color indexed="1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ck">
        <color rgb="FFC0C0C0"/>
      </left>
      <right style="medium">
        <color rgb="FFCCCCCC"/>
      </right>
      <top style="thick">
        <color rgb="FFC0C0C0"/>
      </top>
      <bottom style="medium">
        <color rgb="FFCCCCCC"/>
      </bottom>
      <diagonal/>
    </border>
    <border>
      <left style="medium">
        <color rgb="FFCCCCCC"/>
      </left>
      <right style="medium">
        <color rgb="FFCCCCCC"/>
      </right>
      <top style="thick">
        <color rgb="FFC0C0C0"/>
      </top>
      <bottom style="medium">
        <color rgb="FFCCCCCC"/>
      </bottom>
      <diagonal/>
    </border>
    <border>
      <left style="medium">
        <color rgb="FFCCCCCC"/>
      </left>
      <right style="thick">
        <color rgb="FFC0C0C0"/>
      </right>
      <top style="thick">
        <color rgb="FFC0C0C0"/>
      </top>
      <bottom style="medium">
        <color rgb="FFCCCCCC"/>
      </bottom>
      <diagonal/>
    </border>
    <border>
      <left style="thick">
        <color rgb="FFC0C0C0"/>
      </left>
      <right style="medium">
        <color rgb="FFCCCCCC"/>
      </right>
      <top style="medium">
        <color rgb="FFCCCCCC"/>
      </top>
      <bottom style="medium">
        <color rgb="FFCCCCCC"/>
      </bottom>
      <diagonal/>
    </border>
    <border>
      <left style="medium">
        <color rgb="FFCCCCCC"/>
      </left>
      <right style="thick">
        <color rgb="FFC0C0C0"/>
      </right>
      <top style="medium">
        <color rgb="FFCCCCCC"/>
      </top>
      <bottom style="medium">
        <color rgb="FFCCCCCC"/>
      </bottom>
      <diagonal/>
    </border>
    <border>
      <left style="thick">
        <color rgb="FFC0C0C0"/>
      </left>
      <right style="medium">
        <color rgb="FFCCCCCC"/>
      </right>
      <top style="medium">
        <color rgb="FFCCCCCC"/>
      </top>
      <bottom style="thick">
        <color rgb="FFC0C0C0"/>
      </bottom>
      <diagonal/>
    </border>
    <border>
      <left style="medium">
        <color rgb="FFCCCCCC"/>
      </left>
      <right style="medium">
        <color rgb="FFCCCCCC"/>
      </right>
      <top style="medium">
        <color rgb="FFCCCCCC"/>
      </top>
      <bottom style="thick">
        <color rgb="FFC0C0C0"/>
      </bottom>
      <diagonal/>
    </border>
    <border>
      <left style="medium">
        <color rgb="FFCCCCCC"/>
      </left>
      <right style="thick">
        <color rgb="FFC0C0C0"/>
      </right>
      <top style="medium">
        <color rgb="FFCCCCCC"/>
      </top>
      <bottom style="thick">
        <color rgb="FFC0C0C0"/>
      </bottom>
      <diagonal/>
    </border>
    <border>
      <left style="medium">
        <color rgb="FFCCCCCC"/>
      </left>
      <right/>
      <top style="thick">
        <color rgb="FFC0C0C0"/>
      </top>
      <bottom style="medium">
        <color rgb="FFCCCCCC"/>
      </bottom>
      <diagonal/>
    </border>
    <border>
      <left/>
      <right style="medium">
        <color rgb="FFCCCCCC"/>
      </right>
      <top style="thick">
        <color rgb="FFC0C0C0"/>
      </top>
      <bottom style="medium">
        <color rgb="FFCCCCCC"/>
      </bottom>
      <diagonal/>
    </border>
    <border>
      <left style="thick">
        <color rgb="FFC0C0C0"/>
      </left>
      <right style="medium">
        <color rgb="FFCCCCCC"/>
      </right>
      <top style="thick">
        <color rgb="FFC0C0C0"/>
      </top>
      <bottom style="thick">
        <color rgb="FFC0C0C0"/>
      </bottom>
      <diagonal/>
    </border>
    <border>
      <left style="medium">
        <color rgb="FFCCCCCC"/>
      </left>
      <right style="medium">
        <color rgb="FFCCCCCC"/>
      </right>
      <top style="thick">
        <color rgb="FFC0C0C0"/>
      </top>
      <bottom style="thick">
        <color rgb="FFC0C0C0"/>
      </bottom>
      <diagonal/>
    </border>
    <border>
      <left style="medium">
        <color rgb="FFCCCCCC"/>
      </left>
      <right style="thick">
        <color rgb="FFC0C0C0"/>
      </right>
      <top style="thick">
        <color rgb="FFC0C0C0"/>
      </top>
      <bottom style="thick">
        <color rgb="FFC0C0C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double">
        <color indexed="12"/>
      </bottom>
      <diagonal/>
    </border>
    <border>
      <left style="thin">
        <color auto="1"/>
      </left>
      <right/>
      <top style="double">
        <color indexed="12"/>
      </top>
      <bottom style="dashed">
        <color auto="1"/>
      </bottom>
      <diagonal/>
    </border>
    <border>
      <left/>
      <right style="double">
        <color indexed="12"/>
      </right>
      <top style="double">
        <color indexed="12"/>
      </top>
      <bottom style="dashed">
        <color auto="1"/>
      </bottom>
      <diagonal/>
    </border>
    <border>
      <left style="thin">
        <color auto="1"/>
      </left>
      <right/>
      <top style="thin">
        <color indexed="64"/>
      </top>
      <bottom style="dashed">
        <color auto="1"/>
      </bottom>
      <diagonal/>
    </border>
    <border>
      <left/>
      <right style="double">
        <color indexed="12"/>
      </right>
      <top style="thin">
        <color indexed="64"/>
      </top>
      <bottom style="dashed">
        <color auto="1"/>
      </bottom>
      <diagonal/>
    </border>
    <border>
      <left style="double">
        <color indexed="12"/>
      </left>
      <right/>
      <top style="double">
        <color indexed="12"/>
      </top>
      <bottom style="dashed">
        <color auto="1"/>
      </bottom>
      <diagonal/>
    </border>
    <border>
      <left/>
      <right style="thin">
        <color auto="1"/>
      </right>
      <top style="double">
        <color indexed="12"/>
      </top>
      <bottom style="dashed">
        <color auto="1"/>
      </bottom>
      <diagonal/>
    </border>
    <border>
      <left/>
      <right/>
      <top style="double">
        <color indexed="12"/>
      </top>
      <bottom style="dashed">
        <color auto="1"/>
      </bottom>
      <diagonal/>
    </border>
    <border>
      <left style="double">
        <color indexed="12"/>
      </left>
      <right/>
      <top style="dashed">
        <color auto="1"/>
      </top>
      <bottom style="dashed">
        <color auto="1"/>
      </bottom>
      <diagonal/>
    </border>
    <border>
      <left/>
      <right style="thin">
        <color auto="1"/>
      </right>
      <top style="dashed">
        <color auto="1"/>
      </top>
      <bottom style="dashed">
        <color auto="1"/>
      </bottom>
      <diagonal/>
    </border>
    <border>
      <left/>
      <right/>
      <top style="dashed">
        <color auto="1"/>
      </top>
      <bottom style="dashed">
        <color auto="1"/>
      </bottom>
      <diagonal/>
    </border>
    <border>
      <left style="medium">
        <color indexed="12"/>
      </left>
      <right style="thin">
        <color indexed="64"/>
      </right>
      <top style="medium">
        <color indexed="12"/>
      </top>
      <bottom style="thin">
        <color indexed="64"/>
      </bottom>
      <diagonal/>
    </border>
    <border>
      <left/>
      <right style="thin">
        <color indexed="64"/>
      </right>
      <top style="medium">
        <color indexed="12"/>
      </top>
      <bottom style="thin">
        <color indexed="64"/>
      </bottom>
      <diagonal/>
    </border>
    <border>
      <left style="thin">
        <color indexed="64"/>
      </left>
      <right style="thin">
        <color indexed="64"/>
      </right>
      <top style="medium">
        <color indexed="12"/>
      </top>
      <bottom style="thin">
        <color indexed="64"/>
      </bottom>
      <diagonal/>
    </border>
    <border>
      <left style="thin">
        <color indexed="64"/>
      </left>
      <right style="medium">
        <color indexed="12"/>
      </right>
      <top style="medium">
        <color indexed="12"/>
      </top>
      <bottom style="thin">
        <color indexed="64"/>
      </bottom>
      <diagonal/>
    </border>
    <border>
      <left style="thin">
        <color indexed="64"/>
      </left>
      <right style="medium">
        <color indexed="12"/>
      </right>
      <top style="thin">
        <color indexed="64"/>
      </top>
      <bottom style="thin">
        <color indexed="64"/>
      </bottom>
      <diagonal/>
    </border>
    <border>
      <left style="medium">
        <color indexed="12"/>
      </left>
      <right/>
      <top style="thin">
        <color indexed="64"/>
      </top>
      <bottom style="thin">
        <color indexed="64"/>
      </bottom>
      <diagonal/>
    </border>
    <border>
      <left/>
      <right style="medium">
        <color indexed="12"/>
      </right>
      <top style="thin">
        <color indexed="64"/>
      </top>
      <bottom style="thin">
        <color indexed="64"/>
      </bottom>
      <diagonal/>
    </border>
    <border>
      <left/>
      <right style="thin">
        <color indexed="64"/>
      </right>
      <top style="thin">
        <color indexed="64"/>
      </top>
      <bottom style="medium">
        <color indexed="12"/>
      </bottom>
      <diagonal/>
    </border>
    <border>
      <left style="thin">
        <color indexed="64"/>
      </left>
      <right style="thin">
        <color indexed="64"/>
      </right>
      <top style="thin">
        <color indexed="64"/>
      </top>
      <bottom style="medium">
        <color indexed="12"/>
      </bottom>
      <diagonal/>
    </border>
    <border>
      <left style="thin">
        <color indexed="64"/>
      </left>
      <right style="medium">
        <color indexed="12"/>
      </right>
      <top style="thin">
        <color indexed="64"/>
      </top>
      <bottom style="medium">
        <color indexed="12"/>
      </bottom>
      <diagonal/>
    </border>
    <border>
      <left style="medium">
        <color rgb="FF0033CC"/>
      </left>
      <right/>
      <top style="medium">
        <color rgb="FF0033CC"/>
      </top>
      <bottom/>
      <diagonal/>
    </border>
    <border>
      <left/>
      <right/>
      <top style="medium">
        <color rgb="FF0033CC"/>
      </top>
      <bottom/>
      <diagonal/>
    </border>
    <border>
      <left/>
      <right style="medium">
        <color rgb="FF0033CC"/>
      </right>
      <top style="medium">
        <color rgb="FF0033CC"/>
      </top>
      <bottom/>
      <diagonal/>
    </border>
    <border>
      <left style="medium">
        <color rgb="FF0033CC"/>
      </left>
      <right/>
      <top/>
      <bottom/>
      <diagonal/>
    </border>
    <border>
      <left/>
      <right style="medium">
        <color rgb="FF0033CC"/>
      </right>
      <top/>
      <bottom/>
      <diagonal/>
    </border>
    <border>
      <left style="medium">
        <color rgb="FF0033CC"/>
      </left>
      <right/>
      <top/>
      <bottom style="medium">
        <color rgb="FF0033CC"/>
      </bottom>
      <diagonal/>
    </border>
    <border>
      <left/>
      <right/>
      <top/>
      <bottom style="medium">
        <color rgb="FF0033CC"/>
      </bottom>
      <diagonal/>
    </border>
    <border>
      <left/>
      <right style="medium">
        <color rgb="FF0033CC"/>
      </right>
      <top/>
      <bottom style="medium">
        <color rgb="FF0033CC"/>
      </bottom>
      <diagonal/>
    </border>
    <border>
      <left style="thin">
        <color indexed="64"/>
      </left>
      <right/>
      <top style="thin">
        <color indexed="64"/>
      </top>
      <bottom style="thin">
        <color indexed="64"/>
      </bottom>
      <diagonal/>
    </border>
    <border>
      <left/>
      <right/>
      <top style="thin">
        <color indexed="64"/>
      </top>
      <bottom style="dashed">
        <color auto="1"/>
      </bottom>
      <diagonal/>
    </border>
    <border>
      <left style="thin">
        <color indexed="64"/>
      </left>
      <right/>
      <top style="dashed">
        <color auto="1"/>
      </top>
      <bottom style="thin">
        <color indexed="64"/>
      </bottom>
      <diagonal/>
    </border>
    <border>
      <left/>
      <right/>
      <top style="dashed">
        <color auto="1"/>
      </top>
      <bottom style="thin">
        <color indexed="64"/>
      </bottom>
      <diagonal/>
    </border>
    <border>
      <left style="thin">
        <color indexed="64"/>
      </left>
      <right/>
      <top style="dashed">
        <color auto="1"/>
      </top>
      <bottom style="double">
        <color indexed="12"/>
      </bottom>
      <diagonal/>
    </border>
    <border>
      <left/>
      <right/>
      <top style="dashed">
        <color auto="1"/>
      </top>
      <bottom style="double">
        <color indexed="12"/>
      </bottom>
      <diagonal/>
    </border>
    <border>
      <left style="medium">
        <color indexed="12"/>
      </left>
      <right/>
      <top style="thin">
        <color indexed="64"/>
      </top>
      <bottom style="medium">
        <color indexed="12"/>
      </bottom>
      <diagonal/>
    </border>
    <border>
      <left/>
      <right style="thin">
        <color indexed="64"/>
      </right>
      <top style="dashed">
        <color auto="1"/>
      </top>
      <bottom style="double">
        <color indexed="12"/>
      </bottom>
      <diagonal/>
    </border>
    <border>
      <left/>
      <right style="double">
        <color indexed="12"/>
      </right>
      <top style="dashed">
        <color auto="1"/>
      </top>
      <bottom style="thin">
        <color auto="1"/>
      </bottom>
      <diagonal/>
    </border>
    <border>
      <left/>
      <right style="double">
        <color indexed="12"/>
      </right>
      <top style="dashed">
        <color auto="1"/>
      </top>
      <bottom style="double">
        <color indexed="12"/>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top style="thin">
        <color indexed="64"/>
      </top>
      <bottom style="medium">
        <color rgb="FF0033CC"/>
      </bottom>
      <diagonal/>
    </border>
    <border>
      <left/>
      <right style="thin">
        <color indexed="64"/>
      </right>
      <top style="thin">
        <color indexed="64"/>
      </top>
      <bottom style="medium">
        <color rgb="FF0033CC"/>
      </bottom>
      <diagonal/>
    </border>
  </borders>
  <cellStyleXfs count="3">
    <xf numFmtId="0" fontId="0" fillId="0" borderId="0"/>
    <xf numFmtId="0" fontId="26" fillId="0" borderId="0" applyNumberFormat="0" applyFill="0" applyBorder="0" applyAlignment="0" applyProtection="0"/>
    <xf numFmtId="0" fontId="2" fillId="0" borderId="0"/>
  </cellStyleXfs>
  <cellXfs count="175">
    <xf numFmtId="0" fontId="0" fillId="0" borderId="0" xfId="0"/>
    <xf numFmtId="0" fontId="0" fillId="3" borderId="0" xfId="0" applyFill="1"/>
    <xf numFmtId="0" fontId="0" fillId="4" borderId="0" xfId="0" applyFill="1"/>
    <xf numFmtId="0" fontId="7" fillId="4" borderId="0" xfId="0" applyFont="1" applyFill="1"/>
    <xf numFmtId="0" fontId="8" fillId="4" borderId="0" xfId="0" applyFont="1" applyFill="1"/>
    <xf numFmtId="0" fontId="10" fillId="4" borderId="0" xfId="0" applyFont="1" applyFill="1"/>
    <xf numFmtId="0" fontId="11" fillId="4" borderId="10" xfId="0" applyFont="1" applyFill="1" applyBorder="1"/>
    <xf numFmtId="0" fontId="11" fillId="4" borderId="11" xfId="0" applyFont="1" applyFill="1" applyBorder="1"/>
    <xf numFmtId="0" fontId="11" fillId="4" borderId="12" xfId="0" applyFont="1" applyFill="1" applyBorder="1"/>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2" fillId="4" borderId="0" xfId="0" applyFont="1" applyFill="1"/>
    <xf numFmtId="164" fontId="9" fillId="4" borderId="1" xfId="0" applyNumberFormat="1" applyFont="1" applyFill="1" applyBorder="1" applyAlignment="1">
      <alignment horizontal="center" vertical="center" wrapText="1"/>
    </xf>
    <xf numFmtId="164" fontId="0" fillId="4" borderId="0" xfId="0" applyNumberFormat="1" applyFill="1"/>
    <xf numFmtId="164" fontId="9" fillId="4" borderId="0" xfId="0" applyNumberFormat="1" applyFont="1" applyFill="1" applyAlignment="1">
      <alignment horizontal="center" vertical="center" wrapText="1"/>
    </xf>
    <xf numFmtId="0" fontId="0" fillId="3" borderId="0" xfId="0" applyFill="1" applyAlignment="1">
      <alignment horizont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7" borderId="18" xfId="0" applyFont="1" applyFill="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6" fillId="7" borderId="20"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16" fillId="7" borderId="22" xfId="0" applyFont="1" applyFill="1" applyBorder="1" applyAlignment="1">
      <alignment horizontal="center" vertical="center" wrapText="1"/>
    </xf>
    <xf numFmtId="0" fontId="17" fillId="0" borderId="23" xfId="0" applyFont="1" applyBorder="1" applyAlignment="1">
      <alignment vertical="center" wrapText="1"/>
    </xf>
    <xf numFmtId="0" fontId="17" fillId="7" borderId="14"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0" fillId="3" borderId="30" xfId="0" applyFill="1" applyBorder="1" applyAlignment="1">
      <alignment horizontal="center"/>
    </xf>
    <xf numFmtId="0" fontId="0" fillId="3" borderId="31" xfId="0" applyFill="1" applyBorder="1" applyAlignment="1">
      <alignment horizontal="center"/>
    </xf>
    <xf numFmtId="0" fontId="0" fillId="3" borderId="32" xfId="0" applyFill="1" applyBorder="1" applyAlignment="1">
      <alignment horizontal="center"/>
    </xf>
    <xf numFmtId="0" fontId="0" fillId="3" borderId="33" xfId="0" applyFill="1" applyBorder="1" applyAlignment="1">
      <alignment horizontal="center"/>
    </xf>
    <xf numFmtId="0" fontId="0" fillId="3" borderId="34" xfId="0" applyFill="1" applyBorder="1" applyAlignment="1">
      <alignment horizontal="center"/>
    </xf>
    <xf numFmtId="0" fontId="0" fillId="3" borderId="35" xfId="0" applyFill="1" applyBorder="1" applyAlignment="1">
      <alignment horizontal="center"/>
    </xf>
    <xf numFmtId="0" fontId="0" fillId="3" borderId="28" xfId="0" applyFill="1" applyBorder="1" applyAlignment="1">
      <alignment horizontal="center"/>
    </xf>
    <xf numFmtId="0" fontId="0" fillId="9" borderId="28" xfId="0" applyFill="1" applyBorder="1" applyAlignment="1">
      <alignment horizontal="center"/>
    </xf>
    <xf numFmtId="0" fontId="13" fillId="3" borderId="28" xfId="0" applyFont="1" applyFill="1" applyBorder="1" applyAlignment="1">
      <alignment horizontal="center"/>
    </xf>
    <xf numFmtId="0" fontId="13" fillId="3" borderId="29" xfId="0" applyFont="1" applyFill="1" applyBorder="1" applyAlignment="1">
      <alignment horizontal="center" vertical="center"/>
    </xf>
    <xf numFmtId="0" fontId="13" fillId="3" borderId="28" xfId="0" applyFont="1" applyFill="1" applyBorder="1" applyAlignment="1">
      <alignment horizontal="center" vertical="center"/>
    </xf>
    <xf numFmtId="0" fontId="24" fillId="3" borderId="0" xfId="0" applyFont="1" applyFill="1"/>
    <xf numFmtId="0" fontId="24" fillId="3" borderId="0" xfId="0" applyFont="1" applyFill="1" applyAlignment="1">
      <alignment horizontal="center"/>
    </xf>
    <xf numFmtId="0" fontId="0" fillId="3" borderId="29" xfId="0" applyFill="1" applyBorder="1" applyAlignment="1">
      <alignment horizontal="center"/>
    </xf>
    <xf numFmtId="3" fontId="24" fillId="3" borderId="0" xfId="0" applyNumberFormat="1" applyFont="1" applyFill="1"/>
    <xf numFmtId="0" fontId="2" fillId="10" borderId="2" xfId="0" applyFont="1" applyFill="1" applyBorder="1"/>
    <xf numFmtId="0" fontId="3" fillId="10" borderId="3" xfId="0" applyFont="1" applyFill="1" applyBorder="1"/>
    <xf numFmtId="0" fontId="2" fillId="10" borderId="3" xfId="0" applyFont="1" applyFill="1" applyBorder="1"/>
    <xf numFmtId="0" fontId="2" fillId="10" borderId="4" xfId="0" applyFont="1" applyFill="1" applyBorder="1"/>
    <xf numFmtId="0" fontId="2" fillId="10" borderId="5" xfId="0" applyFont="1" applyFill="1" applyBorder="1"/>
    <xf numFmtId="0" fontId="3" fillId="10" borderId="0" xfId="0" applyFont="1" applyFill="1"/>
    <xf numFmtId="0" fontId="2" fillId="10" borderId="0" xfId="0" applyFont="1" applyFill="1"/>
    <xf numFmtId="0" fontId="2" fillId="10" borderId="6" xfId="0" applyFont="1" applyFill="1" applyBorder="1"/>
    <xf numFmtId="0" fontId="2" fillId="10" borderId="50" xfId="0" applyFont="1" applyFill="1" applyBorder="1"/>
    <xf numFmtId="0" fontId="2" fillId="10" borderId="51" xfId="0" applyFont="1" applyFill="1" applyBorder="1"/>
    <xf numFmtId="0" fontId="2" fillId="10" borderId="53" xfId="0" applyFont="1" applyFill="1" applyBorder="1" applyAlignment="1">
      <alignment horizontal="left"/>
    </xf>
    <xf numFmtId="0" fontId="2" fillId="10" borderId="0" xfId="0" applyFont="1" applyFill="1" applyAlignment="1">
      <alignment horizontal="left"/>
    </xf>
    <xf numFmtId="0" fontId="2" fillId="10" borderId="55" xfId="0" applyFont="1" applyFill="1" applyBorder="1"/>
    <xf numFmtId="0" fontId="2" fillId="10" borderId="38" xfId="0" applyFont="1" applyFill="1" applyBorder="1"/>
    <xf numFmtId="164" fontId="2" fillId="10" borderId="1" xfId="0" applyNumberFormat="1" applyFont="1" applyFill="1" applyBorder="1" applyAlignment="1">
      <alignment horizontal="center"/>
    </xf>
    <xf numFmtId="0" fontId="2" fillId="10" borderId="54" xfId="0" applyFont="1" applyFill="1" applyBorder="1" applyAlignment="1">
      <alignment horizontal="left"/>
    </xf>
    <xf numFmtId="0" fontId="0" fillId="10" borderId="0" xfId="0" applyFill="1"/>
    <xf numFmtId="0" fontId="2" fillId="10" borderId="13" xfId="0" applyFont="1" applyFill="1" applyBorder="1"/>
    <xf numFmtId="164" fontId="2" fillId="10" borderId="13" xfId="0" applyNumberFormat="1" applyFont="1" applyFill="1" applyBorder="1"/>
    <xf numFmtId="0" fontId="2" fillId="10" borderId="56" xfId="0" applyFont="1" applyFill="1" applyBorder="1" applyAlignment="1">
      <alignment horizontal="left"/>
    </xf>
    <xf numFmtId="0" fontId="25" fillId="10" borderId="44" xfId="0" applyFont="1" applyFill="1" applyBorder="1"/>
    <xf numFmtId="0" fontId="25" fillId="10" borderId="45" xfId="0" applyFont="1" applyFill="1" applyBorder="1"/>
    <xf numFmtId="0" fontId="0" fillId="10" borderId="46" xfId="0" applyFill="1" applyBorder="1"/>
    <xf numFmtId="0" fontId="25" fillId="10" borderId="40" xfId="0" applyFont="1" applyFill="1" applyBorder="1"/>
    <xf numFmtId="0" fontId="0" fillId="10" borderId="41" xfId="0" applyFill="1" applyBorder="1"/>
    <xf numFmtId="0" fontId="25" fillId="10" borderId="47" xfId="0" applyFont="1" applyFill="1" applyBorder="1"/>
    <xf numFmtId="0" fontId="25" fillId="10" borderId="48" xfId="0" applyFont="1" applyFill="1" applyBorder="1"/>
    <xf numFmtId="0" fontId="25" fillId="10" borderId="42" xfId="0" applyFont="1" applyFill="1" applyBorder="1"/>
    <xf numFmtId="0" fontId="0" fillId="10" borderId="69" xfId="0" applyFill="1" applyBorder="1"/>
    <xf numFmtId="0" fontId="0" fillId="10" borderId="43" xfId="0" applyFill="1" applyBorder="1"/>
    <xf numFmtId="0" fontId="25" fillId="10" borderId="7" xfId="0" applyFont="1" applyFill="1" applyBorder="1"/>
    <xf numFmtId="0" fontId="25" fillId="10" borderId="39" xfId="0" applyFont="1" applyFill="1" applyBorder="1"/>
    <xf numFmtId="0" fontId="25" fillId="10" borderId="8" xfId="0" applyFont="1" applyFill="1" applyBorder="1"/>
    <xf numFmtId="0" fontId="15" fillId="10" borderId="0" xfId="0" applyFont="1" applyFill="1"/>
    <xf numFmtId="0" fontId="2" fillId="10" borderId="60" xfId="0" applyFont="1" applyFill="1" applyBorder="1" applyAlignment="1">
      <alignment vertical="center"/>
    </xf>
    <xf numFmtId="0" fontId="15" fillId="10" borderId="61" xfId="0" applyFont="1" applyFill="1" applyBorder="1"/>
    <xf numFmtId="164" fontId="2" fillId="10" borderId="61" xfId="0" applyNumberFormat="1" applyFont="1" applyFill="1" applyBorder="1" applyAlignment="1">
      <alignment horizontal="center"/>
    </xf>
    <xf numFmtId="0" fontId="2" fillId="10" borderId="61" xfId="0" applyFont="1" applyFill="1" applyBorder="1"/>
    <xf numFmtId="0" fontId="2" fillId="10" borderId="62" xfId="0" applyFont="1" applyFill="1" applyBorder="1"/>
    <xf numFmtId="0" fontId="2" fillId="10" borderId="63" xfId="0" applyFont="1" applyFill="1" applyBorder="1" applyAlignment="1">
      <alignment vertical="center"/>
    </xf>
    <xf numFmtId="164" fontId="2" fillId="10" borderId="0" xfId="0" applyNumberFormat="1" applyFont="1" applyFill="1" applyAlignment="1">
      <alignment horizontal="center"/>
    </xf>
    <xf numFmtId="0" fontId="2" fillId="10" borderId="0" xfId="0" applyFont="1" applyFill="1" applyAlignment="1">
      <alignment vertical="center"/>
    </xf>
    <xf numFmtId="164" fontId="2" fillId="10" borderId="64" xfId="0" applyNumberFormat="1" applyFont="1" applyFill="1" applyBorder="1" applyAlignment="1">
      <alignment horizontal="center"/>
    </xf>
    <xf numFmtId="3" fontId="2" fillId="10" borderId="0" xfId="0" applyNumberFormat="1" applyFont="1" applyFill="1" applyAlignment="1">
      <alignment horizontal="center"/>
    </xf>
    <xf numFmtId="0" fontId="2" fillId="10" borderId="65" xfId="0" applyFont="1" applyFill="1" applyBorder="1" applyAlignment="1">
      <alignment vertical="center"/>
    </xf>
    <xf numFmtId="0" fontId="2" fillId="10" borderId="66" xfId="0" applyFont="1" applyFill="1" applyBorder="1"/>
    <xf numFmtId="0" fontId="2" fillId="10" borderId="0" xfId="0" applyFont="1" applyFill="1" applyAlignment="1">
      <alignment horizontal="center"/>
    </xf>
    <xf numFmtId="0" fontId="2" fillId="10" borderId="7" xfId="0" applyFont="1" applyFill="1" applyBorder="1"/>
    <xf numFmtId="0" fontId="2" fillId="10" borderId="8" xfId="0" applyFont="1" applyFill="1" applyBorder="1"/>
    <xf numFmtId="0" fontId="2" fillId="10" borderId="9" xfId="0" applyFont="1" applyFill="1" applyBorder="1"/>
    <xf numFmtId="0" fontId="2" fillId="10" borderId="74" xfId="0" applyFont="1" applyFill="1" applyBorder="1"/>
    <xf numFmtId="0" fontId="2" fillId="10" borderId="57" xfId="0" applyFont="1" applyFill="1" applyBorder="1"/>
    <xf numFmtId="0" fontId="2" fillId="10" borderId="59" xfId="0" applyFont="1" applyFill="1" applyBorder="1" applyAlignment="1">
      <alignment horizontal="left"/>
    </xf>
    <xf numFmtId="0" fontId="2" fillId="10" borderId="61" xfId="0" applyFont="1" applyFill="1" applyBorder="1" applyAlignment="1">
      <alignment vertical="center"/>
    </xf>
    <xf numFmtId="164" fontId="2" fillId="10" borderId="62" xfId="0" applyNumberFormat="1" applyFont="1" applyFill="1" applyBorder="1" applyAlignment="1">
      <alignment horizontal="center"/>
    </xf>
    <xf numFmtId="0" fontId="2" fillId="13" borderId="0" xfId="2" applyFill="1"/>
    <xf numFmtId="0" fontId="27" fillId="13" borderId="0" xfId="2" applyFont="1" applyFill="1" applyAlignment="1">
      <alignment horizontal="right"/>
    </xf>
    <xf numFmtId="0" fontId="28" fillId="13" borderId="0" xfId="2" applyFont="1" applyFill="1"/>
    <xf numFmtId="0" fontId="29" fillId="13" borderId="0" xfId="2" applyFont="1" applyFill="1"/>
    <xf numFmtId="0" fontId="30" fillId="13" borderId="0" xfId="1" applyFont="1" applyFill="1" applyAlignment="1" applyProtection="1">
      <alignment horizontal="right"/>
    </xf>
    <xf numFmtId="0" fontId="28" fillId="13" borderId="0" xfId="2" applyFont="1" applyFill="1" applyAlignment="1">
      <alignment horizontal="left"/>
    </xf>
    <xf numFmtId="0" fontId="32" fillId="0" borderId="78" xfId="2" applyFont="1" applyBorder="1" applyAlignment="1">
      <alignment horizontal="center" vertical="center"/>
    </xf>
    <xf numFmtId="0" fontId="32" fillId="14" borderId="79" xfId="2" applyFont="1" applyFill="1" applyBorder="1" applyAlignment="1">
      <alignment horizontal="center" vertical="center"/>
    </xf>
    <xf numFmtId="0" fontId="32" fillId="0" borderId="79" xfId="2" applyFont="1" applyBorder="1" applyAlignment="1">
      <alignment horizontal="center" vertical="center"/>
    </xf>
    <xf numFmtId="0" fontId="33" fillId="0" borderId="80" xfId="2" applyFont="1" applyBorder="1" applyAlignment="1">
      <alignment horizontal="center" vertical="center"/>
    </xf>
    <xf numFmtId="15" fontId="29" fillId="0" borderId="81" xfId="2" applyNumberFormat="1" applyFont="1" applyBorder="1" applyAlignment="1">
      <alignment horizontal="center" vertical="center"/>
    </xf>
    <xf numFmtId="165" fontId="29" fillId="14" borderId="82" xfId="2" applyNumberFormat="1" applyFont="1" applyFill="1" applyBorder="1" applyAlignment="1">
      <alignment horizontal="center" vertical="center"/>
    </xf>
    <xf numFmtId="0" fontId="29" fillId="0" borderId="82" xfId="2" applyFont="1" applyBorder="1" applyAlignment="1">
      <alignment horizontal="center" vertical="center" wrapText="1"/>
    </xf>
    <xf numFmtId="0" fontId="29" fillId="0" borderId="83" xfId="2" applyFont="1" applyBorder="1" applyAlignment="1">
      <alignment horizontal="center" vertical="center"/>
    </xf>
    <xf numFmtId="15" fontId="29" fillId="0" borderId="81" xfId="2" applyNumberFormat="1" applyFont="1" applyBorder="1" applyAlignment="1">
      <alignment horizontal="left" vertical="top"/>
    </xf>
    <xf numFmtId="165" fontId="29" fillId="14" borderId="82" xfId="2" applyNumberFormat="1" applyFont="1" applyFill="1" applyBorder="1" applyAlignment="1">
      <alignment horizontal="center" vertical="top"/>
    </xf>
    <xf numFmtId="165" fontId="29" fillId="14" borderId="85" xfId="2" applyNumberFormat="1" applyFont="1" applyFill="1" applyBorder="1" applyAlignment="1">
      <alignment horizontal="center" vertical="center"/>
    </xf>
    <xf numFmtId="0" fontId="29" fillId="0" borderId="86" xfId="2" applyFont="1" applyBorder="1" applyAlignment="1">
      <alignment horizontal="center" vertical="center"/>
    </xf>
    <xf numFmtId="0" fontId="29" fillId="0" borderId="82" xfId="2" applyFont="1" applyBorder="1" applyAlignment="1">
      <alignment vertical="center"/>
    </xf>
    <xf numFmtId="15" fontId="29" fillId="0" borderId="84" xfId="2" applyNumberFormat="1" applyFont="1" applyBorder="1" applyAlignment="1">
      <alignment horizontal="center" vertical="center"/>
    </xf>
    <xf numFmtId="0" fontId="29" fillId="0" borderId="85" xfId="2" applyFont="1" applyBorder="1" applyAlignment="1">
      <alignment horizontal="center" vertical="center"/>
    </xf>
    <xf numFmtId="0" fontId="0" fillId="12" borderId="46" xfId="0" applyFill="1" applyBorder="1" applyProtection="1">
      <protection locked="0"/>
    </xf>
    <xf numFmtId="0" fontId="0" fillId="12" borderId="45" xfId="0" applyFill="1" applyBorder="1" applyProtection="1">
      <protection locked="0"/>
    </xf>
    <xf numFmtId="0" fontId="0" fillId="12" borderId="49" xfId="0" applyFill="1" applyBorder="1" applyProtection="1">
      <protection locked="0"/>
    </xf>
    <xf numFmtId="0" fontId="0" fillId="12" borderId="48" xfId="0" applyFill="1" applyBorder="1" applyProtection="1">
      <protection locked="0"/>
    </xf>
    <xf numFmtId="0" fontId="0" fillId="12" borderId="8" xfId="0" quotePrefix="1" applyFill="1" applyBorder="1" applyProtection="1">
      <protection locked="0"/>
    </xf>
    <xf numFmtId="0" fontId="0" fillId="12" borderId="8" xfId="0" applyFill="1" applyBorder="1" applyProtection="1">
      <protection locked="0"/>
    </xf>
    <xf numFmtId="0" fontId="2" fillId="2" borderId="58" xfId="0" applyFont="1" applyFill="1" applyBorder="1" applyAlignment="1" applyProtection="1">
      <alignment horizontal="center"/>
      <protection locked="0"/>
    </xf>
    <xf numFmtId="164" fontId="2" fillId="11" borderId="1" xfId="0" applyNumberFormat="1" applyFont="1" applyFill="1" applyBorder="1" applyAlignment="1" applyProtection="1">
      <alignment horizontal="center"/>
      <protection locked="0"/>
    </xf>
    <xf numFmtId="164" fontId="2" fillId="11" borderId="52" xfId="0" applyNumberFormat="1"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164" fontId="2" fillId="2" borderId="52" xfId="0" applyNumberFormat="1" applyFont="1" applyFill="1" applyBorder="1" applyAlignment="1" applyProtection="1">
      <alignment horizontal="center"/>
      <protection locked="0"/>
    </xf>
    <xf numFmtId="164" fontId="2" fillId="2" borderId="1" xfId="0" applyNumberFormat="1" applyFont="1" applyFill="1" applyBorder="1" applyAlignment="1" applyProtection="1">
      <alignment horizontal="center"/>
      <protection locked="0"/>
    </xf>
    <xf numFmtId="0" fontId="2" fillId="10" borderId="60" xfId="0" applyFont="1" applyFill="1" applyBorder="1"/>
    <xf numFmtId="0" fontId="2" fillId="10" borderId="63" xfId="0" applyFont="1" applyFill="1" applyBorder="1"/>
    <xf numFmtId="0" fontId="2" fillId="10" borderId="65" xfId="0" applyFont="1" applyFill="1" applyBorder="1"/>
    <xf numFmtId="0" fontId="23" fillId="0" borderId="0" xfId="0" applyFont="1" applyAlignment="1">
      <alignment vertical="center" wrapText="1"/>
    </xf>
    <xf numFmtId="0" fontId="0" fillId="10" borderId="67" xfId="0" applyFill="1" applyBorder="1" applyAlignment="1">
      <alignment horizontal="right"/>
    </xf>
    <xf numFmtId="0" fontId="0" fillId="0" borderId="0" xfId="0"/>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22" fillId="8" borderId="29" xfId="0" applyFont="1" applyFill="1" applyBorder="1" applyAlignment="1">
      <alignment horizontal="center" vertical="center"/>
    </xf>
    <xf numFmtId="0" fontId="22" fillId="8" borderId="37" xfId="0" applyFont="1" applyFill="1" applyBorder="1" applyAlignment="1">
      <alignment horizontal="center" vertical="center"/>
    </xf>
    <xf numFmtId="0" fontId="22" fillId="8" borderId="36" xfId="0" applyFont="1" applyFill="1" applyBorder="1" applyAlignment="1">
      <alignment horizontal="center" vertical="center"/>
    </xf>
    <xf numFmtId="0" fontId="2" fillId="6" borderId="55" xfId="0" applyFont="1" applyFill="1" applyBorder="1" applyAlignment="1" applyProtection="1">
      <alignment horizontal="left" vertical="center"/>
      <protection locked="0"/>
    </xf>
    <xf numFmtId="0" fontId="2" fillId="6" borderId="13" xfId="0" applyFont="1" applyFill="1" applyBorder="1" applyAlignment="1" applyProtection="1">
      <alignment horizontal="left" vertical="center"/>
      <protection locked="0"/>
    </xf>
    <xf numFmtId="0" fontId="2" fillId="6" borderId="56" xfId="0" applyFont="1" applyFill="1" applyBorder="1" applyAlignment="1" applyProtection="1">
      <alignment horizontal="left" vertical="center"/>
      <protection locked="0"/>
    </xf>
    <xf numFmtId="14" fontId="0" fillId="12" borderId="73" xfId="0" applyNumberFormat="1" applyFill="1" applyBorder="1" applyAlignment="1" applyProtection="1">
      <alignment horizontal="center"/>
      <protection locked="0"/>
    </xf>
    <xf numFmtId="14" fontId="0" fillId="12" borderId="75" xfId="0" applyNumberFormat="1" applyFill="1" applyBorder="1" applyAlignment="1" applyProtection="1">
      <alignment horizontal="center"/>
      <protection locked="0"/>
    </xf>
    <xf numFmtId="0" fontId="0" fillId="12" borderId="70" xfId="0" applyFill="1" applyBorder="1" applyAlignment="1" applyProtection="1">
      <alignment horizontal="center"/>
      <protection locked="0"/>
    </xf>
    <xf numFmtId="0" fontId="0" fillId="12" borderId="71" xfId="0" applyFill="1" applyBorder="1" applyAlignment="1" applyProtection="1">
      <alignment horizontal="center"/>
      <protection locked="0"/>
    </xf>
    <xf numFmtId="0" fontId="0" fillId="12" borderId="76" xfId="0" applyFill="1" applyBorder="1" applyAlignment="1" applyProtection="1">
      <alignment horizontal="center"/>
      <protection locked="0"/>
    </xf>
    <xf numFmtId="0" fontId="0" fillId="12" borderId="72" xfId="0" applyFill="1" applyBorder="1" applyAlignment="1" applyProtection="1">
      <alignment horizontal="center"/>
      <protection locked="0"/>
    </xf>
    <xf numFmtId="0" fontId="0" fillId="12" borderId="73" xfId="0" applyFill="1" applyBorder="1" applyAlignment="1" applyProtection="1">
      <alignment horizontal="center"/>
      <protection locked="0"/>
    </xf>
    <xf numFmtId="0" fontId="0" fillId="12" borderId="77" xfId="0" applyFill="1" applyBorder="1" applyAlignment="1" applyProtection="1">
      <alignment horizontal="center"/>
      <protection locked="0"/>
    </xf>
    <xf numFmtId="0" fontId="21" fillId="8" borderId="66" xfId="0" applyFont="1" applyFill="1" applyBorder="1"/>
    <xf numFmtId="0" fontId="0" fillId="3" borderId="29" xfId="0" applyFill="1" applyBorder="1" applyAlignment="1">
      <alignment horizontal="center"/>
    </xf>
    <xf numFmtId="0" fontId="0" fillId="3" borderId="36" xfId="0" applyFill="1" applyBorder="1" applyAlignment="1">
      <alignment horizontal="center"/>
    </xf>
    <xf numFmtId="0" fontId="21" fillId="8" borderId="68" xfId="0" applyFont="1" applyFill="1" applyBorder="1"/>
    <xf numFmtId="0" fontId="21" fillId="8" borderId="38" xfId="0" applyFont="1" applyFill="1" applyBorder="1"/>
    <xf numFmtId="0" fontId="21" fillId="8" borderId="87" xfId="0" applyFont="1" applyFill="1" applyBorder="1"/>
    <xf numFmtId="0" fontId="21" fillId="8" borderId="88" xfId="0" applyFont="1" applyFill="1" applyBorder="1"/>
    <xf numFmtId="0" fontId="35" fillId="3" borderId="0" xfId="0" applyFont="1" applyFill="1" applyAlignment="1">
      <alignment horizontal="center" vertical="top" wrapText="1"/>
    </xf>
  </cellXfs>
  <cellStyles count="3">
    <cellStyle name="Hyperlink" xfId="1" builtinId="8"/>
    <cellStyle name="Normal" xfId="0" builtinId="0"/>
    <cellStyle name="Normal_QSLABSDM" xfId="2" xr:uid="{DF085BF9-EACD-4586-9FFD-854BC8A39C23}"/>
  </cellStyles>
  <dxfs count="4">
    <dxf>
      <fill>
        <patternFill>
          <bgColor rgb="FFFF0000"/>
        </patternFill>
      </fill>
      <border>
        <left style="thin">
          <color theme="1"/>
        </left>
        <right style="thin">
          <color theme="1"/>
        </right>
        <top style="thin">
          <color theme="1"/>
        </top>
        <bottom style="thin">
          <color theme="1"/>
        </bottom>
      </border>
    </dxf>
    <dxf>
      <fill>
        <patternFill>
          <bgColor rgb="FFFF0000"/>
        </patternFill>
      </fill>
      <border>
        <left style="thin">
          <color theme="1"/>
        </left>
        <right style="thin">
          <color theme="1"/>
        </right>
        <top style="thin">
          <color theme="1"/>
        </top>
        <bottom style="thin">
          <color theme="1"/>
        </bottom>
      </border>
    </dxf>
    <dxf>
      <fill>
        <patternFill>
          <bgColor rgb="FFFF0000"/>
        </patternFill>
      </fill>
      <border>
        <left style="thin">
          <color theme="1"/>
        </left>
        <right style="thin">
          <color theme="1"/>
        </right>
        <top style="thin">
          <color theme="1"/>
        </top>
        <bottom style="thin">
          <color theme="1"/>
        </bottom>
      </border>
    </dxf>
    <dxf>
      <fill>
        <patternFill>
          <bgColor rgb="FFFF0000"/>
        </patternFill>
      </fill>
      <border>
        <left style="thin">
          <color theme="1"/>
        </left>
        <right style="thin">
          <color theme="1"/>
        </right>
        <top style="thin">
          <color theme="1"/>
        </top>
        <bottom style="thin">
          <color rgb="FF0033CC"/>
        </bottom>
      </border>
    </dxf>
  </dxfs>
  <tableStyles count="0" defaultTableStyle="TableStyleMedium2" defaultPivotStyle="PivotStyleLight16"/>
  <colors>
    <mruColors>
      <color rgb="FF0033CC"/>
      <color rgb="FFCCFFFF"/>
      <color rgb="FF66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4122606490827"/>
          <c:y val="2.8688681356690879E-2"/>
          <c:w val="0.83820969747202656"/>
          <c:h val="0.87762477364748015"/>
        </c:manualLayout>
      </c:layout>
      <c:scatterChart>
        <c:scatterStyle val="smoothMarker"/>
        <c:varyColors val="0"/>
        <c:ser>
          <c:idx val="0"/>
          <c:order val="0"/>
          <c:marker>
            <c:symbol val="none"/>
          </c:marker>
          <c:xVal>
            <c:numRef>
              <c:f>Pipe!$W$18:$W$38</c:f>
              <c:numCache>
                <c:formatCode>General</c:formatCode>
                <c:ptCount val="21"/>
                <c:pt idx="0">
                  <c:v>0.01</c:v>
                </c:pt>
                <c:pt idx="1">
                  <c:v>0.05</c:v>
                </c:pt>
                <c:pt idx="2">
                  <c:v>0.1</c:v>
                </c:pt>
                <c:pt idx="3">
                  <c:v>0.2</c:v>
                </c:pt>
                <c:pt idx="4">
                  <c:v>0.3</c:v>
                </c:pt>
                <c:pt idx="5">
                  <c:v>0.4</c:v>
                </c:pt>
                <c:pt idx="6">
                  <c:v>0.5</c:v>
                </c:pt>
                <c:pt idx="7">
                  <c:v>0.6</c:v>
                </c:pt>
                <c:pt idx="8">
                  <c:v>0.7</c:v>
                </c:pt>
                <c:pt idx="9">
                  <c:v>0.8</c:v>
                </c:pt>
                <c:pt idx="10">
                  <c:v>0.9</c:v>
                </c:pt>
                <c:pt idx="11">
                  <c:v>1</c:v>
                </c:pt>
                <c:pt idx="12">
                  <c:v>2</c:v>
                </c:pt>
                <c:pt idx="13">
                  <c:v>3</c:v>
                </c:pt>
                <c:pt idx="14">
                  <c:v>4</c:v>
                </c:pt>
                <c:pt idx="15">
                  <c:v>5</c:v>
                </c:pt>
                <c:pt idx="16">
                  <c:v>6</c:v>
                </c:pt>
                <c:pt idx="17">
                  <c:v>7</c:v>
                </c:pt>
                <c:pt idx="18">
                  <c:v>8</c:v>
                </c:pt>
                <c:pt idx="19">
                  <c:v>9</c:v>
                </c:pt>
                <c:pt idx="20">
                  <c:v>10</c:v>
                </c:pt>
              </c:numCache>
            </c:numRef>
          </c:xVal>
          <c:yVal>
            <c:numRef>
              <c:f>Pipe!$X$18:$X$38</c:f>
              <c:numCache>
                <c:formatCode>General</c:formatCode>
                <c:ptCount val="21"/>
                <c:pt idx="0">
                  <c:v>2049.2838472485364</c:v>
                </c:pt>
                <c:pt idx="1">
                  <c:v>4582.3379876400222</c:v>
                </c:pt>
                <c:pt idx="2">
                  <c:v>6480.4045294979551</c:v>
                </c:pt>
                <c:pt idx="3">
                  <c:v>9164.6759752800444</c:v>
                </c:pt>
                <c:pt idx="4">
                  <c:v>11224.389898689944</c:v>
                </c:pt>
                <c:pt idx="5">
                  <c:v>12960.80905899591</c:v>
                </c:pt>
                <c:pt idx="6">
                  <c:v>14490.625049654969</c:v>
                </c:pt>
                <c:pt idx="7">
                  <c:v>15873.684424090889</c:v>
                </c:pt>
                <c:pt idx="8">
                  <c:v>17145.538780148127</c:v>
                </c:pt>
                <c:pt idx="9">
                  <c:v>18329.351950560089</c:v>
                </c:pt>
                <c:pt idx="10">
                  <c:v>19441.213588493865</c:v>
                </c:pt>
                <c:pt idx="11">
                  <c:v>20492.838472485364</c:v>
                </c:pt>
                <c:pt idx="12">
                  <c:v>28981.250099309938</c:v>
                </c:pt>
                <c:pt idx="13">
                  <c:v>35494.637425646826</c:v>
                </c:pt>
                <c:pt idx="14">
                  <c:v>40985.676944970728</c:v>
                </c:pt>
                <c:pt idx="15">
                  <c:v>45823.37987640022</c:v>
                </c:pt>
                <c:pt idx="16">
                  <c:v>50196.997638865374</c:v>
                </c:pt>
                <c:pt idx="17">
                  <c:v>54218.954256013036</c:v>
                </c:pt>
                <c:pt idx="18">
                  <c:v>57962.500198619877</c:v>
                </c:pt>
                <c:pt idx="19">
                  <c:v>61478.515417456081</c:v>
                </c:pt>
                <c:pt idx="20">
                  <c:v>64804.045294979544</c:v>
                </c:pt>
              </c:numCache>
            </c:numRef>
          </c:yVal>
          <c:smooth val="1"/>
          <c:extLst>
            <c:ext xmlns:c16="http://schemas.microsoft.com/office/drawing/2014/chart" uri="{C3380CC4-5D6E-409C-BE32-E72D297353CC}">
              <c16:uniqueId val="{00000000-F736-456A-9142-1DBE0E2448AA}"/>
            </c:ext>
          </c:extLst>
        </c:ser>
        <c:ser>
          <c:idx val="1"/>
          <c:order val="1"/>
          <c:spPr>
            <a:ln w="15875">
              <a:solidFill>
                <a:srgbClr val="FF0000"/>
              </a:solidFill>
              <a:prstDash val="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F736-456A-9142-1DBE0E2448AA}"/>
                </c:ext>
              </c:extLst>
            </c:dLbl>
            <c:dLbl>
              <c:idx val="1"/>
              <c:delete val="1"/>
              <c:extLst>
                <c:ext xmlns:c15="http://schemas.microsoft.com/office/drawing/2012/chart" uri="{CE6537A1-D6FC-4f65-9D91-7224C49458BB}"/>
                <c:ext xmlns:c16="http://schemas.microsoft.com/office/drawing/2014/chart" uri="{C3380CC4-5D6E-409C-BE32-E72D297353CC}">
                  <c16:uniqueId val="{00000002-F736-456A-9142-1DBE0E2448AA}"/>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Pipe!$Z$17:$Z$19</c:f>
              <c:numCache>
                <c:formatCode>General</c:formatCode>
                <c:ptCount val="3"/>
                <c:pt idx="0">
                  <c:v>1.44</c:v>
                </c:pt>
                <c:pt idx="1">
                  <c:v>1.44</c:v>
                </c:pt>
                <c:pt idx="2">
                  <c:v>0</c:v>
                </c:pt>
              </c:numCache>
            </c:numRef>
          </c:xVal>
          <c:yVal>
            <c:numRef>
              <c:f>Pipe!$AA$17:$AA$19</c:f>
              <c:numCache>
                <c:formatCode>#,##0</c:formatCode>
                <c:ptCount val="3"/>
                <c:pt idx="0" formatCode="General">
                  <c:v>0</c:v>
                </c:pt>
                <c:pt idx="1">
                  <c:v>24591.40616698243</c:v>
                </c:pt>
                <c:pt idx="2">
                  <c:v>24591.40616698243</c:v>
                </c:pt>
              </c:numCache>
            </c:numRef>
          </c:yVal>
          <c:smooth val="0"/>
          <c:extLst>
            <c:ext xmlns:c16="http://schemas.microsoft.com/office/drawing/2014/chart" uri="{C3380CC4-5D6E-409C-BE32-E72D297353CC}">
              <c16:uniqueId val="{00000003-F736-456A-9142-1DBE0E2448AA}"/>
            </c:ext>
          </c:extLst>
        </c:ser>
        <c:dLbls>
          <c:showLegendKey val="0"/>
          <c:showVal val="0"/>
          <c:showCatName val="0"/>
          <c:showSerName val="0"/>
          <c:showPercent val="0"/>
          <c:showBubbleSize val="0"/>
        </c:dLbls>
        <c:axId val="103674240"/>
        <c:axId val="104182528"/>
      </c:scatterChart>
      <c:valAx>
        <c:axId val="103674240"/>
        <c:scaling>
          <c:orientation val="minMax"/>
          <c:max val="10"/>
          <c:min val="0"/>
        </c:scaling>
        <c:delete val="0"/>
        <c:axPos val="b"/>
        <c:majorGridlines/>
        <c:title>
          <c:tx>
            <c:rich>
              <a:bodyPr/>
              <a:lstStyle/>
              <a:p>
                <a:pPr>
                  <a:defRPr/>
                </a:pPr>
                <a:r>
                  <a:rPr lang="en-GB"/>
                  <a:t>Bed</a:t>
                </a:r>
                <a:r>
                  <a:rPr lang="en-GB" baseline="0"/>
                  <a:t> Slope</a:t>
                </a:r>
                <a:r>
                  <a:rPr lang="en-GB"/>
                  <a:t> (%)</a:t>
                </a:r>
              </a:p>
            </c:rich>
          </c:tx>
          <c:layout>
            <c:manualLayout>
              <c:xMode val="edge"/>
              <c:yMode val="edge"/>
              <c:x val="0.41101970063589249"/>
              <c:y val="0.95554253392744515"/>
            </c:manualLayout>
          </c:layout>
          <c:overlay val="0"/>
        </c:title>
        <c:numFmt formatCode="General" sourceLinked="1"/>
        <c:majorTickMark val="out"/>
        <c:minorTickMark val="none"/>
        <c:tickLblPos val="nextTo"/>
        <c:crossAx val="104182528"/>
        <c:crosses val="autoZero"/>
        <c:crossBetween val="midCat"/>
      </c:valAx>
      <c:valAx>
        <c:axId val="104182528"/>
        <c:scaling>
          <c:orientation val="minMax"/>
        </c:scaling>
        <c:delete val="0"/>
        <c:axPos val="l"/>
        <c:majorGridlines/>
        <c:title>
          <c:tx>
            <c:rich>
              <a:bodyPr rot="-5400000" vert="horz"/>
              <a:lstStyle/>
              <a:p>
                <a:pPr>
                  <a:defRPr/>
                </a:pPr>
                <a:r>
                  <a:rPr lang="en-GB"/>
                  <a:t>Flow (l/s)</a:t>
                </a:r>
              </a:p>
            </c:rich>
          </c:tx>
          <c:layout>
            <c:manualLayout>
              <c:xMode val="edge"/>
              <c:yMode val="edge"/>
              <c:x val="6.7911714770797962E-3"/>
              <c:y val="0.39406437567397096"/>
            </c:manualLayout>
          </c:layout>
          <c:overlay val="0"/>
        </c:title>
        <c:numFmt formatCode="#,##0" sourceLinked="0"/>
        <c:majorTickMark val="out"/>
        <c:minorTickMark val="none"/>
        <c:tickLblPos val="nextTo"/>
        <c:crossAx val="103674240"/>
        <c:crosses val="autoZero"/>
        <c:crossBetween val="midCat"/>
      </c:valAx>
      <c:spPr>
        <a:solidFill>
          <a:schemeClr val="bg1"/>
        </a:solidFill>
      </c:spPr>
    </c:plotArea>
    <c:plotVisOnly val="0"/>
    <c:dispBlanksAs val="gap"/>
    <c:showDLblsOverMax val="0"/>
  </c:chart>
  <c:spPr>
    <a:solidFill>
      <a:schemeClr val="bg1">
        <a:lumMod val="95000"/>
      </a:schemeClr>
    </a:solidFill>
    <a:ln w="19050">
      <a:solidFill>
        <a:srgbClr val="0033CC"/>
      </a:solid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4122606490827"/>
          <c:y val="2.8688681356690879E-2"/>
          <c:w val="0.83820969747202656"/>
          <c:h val="0.87762477364748015"/>
        </c:manualLayout>
      </c:layout>
      <c:scatterChart>
        <c:scatterStyle val="smoothMarker"/>
        <c:varyColors val="0"/>
        <c:ser>
          <c:idx val="0"/>
          <c:order val="0"/>
          <c:marker>
            <c:symbol val="none"/>
          </c:marker>
          <c:xVal>
            <c:numRef>
              <c:f>Trapezoidal!$W$18:$W$38</c:f>
              <c:numCache>
                <c:formatCode>General</c:formatCode>
                <c:ptCount val="21"/>
                <c:pt idx="0">
                  <c:v>0.01</c:v>
                </c:pt>
                <c:pt idx="1">
                  <c:v>0.05</c:v>
                </c:pt>
                <c:pt idx="2">
                  <c:v>0.1</c:v>
                </c:pt>
                <c:pt idx="3">
                  <c:v>0.2</c:v>
                </c:pt>
                <c:pt idx="4">
                  <c:v>0.3</c:v>
                </c:pt>
                <c:pt idx="5">
                  <c:v>0.4</c:v>
                </c:pt>
                <c:pt idx="6">
                  <c:v>0.5</c:v>
                </c:pt>
                <c:pt idx="7">
                  <c:v>0.6</c:v>
                </c:pt>
                <c:pt idx="8">
                  <c:v>0.7</c:v>
                </c:pt>
                <c:pt idx="9">
                  <c:v>0.8</c:v>
                </c:pt>
                <c:pt idx="10">
                  <c:v>0.9</c:v>
                </c:pt>
                <c:pt idx="11">
                  <c:v>1</c:v>
                </c:pt>
                <c:pt idx="12">
                  <c:v>2</c:v>
                </c:pt>
                <c:pt idx="13">
                  <c:v>3</c:v>
                </c:pt>
                <c:pt idx="14">
                  <c:v>4</c:v>
                </c:pt>
                <c:pt idx="15">
                  <c:v>5</c:v>
                </c:pt>
                <c:pt idx="16">
                  <c:v>6</c:v>
                </c:pt>
                <c:pt idx="17">
                  <c:v>7</c:v>
                </c:pt>
                <c:pt idx="18">
                  <c:v>8</c:v>
                </c:pt>
                <c:pt idx="19">
                  <c:v>9</c:v>
                </c:pt>
                <c:pt idx="20">
                  <c:v>10</c:v>
                </c:pt>
              </c:numCache>
            </c:numRef>
          </c:xVal>
          <c:yVal>
            <c:numRef>
              <c:f>Trapezoidal!$X$18:$X$38</c:f>
              <c:numCache>
                <c:formatCode>General</c:formatCode>
                <c:ptCount val="21"/>
                <c:pt idx="0">
                  <c:v>11777.99017514992</c:v>
                </c:pt>
                <c:pt idx="1">
                  <c:v>26336.386669959877</c:v>
                </c:pt>
                <c:pt idx="2">
                  <c:v>37245.275212559252</c:v>
                </c:pt>
                <c:pt idx="3">
                  <c:v>52672.773339919753</c:v>
                </c:pt>
                <c:pt idx="4">
                  <c:v>64510.709010038343</c:v>
                </c:pt>
                <c:pt idx="5">
                  <c:v>74490.550425118505</c:v>
                </c:pt>
                <c:pt idx="6">
                  <c:v>83282.967215970421</c:v>
                </c:pt>
                <c:pt idx="7">
                  <c:v>91231.919600300447</c:v>
                </c:pt>
                <c:pt idx="8">
                  <c:v>98541.735724590137</c:v>
                </c:pt>
                <c:pt idx="9">
                  <c:v>105345.54667983951</c:v>
                </c:pt>
                <c:pt idx="10">
                  <c:v>111735.82563767777</c:v>
                </c:pt>
                <c:pt idx="11">
                  <c:v>117779.90175149922</c:v>
                </c:pt>
                <c:pt idx="12">
                  <c:v>166565.93443194084</c:v>
                </c:pt>
                <c:pt idx="13">
                  <c:v>204000.77394406722</c:v>
                </c:pt>
                <c:pt idx="14">
                  <c:v>235559.80350299843</c:v>
                </c:pt>
                <c:pt idx="15">
                  <c:v>263363.86669959879</c:v>
                </c:pt>
                <c:pt idx="16">
                  <c:v>288500.66124630778</c:v>
                </c:pt>
                <c:pt idx="17">
                  <c:v>311616.32947608776</c:v>
                </c:pt>
                <c:pt idx="18">
                  <c:v>333131.86886388168</c:v>
                </c:pt>
                <c:pt idx="19">
                  <c:v>353339.70525449765</c:v>
                </c:pt>
                <c:pt idx="20">
                  <c:v>372452.75212559255</c:v>
                </c:pt>
              </c:numCache>
            </c:numRef>
          </c:yVal>
          <c:smooth val="1"/>
          <c:extLst>
            <c:ext xmlns:c16="http://schemas.microsoft.com/office/drawing/2014/chart" uri="{C3380CC4-5D6E-409C-BE32-E72D297353CC}">
              <c16:uniqueId val="{00000000-06F6-4778-AF06-F05E23A6ED43}"/>
            </c:ext>
          </c:extLst>
        </c:ser>
        <c:ser>
          <c:idx val="1"/>
          <c:order val="1"/>
          <c:spPr>
            <a:ln w="15875">
              <a:solidFill>
                <a:srgbClr val="FF0000"/>
              </a:solidFill>
              <a:prstDash val="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06F6-4778-AF06-F05E23A6ED43}"/>
                </c:ext>
              </c:extLst>
            </c:dLbl>
            <c:dLbl>
              <c:idx val="1"/>
              <c:delete val="1"/>
              <c:extLst>
                <c:ext xmlns:c15="http://schemas.microsoft.com/office/drawing/2012/chart" uri="{CE6537A1-D6FC-4f65-9D91-7224C49458BB}"/>
                <c:ext xmlns:c16="http://schemas.microsoft.com/office/drawing/2014/chart" uri="{C3380CC4-5D6E-409C-BE32-E72D297353CC}">
                  <c16:uniqueId val="{00000002-06F6-4778-AF06-F05E23A6ED43}"/>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Trapezoidal!$Z$17:$Z$19</c:f>
              <c:numCache>
                <c:formatCode>General</c:formatCode>
                <c:ptCount val="3"/>
                <c:pt idx="0">
                  <c:v>1.75</c:v>
                </c:pt>
                <c:pt idx="1">
                  <c:v>1.75</c:v>
                </c:pt>
                <c:pt idx="2">
                  <c:v>0</c:v>
                </c:pt>
              </c:numCache>
            </c:numRef>
          </c:xVal>
          <c:yVal>
            <c:numRef>
              <c:f>Trapezoidal!$AA$17:$AA$19</c:f>
              <c:numCache>
                <c:formatCode>#,##0</c:formatCode>
                <c:ptCount val="3"/>
                <c:pt idx="0" formatCode="General">
                  <c:v>0</c:v>
                </c:pt>
                <c:pt idx="1">
                  <c:v>155808.16473804388</c:v>
                </c:pt>
                <c:pt idx="2">
                  <c:v>155808.16473804388</c:v>
                </c:pt>
              </c:numCache>
            </c:numRef>
          </c:yVal>
          <c:smooth val="0"/>
          <c:extLst>
            <c:ext xmlns:c16="http://schemas.microsoft.com/office/drawing/2014/chart" uri="{C3380CC4-5D6E-409C-BE32-E72D297353CC}">
              <c16:uniqueId val="{00000003-06F6-4778-AF06-F05E23A6ED43}"/>
            </c:ext>
          </c:extLst>
        </c:ser>
        <c:dLbls>
          <c:showLegendKey val="0"/>
          <c:showVal val="0"/>
          <c:showCatName val="0"/>
          <c:showSerName val="0"/>
          <c:showPercent val="0"/>
          <c:showBubbleSize val="0"/>
        </c:dLbls>
        <c:axId val="103674240"/>
        <c:axId val="104182528"/>
      </c:scatterChart>
      <c:valAx>
        <c:axId val="103674240"/>
        <c:scaling>
          <c:orientation val="minMax"/>
          <c:max val="10"/>
          <c:min val="0"/>
        </c:scaling>
        <c:delete val="0"/>
        <c:axPos val="b"/>
        <c:majorGridlines/>
        <c:title>
          <c:tx>
            <c:rich>
              <a:bodyPr/>
              <a:lstStyle/>
              <a:p>
                <a:pPr>
                  <a:defRPr/>
                </a:pPr>
                <a:r>
                  <a:rPr lang="en-GB"/>
                  <a:t>Bed</a:t>
                </a:r>
                <a:r>
                  <a:rPr lang="en-GB" baseline="0"/>
                  <a:t> Slope</a:t>
                </a:r>
                <a:r>
                  <a:rPr lang="en-GB"/>
                  <a:t> (%)</a:t>
                </a:r>
              </a:p>
            </c:rich>
          </c:tx>
          <c:layout>
            <c:manualLayout>
              <c:xMode val="edge"/>
              <c:yMode val="edge"/>
              <c:x val="0.41101970063589249"/>
              <c:y val="0.95554253392744515"/>
            </c:manualLayout>
          </c:layout>
          <c:overlay val="0"/>
        </c:title>
        <c:numFmt formatCode="General" sourceLinked="1"/>
        <c:majorTickMark val="out"/>
        <c:minorTickMark val="none"/>
        <c:tickLblPos val="nextTo"/>
        <c:crossAx val="104182528"/>
        <c:crosses val="autoZero"/>
        <c:crossBetween val="midCat"/>
      </c:valAx>
      <c:valAx>
        <c:axId val="104182528"/>
        <c:scaling>
          <c:orientation val="minMax"/>
        </c:scaling>
        <c:delete val="0"/>
        <c:axPos val="l"/>
        <c:majorGridlines/>
        <c:title>
          <c:tx>
            <c:rich>
              <a:bodyPr rot="-5400000" vert="horz"/>
              <a:lstStyle/>
              <a:p>
                <a:pPr>
                  <a:defRPr/>
                </a:pPr>
                <a:r>
                  <a:rPr lang="en-GB"/>
                  <a:t>Flow (l/s)</a:t>
                </a:r>
              </a:p>
            </c:rich>
          </c:tx>
          <c:layout>
            <c:manualLayout>
              <c:xMode val="edge"/>
              <c:yMode val="edge"/>
              <c:x val="6.7911714770797962E-3"/>
              <c:y val="0.39406437567397096"/>
            </c:manualLayout>
          </c:layout>
          <c:overlay val="0"/>
        </c:title>
        <c:numFmt formatCode="#,##0" sourceLinked="0"/>
        <c:majorTickMark val="out"/>
        <c:minorTickMark val="none"/>
        <c:tickLblPos val="nextTo"/>
        <c:crossAx val="103674240"/>
        <c:crosses val="autoZero"/>
        <c:crossBetween val="midCat"/>
      </c:valAx>
      <c:spPr>
        <a:solidFill>
          <a:schemeClr val="bg1"/>
        </a:solidFill>
      </c:spPr>
    </c:plotArea>
    <c:plotVisOnly val="0"/>
    <c:dispBlanksAs val="gap"/>
    <c:showDLblsOverMax val="0"/>
  </c:chart>
  <c:spPr>
    <a:solidFill>
      <a:schemeClr val="bg1">
        <a:lumMod val="95000"/>
      </a:schemeClr>
    </a:solidFill>
    <a:ln w="19050">
      <a:solidFill>
        <a:srgbClr val="0033CC"/>
      </a:solidFill>
    </a:ln>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4122606490827"/>
          <c:y val="2.8688681356690879E-2"/>
          <c:w val="0.83820969747202656"/>
          <c:h val="0.87762477364748015"/>
        </c:manualLayout>
      </c:layout>
      <c:scatterChart>
        <c:scatterStyle val="smoothMarker"/>
        <c:varyColors val="0"/>
        <c:ser>
          <c:idx val="0"/>
          <c:order val="0"/>
          <c:marker>
            <c:symbol val="none"/>
          </c:marker>
          <c:xVal>
            <c:numRef>
              <c:f>Rectangular!$W$18:$W$38</c:f>
              <c:numCache>
                <c:formatCode>General</c:formatCode>
                <c:ptCount val="21"/>
                <c:pt idx="0">
                  <c:v>0.01</c:v>
                </c:pt>
                <c:pt idx="1">
                  <c:v>0.05</c:v>
                </c:pt>
                <c:pt idx="2">
                  <c:v>0.1</c:v>
                </c:pt>
                <c:pt idx="3">
                  <c:v>0.2</c:v>
                </c:pt>
                <c:pt idx="4">
                  <c:v>0.3</c:v>
                </c:pt>
                <c:pt idx="5">
                  <c:v>0.4</c:v>
                </c:pt>
                <c:pt idx="6">
                  <c:v>0.5</c:v>
                </c:pt>
                <c:pt idx="7">
                  <c:v>0.6</c:v>
                </c:pt>
                <c:pt idx="8">
                  <c:v>0.7</c:v>
                </c:pt>
                <c:pt idx="9">
                  <c:v>0.8</c:v>
                </c:pt>
                <c:pt idx="10">
                  <c:v>0.9</c:v>
                </c:pt>
                <c:pt idx="11">
                  <c:v>1</c:v>
                </c:pt>
                <c:pt idx="12">
                  <c:v>2</c:v>
                </c:pt>
                <c:pt idx="13">
                  <c:v>3</c:v>
                </c:pt>
                <c:pt idx="14">
                  <c:v>4</c:v>
                </c:pt>
                <c:pt idx="15">
                  <c:v>5</c:v>
                </c:pt>
                <c:pt idx="16">
                  <c:v>6</c:v>
                </c:pt>
                <c:pt idx="17">
                  <c:v>7</c:v>
                </c:pt>
                <c:pt idx="18">
                  <c:v>8</c:v>
                </c:pt>
                <c:pt idx="19">
                  <c:v>9</c:v>
                </c:pt>
                <c:pt idx="20">
                  <c:v>10</c:v>
                </c:pt>
              </c:numCache>
            </c:numRef>
          </c:xVal>
          <c:yVal>
            <c:numRef>
              <c:f>Rectangular!$X$18:$X$38</c:f>
              <c:numCache>
                <c:formatCode>General</c:formatCode>
                <c:ptCount val="21"/>
                <c:pt idx="0">
                  <c:v>3867.1589373406405</c:v>
                </c:pt>
                <c:pt idx="1">
                  <c:v>8647.230263689522</c:v>
                </c:pt>
                <c:pt idx="2">
                  <c:v>12229.030315872795</c:v>
                </c:pt>
                <c:pt idx="3">
                  <c:v>17294.460527379044</c:v>
                </c:pt>
                <c:pt idx="4">
                  <c:v>21181.301834391757</c:v>
                </c:pt>
                <c:pt idx="5">
                  <c:v>24458.060631745589</c:v>
                </c:pt>
                <c:pt idx="6">
                  <c:v>27344.943085197294</c:v>
                </c:pt>
                <c:pt idx="7">
                  <c:v>29954.884322914942</c:v>
                </c:pt>
                <c:pt idx="8">
                  <c:v>32354.972991269071</c:v>
                </c:pt>
                <c:pt idx="9">
                  <c:v>34588.921054758088</c:v>
                </c:pt>
                <c:pt idx="10">
                  <c:v>36687.090947618388</c:v>
                </c:pt>
                <c:pt idx="11">
                  <c:v>38671.589373406408</c:v>
                </c:pt>
                <c:pt idx="12">
                  <c:v>54689.886170394588</c:v>
                </c:pt>
                <c:pt idx="13">
                  <c:v>66981.157604180567</c:v>
                </c:pt>
                <c:pt idx="14">
                  <c:v>77343.178746812817</c:v>
                </c:pt>
                <c:pt idx="15">
                  <c:v>86472.302636895212</c:v>
                </c:pt>
                <c:pt idx="16">
                  <c:v>94725.661507281926</c:v>
                </c:pt>
                <c:pt idx="17">
                  <c:v>102315.40828564149</c:v>
                </c:pt>
                <c:pt idx="18">
                  <c:v>109379.77234078918</c:v>
                </c:pt>
                <c:pt idx="19">
                  <c:v>116014.7681202192</c:v>
                </c:pt>
                <c:pt idx="20">
                  <c:v>122290.30315872795</c:v>
                </c:pt>
              </c:numCache>
            </c:numRef>
          </c:yVal>
          <c:smooth val="1"/>
          <c:extLst>
            <c:ext xmlns:c16="http://schemas.microsoft.com/office/drawing/2014/chart" uri="{C3380CC4-5D6E-409C-BE32-E72D297353CC}">
              <c16:uniqueId val="{00000000-176B-4F40-A87C-3BE57A07DDE3}"/>
            </c:ext>
          </c:extLst>
        </c:ser>
        <c:ser>
          <c:idx val="1"/>
          <c:order val="1"/>
          <c:spPr>
            <a:ln>
              <a:solidFill>
                <a:srgbClr val="FF0000"/>
              </a:solidFill>
              <a:prstDash val="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176B-4F40-A87C-3BE57A07DDE3}"/>
                </c:ext>
              </c:extLst>
            </c:dLbl>
            <c:dLbl>
              <c:idx val="1"/>
              <c:delete val="1"/>
              <c:extLst>
                <c:ext xmlns:c15="http://schemas.microsoft.com/office/drawing/2012/chart" uri="{CE6537A1-D6FC-4f65-9D91-7224C49458BB}"/>
                <c:ext xmlns:c16="http://schemas.microsoft.com/office/drawing/2014/chart" uri="{C3380CC4-5D6E-409C-BE32-E72D297353CC}">
                  <c16:uniqueId val="{00000002-176B-4F40-A87C-3BE57A07DDE3}"/>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Rectangular!$Z$17:$Z$19</c:f>
              <c:numCache>
                <c:formatCode>General</c:formatCode>
                <c:ptCount val="3"/>
                <c:pt idx="0">
                  <c:v>0.75</c:v>
                </c:pt>
                <c:pt idx="1">
                  <c:v>0.75</c:v>
                </c:pt>
                <c:pt idx="2">
                  <c:v>0</c:v>
                </c:pt>
              </c:numCache>
            </c:numRef>
          </c:xVal>
          <c:yVal>
            <c:numRef>
              <c:f>Rectangular!$AA$17:$AA$19</c:f>
              <c:numCache>
                <c:formatCode>#,##0</c:formatCode>
                <c:ptCount val="3"/>
                <c:pt idx="0" formatCode="General">
                  <c:v>0</c:v>
                </c:pt>
                <c:pt idx="1">
                  <c:v>33490.578802090284</c:v>
                </c:pt>
                <c:pt idx="2">
                  <c:v>33490.578802090284</c:v>
                </c:pt>
              </c:numCache>
            </c:numRef>
          </c:yVal>
          <c:smooth val="0"/>
          <c:extLst>
            <c:ext xmlns:c16="http://schemas.microsoft.com/office/drawing/2014/chart" uri="{C3380CC4-5D6E-409C-BE32-E72D297353CC}">
              <c16:uniqueId val="{00000003-176B-4F40-A87C-3BE57A07DDE3}"/>
            </c:ext>
          </c:extLst>
        </c:ser>
        <c:dLbls>
          <c:showLegendKey val="0"/>
          <c:showVal val="0"/>
          <c:showCatName val="0"/>
          <c:showSerName val="0"/>
          <c:showPercent val="0"/>
          <c:showBubbleSize val="0"/>
        </c:dLbls>
        <c:axId val="103674240"/>
        <c:axId val="104182528"/>
      </c:scatterChart>
      <c:valAx>
        <c:axId val="103674240"/>
        <c:scaling>
          <c:orientation val="minMax"/>
          <c:max val="10"/>
          <c:min val="0"/>
        </c:scaling>
        <c:delete val="0"/>
        <c:axPos val="b"/>
        <c:majorGridlines/>
        <c:title>
          <c:tx>
            <c:rich>
              <a:bodyPr/>
              <a:lstStyle/>
              <a:p>
                <a:pPr>
                  <a:defRPr/>
                </a:pPr>
                <a:r>
                  <a:rPr lang="en-GB"/>
                  <a:t>Bed</a:t>
                </a:r>
                <a:r>
                  <a:rPr lang="en-GB" baseline="0"/>
                  <a:t> Slope</a:t>
                </a:r>
                <a:r>
                  <a:rPr lang="en-GB"/>
                  <a:t> (%)</a:t>
                </a:r>
              </a:p>
            </c:rich>
          </c:tx>
          <c:layout>
            <c:manualLayout>
              <c:xMode val="edge"/>
              <c:yMode val="edge"/>
              <c:x val="0.41101970063589249"/>
              <c:y val="0.95554253392744515"/>
            </c:manualLayout>
          </c:layout>
          <c:overlay val="0"/>
        </c:title>
        <c:numFmt formatCode="General" sourceLinked="1"/>
        <c:majorTickMark val="out"/>
        <c:minorTickMark val="none"/>
        <c:tickLblPos val="nextTo"/>
        <c:crossAx val="104182528"/>
        <c:crosses val="autoZero"/>
        <c:crossBetween val="midCat"/>
      </c:valAx>
      <c:valAx>
        <c:axId val="104182528"/>
        <c:scaling>
          <c:orientation val="minMax"/>
        </c:scaling>
        <c:delete val="0"/>
        <c:axPos val="l"/>
        <c:majorGridlines/>
        <c:title>
          <c:tx>
            <c:rich>
              <a:bodyPr rot="-5400000" vert="horz"/>
              <a:lstStyle/>
              <a:p>
                <a:pPr>
                  <a:defRPr/>
                </a:pPr>
                <a:r>
                  <a:rPr lang="en-GB"/>
                  <a:t>Flow (l/s)</a:t>
                </a:r>
              </a:p>
            </c:rich>
          </c:tx>
          <c:layout>
            <c:manualLayout>
              <c:xMode val="edge"/>
              <c:yMode val="edge"/>
              <c:x val="6.7911714770797962E-3"/>
              <c:y val="0.39406437567397096"/>
            </c:manualLayout>
          </c:layout>
          <c:overlay val="0"/>
        </c:title>
        <c:numFmt formatCode="#,##0" sourceLinked="0"/>
        <c:majorTickMark val="out"/>
        <c:minorTickMark val="none"/>
        <c:tickLblPos val="nextTo"/>
        <c:crossAx val="103674240"/>
        <c:crosses val="autoZero"/>
        <c:crossBetween val="midCat"/>
      </c:valAx>
      <c:spPr>
        <a:solidFill>
          <a:schemeClr val="bg1"/>
        </a:solidFill>
      </c:spPr>
    </c:plotArea>
    <c:plotVisOnly val="0"/>
    <c:dispBlanksAs val="gap"/>
    <c:showDLblsOverMax val="0"/>
  </c:chart>
  <c:spPr>
    <a:solidFill>
      <a:schemeClr val="bg1">
        <a:lumMod val="95000"/>
      </a:schemeClr>
    </a:solidFill>
    <a:ln w="19050">
      <a:solidFill>
        <a:srgbClr val="0033CC"/>
      </a:solidFill>
    </a:ln>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4122606490827"/>
          <c:y val="2.8688681356690879E-2"/>
          <c:w val="0.83820969747202656"/>
          <c:h val="0.87762477364748015"/>
        </c:manualLayout>
      </c:layout>
      <c:scatterChart>
        <c:scatterStyle val="smoothMarker"/>
        <c:varyColors val="0"/>
        <c:ser>
          <c:idx val="0"/>
          <c:order val="0"/>
          <c:marker>
            <c:symbol val="none"/>
          </c:marker>
          <c:xVal>
            <c:numRef>
              <c:f>Triangle!$W$18:$W$38</c:f>
              <c:numCache>
                <c:formatCode>General</c:formatCode>
                <c:ptCount val="21"/>
                <c:pt idx="0">
                  <c:v>0.01</c:v>
                </c:pt>
                <c:pt idx="1">
                  <c:v>0.05</c:v>
                </c:pt>
                <c:pt idx="2">
                  <c:v>0.1</c:v>
                </c:pt>
                <c:pt idx="3">
                  <c:v>0.2</c:v>
                </c:pt>
                <c:pt idx="4">
                  <c:v>0.3</c:v>
                </c:pt>
                <c:pt idx="5">
                  <c:v>0.4</c:v>
                </c:pt>
                <c:pt idx="6">
                  <c:v>0.5</c:v>
                </c:pt>
                <c:pt idx="7">
                  <c:v>0.6</c:v>
                </c:pt>
                <c:pt idx="8">
                  <c:v>0.7</c:v>
                </c:pt>
                <c:pt idx="9">
                  <c:v>0.8</c:v>
                </c:pt>
                <c:pt idx="10">
                  <c:v>0.9</c:v>
                </c:pt>
                <c:pt idx="11">
                  <c:v>1</c:v>
                </c:pt>
                <c:pt idx="12">
                  <c:v>2</c:v>
                </c:pt>
                <c:pt idx="13">
                  <c:v>3</c:v>
                </c:pt>
                <c:pt idx="14">
                  <c:v>4</c:v>
                </c:pt>
                <c:pt idx="15">
                  <c:v>5</c:v>
                </c:pt>
                <c:pt idx="16">
                  <c:v>6</c:v>
                </c:pt>
                <c:pt idx="17">
                  <c:v>7</c:v>
                </c:pt>
                <c:pt idx="18">
                  <c:v>8</c:v>
                </c:pt>
                <c:pt idx="19">
                  <c:v>9</c:v>
                </c:pt>
                <c:pt idx="20">
                  <c:v>10</c:v>
                </c:pt>
              </c:numCache>
            </c:numRef>
          </c:xVal>
          <c:yVal>
            <c:numRef>
              <c:f>Triangle!$X$18:$X$38</c:f>
              <c:numCache>
                <c:formatCode>General</c:formatCode>
                <c:ptCount val="21"/>
                <c:pt idx="0">
                  <c:v>1100.705331721708</c:v>
                </c:pt>
                <c:pt idx="1">
                  <c:v>2461.2519449261954</c:v>
                </c:pt>
                <c:pt idx="2">
                  <c:v>3480.735880931783</c:v>
                </c:pt>
                <c:pt idx="3">
                  <c:v>4922.5038898523908</c:v>
                </c:pt>
                <c:pt idx="4">
                  <c:v>6028.8113935018628</c:v>
                </c:pt>
                <c:pt idx="5">
                  <c:v>6961.4717618635659</c:v>
                </c:pt>
                <c:pt idx="6">
                  <c:v>7783.1620414860809</c:v>
                </c:pt>
                <c:pt idx="7">
                  <c:v>8526.0268376797721</c:v>
                </c:pt>
                <c:pt idx="8">
                  <c:v>9209.1615204448262</c:v>
                </c:pt>
                <c:pt idx="9">
                  <c:v>9845.0077797047816</c:v>
                </c:pt>
                <c:pt idx="10">
                  <c:v>10442.207642795349</c:v>
                </c:pt>
                <c:pt idx="11">
                  <c:v>11007.053317217084</c:v>
                </c:pt>
                <c:pt idx="12">
                  <c:v>15566.324082972162</c:v>
                </c:pt>
                <c:pt idx="13">
                  <c:v>19064.775587039538</c:v>
                </c:pt>
                <c:pt idx="14">
                  <c:v>22014.106634434167</c:v>
                </c:pt>
                <c:pt idx="15">
                  <c:v>24612.519449261952</c:v>
                </c:pt>
                <c:pt idx="16">
                  <c:v>26961.664198790797</c:v>
                </c:pt>
                <c:pt idx="17">
                  <c:v>29121.92574498495</c:v>
                </c:pt>
                <c:pt idx="18">
                  <c:v>31132.648165944323</c:v>
                </c:pt>
                <c:pt idx="19">
                  <c:v>33021.159951651243</c:v>
                </c:pt>
                <c:pt idx="20">
                  <c:v>34807.358809317833</c:v>
                </c:pt>
              </c:numCache>
            </c:numRef>
          </c:yVal>
          <c:smooth val="1"/>
          <c:extLst>
            <c:ext xmlns:c16="http://schemas.microsoft.com/office/drawing/2014/chart" uri="{C3380CC4-5D6E-409C-BE32-E72D297353CC}">
              <c16:uniqueId val="{00000000-28D0-4864-A29B-C272D02B4DE8}"/>
            </c:ext>
          </c:extLst>
        </c:ser>
        <c:ser>
          <c:idx val="1"/>
          <c:order val="1"/>
          <c:spPr>
            <a:ln w="15875">
              <a:solidFill>
                <a:srgbClr val="FF0000"/>
              </a:solidFill>
              <a:prstDash val="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28D0-4864-A29B-C272D02B4DE8}"/>
                </c:ext>
              </c:extLst>
            </c:dLbl>
            <c:dLbl>
              <c:idx val="1"/>
              <c:delete val="1"/>
              <c:extLst>
                <c:ext xmlns:c15="http://schemas.microsoft.com/office/drawing/2012/chart" uri="{CE6537A1-D6FC-4f65-9D91-7224C49458BB}"/>
                <c:ext xmlns:c16="http://schemas.microsoft.com/office/drawing/2014/chart" uri="{C3380CC4-5D6E-409C-BE32-E72D297353CC}">
                  <c16:uniqueId val="{00000002-28D0-4864-A29B-C272D02B4DE8}"/>
                </c:ext>
              </c:extLst>
            </c:dLbl>
            <c:spPr>
              <a:noFill/>
              <a:ln>
                <a:noFill/>
              </a:ln>
              <a:effectLst/>
            </c:spPr>
            <c:txPr>
              <a:bodyPr wrap="square" lIns="38100" tIns="19050" rIns="38100" bIns="19050" anchor="ctr">
                <a:spAutoFit/>
              </a:bodyPr>
              <a:lstStyle/>
              <a:p>
                <a:pPr>
                  <a:defRPr>
                    <a:solidFill>
                      <a:srgbClr val="FF0000"/>
                    </a:solidFil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Triangle!$Z$17:$Z$19</c:f>
              <c:numCache>
                <c:formatCode>General</c:formatCode>
                <c:ptCount val="3"/>
                <c:pt idx="0">
                  <c:v>3</c:v>
                </c:pt>
                <c:pt idx="1">
                  <c:v>3</c:v>
                </c:pt>
                <c:pt idx="2">
                  <c:v>0</c:v>
                </c:pt>
              </c:numCache>
            </c:numRef>
          </c:xVal>
          <c:yVal>
            <c:numRef>
              <c:f>Triangle!$AA$17:$AA$19</c:f>
              <c:numCache>
                <c:formatCode>#,##0</c:formatCode>
                <c:ptCount val="3"/>
                <c:pt idx="0" formatCode="General">
                  <c:v>0</c:v>
                </c:pt>
                <c:pt idx="1">
                  <c:v>19064.775587039538</c:v>
                </c:pt>
                <c:pt idx="2">
                  <c:v>19064.775587039538</c:v>
                </c:pt>
              </c:numCache>
            </c:numRef>
          </c:yVal>
          <c:smooth val="0"/>
          <c:extLst>
            <c:ext xmlns:c16="http://schemas.microsoft.com/office/drawing/2014/chart" uri="{C3380CC4-5D6E-409C-BE32-E72D297353CC}">
              <c16:uniqueId val="{00000003-28D0-4864-A29B-C272D02B4DE8}"/>
            </c:ext>
          </c:extLst>
        </c:ser>
        <c:dLbls>
          <c:showLegendKey val="0"/>
          <c:showVal val="0"/>
          <c:showCatName val="0"/>
          <c:showSerName val="0"/>
          <c:showPercent val="0"/>
          <c:showBubbleSize val="0"/>
        </c:dLbls>
        <c:axId val="103674240"/>
        <c:axId val="104182528"/>
      </c:scatterChart>
      <c:valAx>
        <c:axId val="103674240"/>
        <c:scaling>
          <c:orientation val="minMax"/>
          <c:max val="10"/>
          <c:min val="0"/>
        </c:scaling>
        <c:delete val="0"/>
        <c:axPos val="b"/>
        <c:majorGridlines/>
        <c:title>
          <c:tx>
            <c:rich>
              <a:bodyPr/>
              <a:lstStyle/>
              <a:p>
                <a:pPr>
                  <a:defRPr/>
                </a:pPr>
                <a:r>
                  <a:rPr lang="en-GB"/>
                  <a:t>Bed</a:t>
                </a:r>
                <a:r>
                  <a:rPr lang="en-GB" baseline="0"/>
                  <a:t> Slope</a:t>
                </a:r>
                <a:r>
                  <a:rPr lang="en-GB"/>
                  <a:t> (%)</a:t>
                </a:r>
              </a:p>
            </c:rich>
          </c:tx>
          <c:layout>
            <c:manualLayout>
              <c:xMode val="edge"/>
              <c:yMode val="edge"/>
              <c:x val="0.41101970063589249"/>
              <c:y val="0.95554253392744515"/>
            </c:manualLayout>
          </c:layout>
          <c:overlay val="0"/>
        </c:title>
        <c:numFmt formatCode="General" sourceLinked="1"/>
        <c:majorTickMark val="out"/>
        <c:minorTickMark val="none"/>
        <c:tickLblPos val="nextTo"/>
        <c:crossAx val="104182528"/>
        <c:crosses val="autoZero"/>
        <c:crossBetween val="midCat"/>
      </c:valAx>
      <c:valAx>
        <c:axId val="104182528"/>
        <c:scaling>
          <c:orientation val="minMax"/>
        </c:scaling>
        <c:delete val="0"/>
        <c:axPos val="l"/>
        <c:majorGridlines/>
        <c:title>
          <c:tx>
            <c:rich>
              <a:bodyPr rot="-5400000" vert="horz"/>
              <a:lstStyle/>
              <a:p>
                <a:pPr>
                  <a:defRPr/>
                </a:pPr>
                <a:r>
                  <a:rPr lang="en-GB"/>
                  <a:t>Flow (l/s)</a:t>
                </a:r>
              </a:p>
            </c:rich>
          </c:tx>
          <c:layout>
            <c:manualLayout>
              <c:xMode val="edge"/>
              <c:yMode val="edge"/>
              <c:x val="6.7911714770797962E-3"/>
              <c:y val="0.39406437567397096"/>
            </c:manualLayout>
          </c:layout>
          <c:overlay val="0"/>
        </c:title>
        <c:numFmt formatCode="#,##0" sourceLinked="0"/>
        <c:majorTickMark val="out"/>
        <c:minorTickMark val="none"/>
        <c:tickLblPos val="nextTo"/>
        <c:crossAx val="103674240"/>
        <c:crosses val="autoZero"/>
        <c:crossBetween val="midCat"/>
      </c:valAx>
      <c:spPr>
        <a:solidFill>
          <a:schemeClr val="bg1"/>
        </a:solidFill>
      </c:spPr>
    </c:plotArea>
    <c:plotVisOnly val="0"/>
    <c:dispBlanksAs val="gap"/>
    <c:showDLblsOverMax val="0"/>
  </c:chart>
  <c:spPr>
    <a:solidFill>
      <a:schemeClr val="bg1">
        <a:lumMod val="95000"/>
      </a:schemeClr>
    </a:solidFill>
    <a:ln w="19050">
      <a:solidFill>
        <a:srgbClr val="0033CC"/>
      </a:solid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0</xdr:colOff>
      <xdr:row>25</xdr:row>
      <xdr:rowOff>64214</xdr:rowOff>
    </xdr:from>
    <xdr:to>
      <xdr:col>10</xdr:col>
      <xdr:colOff>11616</xdr:colOff>
      <xdr:row>44</xdr:row>
      <xdr:rowOff>149831</xdr:rowOff>
    </xdr:to>
    <xdr:graphicFrame macro="">
      <xdr:nvGraphicFramePr>
        <xdr:cNvPr id="2" name="Chart 2">
          <a:extLst>
            <a:ext uri="{FF2B5EF4-FFF2-40B4-BE49-F238E27FC236}">
              <a16:creationId xmlns:a16="http://schemas.microsoft.com/office/drawing/2014/main" id="{2B8C3FB1-6CE1-41BB-876A-63B11B37E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438792</xdr:colOff>
      <xdr:row>9</xdr:row>
      <xdr:rowOff>42809</xdr:rowOff>
    </xdr:from>
    <xdr:to>
      <xdr:col>3</xdr:col>
      <xdr:colOff>713112</xdr:colOff>
      <xdr:row>9</xdr:row>
      <xdr:rowOff>179969</xdr:rowOff>
    </xdr:to>
    <xdr:sp macro="" textlink="">
      <xdr:nvSpPr>
        <xdr:cNvPr id="3" name="ลูกศร: โค้ง 2">
          <a:extLst>
            <a:ext uri="{FF2B5EF4-FFF2-40B4-BE49-F238E27FC236}">
              <a16:creationId xmlns:a16="http://schemas.microsoft.com/office/drawing/2014/main" id="{18AB6292-0697-4D45-A54F-13ADA339497B}"/>
            </a:ext>
          </a:extLst>
        </xdr:cNvPr>
        <xdr:cNvSpPr/>
      </xdr:nvSpPr>
      <xdr:spPr>
        <a:xfrm rot="5400000">
          <a:off x="2155197" y="1755404"/>
          <a:ext cx="137160" cy="274320"/>
        </a:xfrm>
        <a:prstGeom prst="bentArrow">
          <a:avLst/>
        </a:prstGeom>
        <a:solidFill>
          <a:schemeClr val="accent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0</xdr:colOff>
      <xdr:row>13</xdr:row>
      <xdr:rowOff>140862</xdr:rowOff>
    </xdr:from>
    <xdr:to>
      <xdr:col>6</xdr:col>
      <xdr:colOff>20124</xdr:colOff>
      <xdr:row>17</xdr:row>
      <xdr:rowOff>107324</xdr:rowOff>
    </xdr:to>
    <mc:AlternateContent xmlns:mc="http://schemas.openxmlformats.org/markup-compatibility/2006" xmlns:a14="http://schemas.microsoft.com/office/drawing/2010/main">
      <mc:Choice Requires="a14">
        <xdr:sp macro="" textlink="">
          <xdr:nvSpPr>
            <xdr:cNvPr id="4" name="กล่องข้อความ 3">
              <a:extLst>
                <a:ext uri="{FF2B5EF4-FFF2-40B4-BE49-F238E27FC236}">
                  <a16:creationId xmlns:a16="http://schemas.microsoft.com/office/drawing/2014/main" id="{3CE1EBF8-67B7-479C-9652-A5B477538004}"/>
                </a:ext>
              </a:extLst>
            </xdr:cNvPr>
            <xdr:cNvSpPr txBox="1"/>
          </xdr:nvSpPr>
          <xdr:spPr>
            <a:xfrm>
              <a:off x="361950" y="2722137"/>
              <a:ext cx="3611049" cy="76656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400" b="0" i="1" kern="0" spc="500" baseline="0">
                        <a:solidFill>
                          <a:schemeClr val="dk1"/>
                        </a:solidFill>
                        <a:effectLst/>
                        <a:latin typeface="Cambria Math" panose="02040503050406030204" pitchFamily="18" charset="0"/>
                        <a:ea typeface="+mn-ea"/>
                        <a:cs typeface="+mn-cs"/>
                      </a:rPr>
                      <m:t>𝑄</m:t>
                    </m:r>
                    <m:r>
                      <a:rPr lang="en-US" sz="1400" b="0" i="1" kern="0" spc="500" baseline="0">
                        <a:solidFill>
                          <a:schemeClr val="dk1"/>
                        </a:solidFill>
                        <a:effectLst/>
                        <a:latin typeface="Cambria Math" panose="02040503050406030204" pitchFamily="18" charset="0"/>
                        <a:ea typeface="+mn-ea"/>
                        <a:cs typeface="+mn-cs"/>
                      </a:rPr>
                      <m:t>=</m:t>
                    </m:r>
                    <m:d>
                      <m:dPr>
                        <m:ctrlPr>
                          <a:rPr lang="en-US" sz="1400" b="0" i="1" kern="0" spc="500" baseline="0">
                            <a:solidFill>
                              <a:schemeClr val="dk1"/>
                            </a:solidFill>
                            <a:effectLst/>
                            <a:latin typeface="Cambria Math" panose="02040503050406030204" pitchFamily="18" charset="0"/>
                            <a:ea typeface="+mn-ea"/>
                            <a:cs typeface="+mn-cs"/>
                          </a:rPr>
                        </m:ctrlPr>
                      </m:dPr>
                      <m:e>
                        <m:f>
                          <m:fPr>
                            <m:ctrlPr>
                              <a:rPr lang="en-US" sz="1400" b="0" i="1" kern="0" spc="500" baseline="0">
                                <a:solidFill>
                                  <a:schemeClr val="dk1"/>
                                </a:solidFill>
                                <a:effectLst/>
                                <a:latin typeface="Cambria Math" panose="02040503050406030204" pitchFamily="18" charset="0"/>
                                <a:ea typeface="+mn-ea"/>
                                <a:cs typeface="+mn-cs"/>
                              </a:rPr>
                            </m:ctrlPr>
                          </m:fPr>
                          <m:num>
                            <m:r>
                              <a:rPr lang="en-US" sz="1400" b="0" i="1" kern="0" spc="500" baseline="0">
                                <a:solidFill>
                                  <a:schemeClr val="dk1"/>
                                </a:solidFill>
                                <a:effectLst/>
                                <a:latin typeface="Cambria Math" panose="02040503050406030204" pitchFamily="18" charset="0"/>
                                <a:ea typeface="+mn-ea"/>
                                <a:cs typeface="+mn-cs"/>
                              </a:rPr>
                              <m:t>1</m:t>
                            </m:r>
                          </m:num>
                          <m:den>
                            <m:r>
                              <a:rPr lang="en-US" sz="1400" b="0" i="1" kern="0" spc="500" baseline="0">
                                <a:solidFill>
                                  <a:schemeClr val="dk1"/>
                                </a:solidFill>
                                <a:effectLst/>
                                <a:latin typeface="Cambria Math" panose="02040503050406030204" pitchFamily="18" charset="0"/>
                                <a:ea typeface="+mn-ea"/>
                                <a:cs typeface="+mn-cs"/>
                              </a:rPr>
                              <m:t>𝑛</m:t>
                            </m:r>
                          </m:den>
                        </m:f>
                        <m:r>
                          <a:rPr lang="en-US" sz="1400" b="0" i="1" kern="0" spc="500" baseline="0">
                            <a:solidFill>
                              <a:schemeClr val="dk1"/>
                            </a:solidFill>
                            <a:effectLst/>
                            <a:latin typeface="Cambria Math" panose="02040503050406030204" pitchFamily="18" charset="0"/>
                            <a:ea typeface="+mn-ea"/>
                            <a:cs typeface="+mn-cs"/>
                          </a:rPr>
                          <m:t> </m:t>
                        </m:r>
                        <m:sSup>
                          <m:sSupPr>
                            <m:ctrlPr>
                              <a:rPr lang="en-US" sz="1400" b="0" i="1" kern="0" spc="500" baseline="0">
                                <a:solidFill>
                                  <a:schemeClr val="dk1"/>
                                </a:solidFill>
                                <a:effectLst/>
                                <a:latin typeface="Cambria Math" panose="02040503050406030204" pitchFamily="18" charset="0"/>
                                <a:ea typeface="+mn-ea"/>
                                <a:cs typeface="+mn-cs"/>
                              </a:rPr>
                            </m:ctrlPr>
                          </m:sSupPr>
                          <m:e>
                            <m:d>
                              <m:dPr>
                                <m:begChr m:val="["/>
                                <m:endChr m:val="]"/>
                                <m:ctrlPr>
                                  <a:rPr lang="en-US" sz="1400" b="0" i="1" kern="0" spc="500" baseline="0">
                                    <a:solidFill>
                                      <a:schemeClr val="dk1"/>
                                    </a:solidFill>
                                    <a:effectLst/>
                                    <a:latin typeface="Cambria Math" panose="02040503050406030204" pitchFamily="18" charset="0"/>
                                    <a:ea typeface="+mn-ea"/>
                                    <a:cs typeface="+mn-cs"/>
                                  </a:rPr>
                                </m:ctrlPr>
                              </m:dPr>
                              <m:e>
                                <m:f>
                                  <m:fPr>
                                    <m:ctrlPr>
                                      <a:rPr lang="en-US" sz="1400" b="0" i="1" kern="0" spc="500" baseline="0">
                                        <a:solidFill>
                                          <a:schemeClr val="dk1"/>
                                        </a:solidFill>
                                        <a:effectLst/>
                                        <a:latin typeface="Cambria Math" panose="02040503050406030204" pitchFamily="18" charset="0"/>
                                        <a:ea typeface="+mn-ea"/>
                                        <a:cs typeface="+mn-cs"/>
                                      </a:rPr>
                                    </m:ctrlPr>
                                  </m:fPr>
                                  <m:num>
                                    <m:r>
                                      <a:rPr lang="en-US" sz="1400" b="0" i="1" kern="0" spc="500" baseline="0">
                                        <a:solidFill>
                                          <a:schemeClr val="dk1"/>
                                        </a:solidFill>
                                        <a:effectLst/>
                                        <a:latin typeface="Cambria Math" panose="02040503050406030204" pitchFamily="18" charset="0"/>
                                        <a:ea typeface="+mn-ea"/>
                                        <a:cs typeface="+mn-cs"/>
                                      </a:rPr>
                                      <m:t>𝐴</m:t>
                                    </m:r>
                                  </m:num>
                                  <m:den>
                                    <m:r>
                                      <a:rPr lang="en-US" sz="1400" b="0" i="1" kern="0" spc="500" baseline="0">
                                        <a:solidFill>
                                          <a:schemeClr val="dk1"/>
                                        </a:solidFill>
                                        <a:effectLst/>
                                        <a:latin typeface="Cambria Math" panose="02040503050406030204" pitchFamily="18" charset="0"/>
                                        <a:ea typeface="+mn-ea"/>
                                        <a:cs typeface="+mn-cs"/>
                                      </a:rPr>
                                      <m:t>𝑃</m:t>
                                    </m:r>
                                  </m:den>
                                </m:f>
                              </m:e>
                            </m:d>
                          </m:e>
                          <m:sup>
                            <m:f>
                              <m:fPr>
                                <m:type m:val="lin"/>
                                <m:ctrlPr>
                                  <a:rPr lang="en-US" sz="1400" b="0" i="1" kern="0" spc="500" baseline="0">
                                    <a:solidFill>
                                      <a:schemeClr val="dk1"/>
                                    </a:solidFill>
                                    <a:effectLst/>
                                    <a:latin typeface="Cambria Math" panose="02040503050406030204" pitchFamily="18" charset="0"/>
                                    <a:ea typeface="+mn-ea"/>
                                    <a:cs typeface="+mn-cs"/>
                                  </a:rPr>
                                </m:ctrlPr>
                              </m:fPr>
                              <m:num>
                                <m:r>
                                  <a:rPr lang="en-US" sz="1400" b="0" i="1" kern="0" spc="500" baseline="0">
                                    <a:solidFill>
                                      <a:schemeClr val="dk1"/>
                                    </a:solidFill>
                                    <a:effectLst/>
                                    <a:latin typeface="Cambria Math" panose="02040503050406030204" pitchFamily="18" charset="0"/>
                                    <a:ea typeface="+mn-ea"/>
                                    <a:cs typeface="+mn-cs"/>
                                  </a:rPr>
                                  <m:t>2</m:t>
                                </m:r>
                              </m:num>
                              <m:den>
                                <m:r>
                                  <a:rPr lang="en-US" sz="1400" b="0" i="1" kern="0" spc="500" baseline="0">
                                    <a:solidFill>
                                      <a:schemeClr val="dk1"/>
                                    </a:solidFill>
                                    <a:effectLst/>
                                    <a:latin typeface="Cambria Math" panose="02040503050406030204" pitchFamily="18" charset="0"/>
                                    <a:ea typeface="+mn-ea"/>
                                    <a:cs typeface="+mn-cs"/>
                                  </a:rPr>
                                  <m:t>3</m:t>
                                </m:r>
                              </m:den>
                            </m:f>
                          </m:sup>
                        </m:sSup>
                        <m:rad>
                          <m:radPr>
                            <m:degHide m:val="on"/>
                            <m:ctrlPr>
                              <a:rPr lang="en-US" sz="1400" b="0" i="1" kern="0" spc="500" baseline="0">
                                <a:solidFill>
                                  <a:schemeClr val="dk1"/>
                                </a:solidFill>
                                <a:effectLst/>
                                <a:latin typeface="Cambria Math" panose="02040503050406030204" pitchFamily="18" charset="0"/>
                                <a:ea typeface="+mn-ea"/>
                                <a:cs typeface="+mn-cs"/>
                              </a:rPr>
                            </m:ctrlPr>
                          </m:radPr>
                          <m:deg/>
                          <m:e>
                            <m:r>
                              <a:rPr lang="en-US" sz="1400" b="0" i="1" kern="0" spc="500" baseline="0">
                                <a:solidFill>
                                  <a:schemeClr val="dk1"/>
                                </a:solidFill>
                                <a:effectLst/>
                                <a:latin typeface="Cambria Math" panose="02040503050406030204" pitchFamily="18" charset="0"/>
                                <a:ea typeface="+mn-ea"/>
                                <a:cs typeface="+mn-cs"/>
                              </a:rPr>
                              <m:t>𝑆</m:t>
                            </m:r>
                          </m:e>
                        </m:rad>
                      </m:e>
                    </m:d>
                    <m:r>
                      <a:rPr lang="en-US" sz="1400" b="0" i="1" kern="0" spc="500" baseline="0">
                        <a:solidFill>
                          <a:schemeClr val="dk1"/>
                        </a:solidFill>
                        <a:effectLst/>
                        <a:latin typeface="Cambria Math" panose="02040503050406030204" pitchFamily="18" charset="0"/>
                        <a:ea typeface="+mn-ea"/>
                        <a:cs typeface="+mn-cs"/>
                      </a:rPr>
                      <m:t>𝐴</m:t>
                    </m:r>
                  </m:oMath>
                </m:oMathPara>
              </a14:m>
              <a:endParaRPr lang="en-US" sz="1400" kern="0" spc="500" baseline="0">
                <a:effectLst/>
              </a:endParaRPr>
            </a:p>
            <a:p>
              <a:endParaRPr lang="en-US" sz="1100"/>
            </a:p>
          </xdr:txBody>
        </xdr:sp>
      </mc:Choice>
      <mc:Fallback xmlns="">
        <xdr:sp macro="" textlink="">
          <xdr:nvSpPr>
            <xdr:cNvPr id="4" name="กล่องข้อความ 3">
              <a:extLst>
                <a:ext uri="{FF2B5EF4-FFF2-40B4-BE49-F238E27FC236}">
                  <a16:creationId xmlns:a16="http://schemas.microsoft.com/office/drawing/2014/main" id="{3CE1EBF8-67B7-479C-9652-A5B477538004}"/>
                </a:ext>
              </a:extLst>
            </xdr:cNvPr>
            <xdr:cNvSpPr txBox="1"/>
          </xdr:nvSpPr>
          <xdr:spPr>
            <a:xfrm>
              <a:off x="361950" y="2722137"/>
              <a:ext cx="3611049" cy="76656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b="0" i="0" kern="0" spc="500" baseline="0">
                  <a:solidFill>
                    <a:schemeClr val="dk1"/>
                  </a:solidFill>
                  <a:effectLst/>
                  <a:latin typeface="+mn-lt"/>
                  <a:ea typeface="+mn-ea"/>
                  <a:cs typeface="+mn-cs"/>
                </a:rPr>
                <a:t>𝑄=(1/𝑛  [𝐴/𝑃]^(2∕3) √𝑆)𝐴</a:t>
              </a:r>
              <a:endParaRPr lang="en-US" sz="1400" kern="0" spc="500" baseline="0">
                <a:effectLst/>
              </a:endParaRPr>
            </a:p>
            <a:p>
              <a:endParaRPr lang="en-US" sz="1100"/>
            </a:p>
          </xdr:txBody>
        </xdr:sp>
      </mc:Fallback>
    </mc:AlternateContent>
    <xdr:clientData/>
  </xdr:twoCellAnchor>
  <xdr:twoCellAnchor editAs="absolute">
    <xdr:from>
      <xdr:col>6</xdr:col>
      <xdr:colOff>63500</xdr:colOff>
      <xdr:row>6</xdr:row>
      <xdr:rowOff>101600</xdr:rowOff>
    </xdr:from>
    <xdr:to>
      <xdr:col>10</xdr:col>
      <xdr:colOff>54085</xdr:colOff>
      <xdr:row>15</xdr:row>
      <xdr:rowOff>501</xdr:rowOff>
    </xdr:to>
    <xdr:pic>
      <xdr:nvPicPr>
        <xdr:cNvPr id="6" name="รูปภาพ 5">
          <a:extLst>
            <a:ext uri="{FF2B5EF4-FFF2-40B4-BE49-F238E27FC236}">
              <a16:creationId xmlns:a16="http://schemas.microsoft.com/office/drawing/2014/main" id="{8FB4D776-C67C-4C81-AA6F-680A42DE149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762" t="35434" r="37145" b="5254"/>
        <a:stretch/>
      </xdr:blipFill>
      <xdr:spPr>
        <a:xfrm>
          <a:off x="4025900" y="1295400"/>
          <a:ext cx="2327385" cy="1727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39384</xdr:colOff>
      <xdr:row>6</xdr:row>
      <xdr:rowOff>193114</xdr:rowOff>
    </xdr:from>
    <xdr:to>
      <xdr:col>10</xdr:col>
      <xdr:colOff>54642</xdr:colOff>
      <xdr:row>13</xdr:row>
      <xdr:rowOff>188299</xdr:rowOff>
    </xdr:to>
    <xdr:pic>
      <xdr:nvPicPr>
        <xdr:cNvPr id="6" name="รูปภาพ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575" t="24148" r="16576" b="15057"/>
        <a:stretch/>
      </xdr:blipFill>
      <xdr:spPr>
        <a:xfrm>
          <a:off x="3985455" y="1365422"/>
          <a:ext cx="2349407" cy="1387300"/>
        </a:xfrm>
        <a:prstGeom prst="rect">
          <a:avLst/>
        </a:prstGeom>
      </xdr:spPr>
    </xdr:pic>
    <xdr:clientData/>
  </xdr:twoCellAnchor>
  <xdr:twoCellAnchor>
    <xdr:from>
      <xdr:col>2</xdr:col>
      <xdr:colOff>0</xdr:colOff>
      <xdr:row>25</xdr:row>
      <xdr:rowOff>64214</xdr:rowOff>
    </xdr:from>
    <xdr:to>
      <xdr:col>10</xdr:col>
      <xdr:colOff>11616</xdr:colOff>
      <xdr:row>44</xdr:row>
      <xdr:rowOff>149831</xdr:rowOff>
    </xdr:to>
    <xdr:graphicFrame macro="">
      <xdr:nvGraphicFramePr>
        <xdr:cNvPr id="8" name="Chart 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438792</xdr:colOff>
      <xdr:row>10</xdr:row>
      <xdr:rowOff>42809</xdr:rowOff>
    </xdr:from>
    <xdr:to>
      <xdr:col>3</xdr:col>
      <xdr:colOff>713112</xdr:colOff>
      <xdr:row>10</xdr:row>
      <xdr:rowOff>179969</xdr:rowOff>
    </xdr:to>
    <xdr:sp macro="" textlink="">
      <xdr:nvSpPr>
        <xdr:cNvPr id="9" name="ลูกศร: โค้ง 8">
          <a:extLst>
            <a:ext uri="{FF2B5EF4-FFF2-40B4-BE49-F238E27FC236}">
              <a16:creationId xmlns:a16="http://schemas.microsoft.com/office/drawing/2014/main" id="{00000000-0008-0000-0200-000009000000}"/>
            </a:ext>
          </a:extLst>
        </xdr:cNvPr>
        <xdr:cNvSpPr/>
      </xdr:nvSpPr>
      <xdr:spPr>
        <a:xfrm rot="5400000">
          <a:off x="1823748" y="1943442"/>
          <a:ext cx="137160" cy="274320"/>
        </a:xfrm>
        <a:prstGeom prst="bentArrow">
          <a:avLst/>
        </a:prstGeom>
        <a:solidFill>
          <a:schemeClr val="accent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0</xdr:colOff>
      <xdr:row>14</xdr:row>
      <xdr:rowOff>140862</xdr:rowOff>
    </xdr:from>
    <xdr:to>
      <xdr:col>6</xdr:col>
      <xdr:colOff>20124</xdr:colOff>
      <xdr:row>18</xdr:row>
      <xdr:rowOff>107324</xdr:rowOff>
    </xdr:to>
    <mc:AlternateContent xmlns:mc="http://schemas.openxmlformats.org/markup-compatibility/2006" xmlns:a14="http://schemas.microsoft.com/office/drawing/2010/main">
      <mc:Choice Requires="a14">
        <xdr:sp macro="" textlink="">
          <xdr:nvSpPr>
            <xdr:cNvPr id="3" name="กล่องข้อความ 2">
              <a:extLst>
                <a:ext uri="{FF2B5EF4-FFF2-40B4-BE49-F238E27FC236}">
                  <a16:creationId xmlns:a16="http://schemas.microsoft.com/office/drawing/2014/main" id="{651748BC-8272-462E-B648-73691591A30F}"/>
                </a:ext>
              </a:extLst>
            </xdr:cNvPr>
            <xdr:cNvSpPr txBox="1"/>
          </xdr:nvSpPr>
          <xdr:spPr>
            <a:xfrm>
              <a:off x="362218" y="2931285"/>
              <a:ext cx="3615476" cy="77139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400" b="0" i="1" kern="0" spc="500" baseline="0">
                        <a:solidFill>
                          <a:schemeClr val="dk1"/>
                        </a:solidFill>
                        <a:effectLst/>
                        <a:latin typeface="Cambria Math" panose="02040503050406030204" pitchFamily="18" charset="0"/>
                        <a:ea typeface="+mn-ea"/>
                        <a:cs typeface="+mn-cs"/>
                      </a:rPr>
                      <m:t>𝑄</m:t>
                    </m:r>
                    <m:r>
                      <a:rPr lang="en-US" sz="1400" b="0" i="1" kern="0" spc="500" baseline="0">
                        <a:solidFill>
                          <a:schemeClr val="dk1"/>
                        </a:solidFill>
                        <a:effectLst/>
                        <a:latin typeface="Cambria Math" panose="02040503050406030204" pitchFamily="18" charset="0"/>
                        <a:ea typeface="+mn-ea"/>
                        <a:cs typeface="+mn-cs"/>
                      </a:rPr>
                      <m:t>=</m:t>
                    </m:r>
                    <m:d>
                      <m:dPr>
                        <m:ctrlPr>
                          <a:rPr lang="en-US" sz="1400" b="0" i="1" kern="0" spc="500" baseline="0">
                            <a:solidFill>
                              <a:schemeClr val="dk1"/>
                            </a:solidFill>
                            <a:effectLst/>
                            <a:latin typeface="Cambria Math" panose="02040503050406030204" pitchFamily="18" charset="0"/>
                            <a:ea typeface="+mn-ea"/>
                            <a:cs typeface="+mn-cs"/>
                          </a:rPr>
                        </m:ctrlPr>
                      </m:dPr>
                      <m:e>
                        <m:f>
                          <m:fPr>
                            <m:ctrlPr>
                              <a:rPr lang="en-US" sz="1400" b="0" i="1" kern="0" spc="500" baseline="0">
                                <a:solidFill>
                                  <a:schemeClr val="dk1"/>
                                </a:solidFill>
                                <a:effectLst/>
                                <a:latin typeface="Cambria Math" panose="02040503050406030204" pitchFamily="18" charset="0"/>
                                <a:ea typeface="+mn-ea"/>
                                <a:cs typeface="+mn-cs"/>
                              </a:rPr>
                            </m:ctrlPr>
                          </m:fPr>
                          <m:num>
                            <m:r>
                              <a:rPr lang="en-US" sz="1400" b="0" i="1" kern="0" spc="500" baseline="0">
                                <a:solidFill>
                                  <a:schemeClr val="dk1"/>
                                </a:solidFill>
                                <a:effectLst/>
                                <a:latin typeface="Cambria Math" panose="02040503050406030204" pitchFamily="18" charset="0"/>
                                <a:ea typeface="+mn-ea"/>
                                <a:cs typeface="+mn-cs"/>
                              </a:rPr>
                              <m:t>1</m:t>
                            </m:r>
                          </m:num>
                          <m:den>
                            <m:r>
                              <a:rPr lang="en-US" sz="1400" b="0" i="1" kern="0" spc="500" baseline="0">
                                <a:solidFill>
                                  <a:schemeClr val="dk1"/>
                                </a:solidFill>
                                <a:effectLst/>
                                <a:latin typeface="Cambria Math" panose="02040503050406030204" pitchFamily="18" charset="0"/>
                                <a:ea typeface="+mn-ea"/>
                                <a:cs typeface="+mn-cs"/>
                              </a:rPr>
                              <m:t>𝑛</m:t>
                            </m:r>
                          </m:den>
                        </m:f>
                        <m:r>
                          <a:rPr lang="en-US" sz="1400" b="0" i="1" kern="0" spc="500" baseline="0">
                            <a:solidFill>
                              <a:schemeClr val="dk1"/>
                            </a:solidFill>
                            <a:effectLst/>
                            <a:latin typeface="Cambria Math" panose="02040503050406030204" pitchFamily="18" charset="0"/>
                            <a:ea typeface="+mn-ea"/>
                            <a:cs typeface="+mn-cs"/>
                          </a:rPr>
                          <m:t> </m:t>
                        </m:r>
                        <m:sSup>
                          <m:sSupPr>
                            <m:ctrlPr>
                              <a:rPr lang="en-US" sz="1400" b="0" i="1" kern="0" spc="500" baseline="0">
                                <a:solidFill>
                                  <a:schemeClr val="dk1"/>
                                </a:solidFill>
                                <a:effectLst/>
                                <a:latin typeface="Cambria Math" panose="02040503050406030204" pitchFamily="18" charset="0"/>
                                <a:ea typeface="+mn-ea"/>
                                <a:cs typeface="+mn-cs"/>
                              </a:rPr>
                            </m:ctrlPr>
                          </m:sSupPr>
                          <m:e>
                            <m:d>
                              <m:dPr>
                                <m:begChr m:val="["/>
                                <m:endChr m:val="]"/>
                                <m:ctrlPr>
                                  <a:rPr lang="en-US" sz="1400" b="0" i="1" kern="0" spc="500" baseline="0">
                                    <a:solidFill>
                                      <a:schemeClr val="dk1"/>
                                    </a:solidFill>
                                    <a:effectLst/>
                                    <a:latin typeface="Cambria Math" panose="02040503050406030204" pitchFamily="18" charset="0"/>
                                    <a:ea typeface="+mn-ea"/>
                                    <a:cs typeface="+mn-cs"/>
                                  </a:rPr>
                                </m:ctrlPr>
                              </m:dPr>
                              <m:e>
                                <m:f>
                                  <m:fPr>
                                    <m:ctrlPr>
                                      <a:rPr lang="en-US" sz="1400" b="0" i="1" kern="0" spc="500" baseline="0">
                                        <a:solidFill>
                                          <a:schemeClr val="dk1"/>
                                        </a:solidFill>
                                        <a:effectLst/>
                                        <a:latin typeface="Cambria Math" panose="02040503050406030204" pitchFamily="18" charset="0"/>
                                        <a:ea typeface="+mn-ea"/>
                                        <a:cs typeface="+mn-cs"/>
                                      </a:rPr>
                                    </m:ctrlPr>
                                  </m:fPr>
                                  <m:num>
                                    <m:r>
                                      <a:rPr lang="en-US" sz="1400" b="0" i="1" kern="0" spc="500" baseline="0">
                                        <a:solidFill>
                                          <a:schemeClr val="dk1"/>
                                        </a:solidFill>
                                        <a:effectLst/>
                                        <a:latin typeface="Cambria Math" panose="02040503050406030204" pitchFamily="18" charset="0"/>
                                        <a:ea typeface="+mn-ea"/>
                                        <a:cs typeface="+mn-cs"/>
                                      </a:rPr>
                                      <m:t>𝐴</m:t>
                                    </m:r>
                                  </m:num>
                                  <m:den>
                                    <m:r>
                                      <a:rPr lang="en-US" sz="1400" b="0" i="1" kern="0" spc="500" baseline="0">
                                        <a:solidFill>
                                          <a:schemeClr val="dk1"/>
                                        </a:solidFill>
                                        <a:effectLst/>
                                        <a:latin typeface="Cambria Math" panose="02040503050406030204" pitchFamily="18" charset="0"/>
                                        <a:ea typeface="+mn-ea"/>
                                        <a:cs typeface="+mn-cs"/>
                                      </a:rPr>
                                      <m:t>𝑃</m:t>
                                    </m:r>
                                  </m:den>
                                </m:f>
                              </m:e>
                            </m:d>
                          </m:e>
                          <m:sup>
                            <m:f>
                              <m:fPr>
                                <m:type m:val="lin"/>
                                <m:ctrlPr>
                                  <a:rPr lang="en-US" sz="1400" b="0" i="1" kern="0" spc="500" baseline="0">
                                    <a:solidFill>
                                      <a:schemeClr val="dk1"/>
                                    </a:solidFill>
                                    <a:effectLst/>
                                    <a:latin typeface="Cambria Math" panose="02040503050406030204" pitchFamily="18" charset="0"/>
                                    <a:ea typeface="+mn-ea"/>
                                    <a:cs typeface="+mn-cs"/>
                                  </a:rPr>
                                </m:ctrlPr>
                              </m:fPr>
                              <m:num>
                                <m:r>
                                  <a:rPr lang="en-US" sz="1400" b="0" i="1" kern="0" spc="500" baseline="0">
                                    <a:solidFill>
                                      <a:schemeClr val="dk1"/>
                                    </a:solidFill>
                                    <a:effectLst/>
                                    <a:latin typeface="Cambria Math" panose="02040503050406030204" pitchFamily="18" charset="0"/>
                                    <a:ea typeface="+mn-ea"/>
                                    <a:cs typeface="+mn-cs"/>
                                  </a:rPr>
                                  <m:t>2</m:t>
                                </m:r>
                              </m:num>
                              <m:den>
                                <m:r>
                                  <a:rPr lang="en-US" sz="1400" b="0" i="1" kern="0" spc="500" baseline="0">
                                    <a:solidFill>
                                      <a:schemeClr val="dk1"/>
                                    </a:solidFill>
                                    <a:effectLst/>
                                    <a:latin typeface="Cambria Math" panose="02040503050406030204" pitchFamily="18" charset="0"/>
                                    <a:ea typeface="+mn-ea"/>
                                    <a:cs typeface="+mn-cs"/>
                                  </a:rPr>
                                  <m:t>3</m:t>
                                </m:r>
                              </m:den>
                            </m:f>
                          </m:sup>
                        </m:sSup>
                        <m:rad>
                          <m:radPr>
                            <m:degHide m:val="on"/>
                            <m:ctrlPr>
                              <a:rPr lang="en-US" sz="1400" b="0" i="1" kern="0" spc="500" baseline="0">
                                <a:solidFill>
                                  <a:schemeClr val="dk1"/>
                                </a:solidFill>
                                <a:effectLst/>
                                <a:latin typeface="Cambria Math" panose="02040503050406030204" pitchFamily="18" charset="0"/>
                                <a:ea typeface="+mn-ea"/>
                                <a:cs typeface="+mn-cs"/>
                              </a:rPr>
                            </m:ctrlPr>
                          </m:radPr>
                          <m:deg/>
                          <m:e>
                            <m:r>
                              <a:rPr lang="en-US" sz="1400" b="0" i="1" kern="0" spc="500" baseline="0">
                                <a:solidFill>
                                  <a:schemeClr val="dk1"/>
                                </a:solidFill>
                                <a:effectLst/>
                                <a:latin typeface="Cambria Math" panose="02040503050406030204" pitchFamily="18" charset="0"/>
                                <a:ea typeface="+mn-ea"/>
                                <a:cs typeface="+mn-cs"/>
                              </a:rPr>
                              <m:t>𝑆</m:t>
                            </m:r>
                          </m:e>
                        </m:rad>
                      </m:e>
                    </m:d>
                    <m:r>
                      <a:rPr lang="en-US" sz="1400" b="0" i="1" kern="0" spc="500" baseline="0">
                        <a:solidFill>
                          <a:schemeClr val="dk1"/>
                        </a:solidFill>
                        <a:effectLst/>
                        <a:latin typeface="Cambria Math" panose="02040503050406030204" pitchFamily="18" charset="0"/>
                        <a:ea typeface="+mn-ea"/>
                        <a:cs typeface="+mn-cs"/>
                      </a:rPr>
                      <m:t>𝐴</m:t>
                    </m:r>
                  </m:oMath>
                </m:oMathPara>
              </a14:m>
              <a:endParaRPr lang="en-US" sz="1400" kern="0" spc="500" baseline="0">
                <a:effectLst/>
              </a:endParaRPr>
            </a:p>
            <a:p>
              <a:endParaRPr lang="en-US" sz="1100"/>
            </a:p>
          </xdr:txBody>
        </xdr:sp>
      </mc:Choice>
      <mc:Fallback xmlns="">
        <xdr:sp macro="" textlink="">
          <xdr:nvSpPr>
            <xdr:cNvPr id="3" name="กล่องข้อความ 2">
              <a:extLst>
                <a:ext uri="{FF2B5EF4-FFF2-40B4-BE49-F238E27FC236}">
                  <a16:creationId xmlns:a16="http://schemas.microsoft.com/office/drawing/2014/main" id="{651748BC-8272-462E-B648-73691591A30F}"/>
                </a:ext>
              </a:extLst>
            </xdr:cNvPr>
            <xdr:cNvSpPr txBox="1"/>
          </xdr:nvSpPr>
          <xdr:spPr>
            <a:xfrm>
              <a:off x="362218" y="2931285"/>
              <a:ext cx="3615476" cy="77139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b="0" i="0" kern="0" spc="500" baseline="0">
                  <a:solidFill>
                    <a:schemeClr val="dk1"/>
                  </a:solidFill>
                  <a:effectLst/>
                  <a:latin typeface="+mn-lt"/>
                  <a:ea typeface="+mn-ea"/>
                  <a:cs typeface="+mn-cs"/>
                </a:rPr>
                <a:t>𝑄=(1/𝑛  [𝐴/𝑃]^(2∕3) √𝑆)𝐴</a:t>
              </a:r>
              <a:endParaRPr lang="en-US" sz="1400" kern="0" spc="500" baseline="0">
                <a:effectLst/>
              </a:endParaRPr>
            </a:p>
            <a:p>
              <a:endParaRPr lang="en-US" sz="1100"/>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24</xdr:row>
      <xdr:rowOff>64214</xdr:rowOff>
    </xdr:from>
    <xdr:to>
      <xdr:col>10</xdr:col>
      <xdr:colOff>11616</xdr:colOff>
      <xdr:row>43</xdr:row>
      <xdr:rowOff>149831</xdr:rowOff>
    </xdr:to>
    <xdr:graphicFrame macro="">
      <xdr:nvGraphicFramePr>
        <xdr:cNvPr id="3" name="Chart 2">
          <a:extLst>
            <a:ext uri="{FF2B5EF4-FFF2-40B4-BE49-F238E27FC236}">
              <a16:creationId xmlns:a16="http://schemas.microsoft.com/office/drawing/2014/main" id="{B37CB72D-BE79-49E7-BA36-D9FCC5598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438792</xdr:colOff>
      <xdr:row>9</xdr:row>
      <xdr:rowOff>42809</xdr:rowOff>
    </xdr:from>
    <xdr:to>
      <xdr:col>3</xdr:col>
      <xdr:colOff>713112</xdr:colOff>
      <xdr:row>9</xdr:row>
      <xdr:rowOff>179969</xdr:rowOff>
    </xdr:to>
    <xdr:sp macro="" textlink="">
      <xdr:nvSpPr>
        <xdr:cNvPr id="4" name="ลูกศร: โค้ง 3">
          <a:extLst>
            <a:ext uri="{FF2B5EF4-FFF2-40B4-BE49-F238E27FC236}">
              <a16:creationId xmlns:a16="http://schemas.microsoft.com/office/drawing/2014/main" id="{B8B29FF0-9842-4EBF-BF55-3515641DC96D}"/>
            </a:ext>
          </a:extLst>
        </xdr:cNvPr>
        <xdr:cNvSpPr/>
      </xdr:nvSpPr>
      <xdr:spPr>
        <a:xfrm rot="5400000">
          <a:off x="2155197" y="1955429"/>
          <a:ext cx="137160" cy="274320"/>
        </a:xfrm>
        <a:prstGeom prst="bentArrow">
          <a:avLst/>
        </a:prstGeom>
        <a:solidFill>
          <a:schemeClr val="accent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0</xdr:colOff>
      <xdr:row>13</xdr:row>
      <xdr:rowOff>140862</xdr:rowOff>
    </xdr:from>
    <xdr:to>
      <xdr:col>6</xdr:col>
      <xdr:colOff>20124</xdr:colOff>
      <xdr:row>17</xdr:row>
      <xdr:rowOff>107324</xdr:rowOff>
    </xdr:to>
    <mc:AlternateContent xmlns:mc="http://schemas.openxmlformats.org/markup-compatibility/2006" xmlns:a14="http://schemas.microsoft.com/office/drawing/2010/main">
      <mc:Choice Requires="a14">
        <xdr:sp macro="" textlink="">
          <xdr:nvSpPr>
            <xdr:cNvPr id="5" name="กล่องข้อความ 4">
              <a:extLst>
                <a:ext uri="{FF2B5EF4-FFF2-40B4-BE49-F238E27FC236}">
                  <a16:creationId xmlns:a16="http://schemas.microsoft.com/office/drawing/2014/main" id="{FCBD8240-3D16-4AA2-A439-0CCBE3208A2D}"/>
                </a:ext>
              </a:extLst>
            </xdr:cNvPr>
            <xdr:cNvSpPr txBox="1"/>
          </xdr:nvSpPr>
          <xdr:spPr>
            <a:xfrm>
              <a:off x="361950" y="2922162"/>
              <a:ext cx="3611049" cy="76656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400" b="0" i="1" kern="0" spc="500" baseline="0">
                        <a:solidFill>
                          <a:schemeClr val="dk1"/>
                        </a:solidFill>
                        <a:effectLst/>
                        <a:latin typeface="Cambria Math" panose="02040503050406030204" pitchFamily="18" charset="0"/>
                        <a:ea typeface="+mn-ea"/>
                        <a:cs typeface="+mn-cs"/>
                      </a:rPr>
                      <m:t>𝑄</m:t>
                    </m:r>
                    <m:r>
                      <a:rPr lang="en-US" sz="1400" b="0" i="1" kern="0" spc="500" baseline="0">
                        <a:solidFill>
                          <a:schemeClr val="dk1"/>
                        </a:solidFill>
                        <a:effectLst/>
                        <a:latin typeface="Cambria Math" panose="02040503050406030204" pitchFamily="18" charset="0"/>
                        <a:ea typeface="+mn-ea"/>
                        <a:cs typeface="+mn-cs"/>
                      </a:rPr>
                      <m:t>=</m:t>
                    </m:r>
                    <m:d>
                      <m:dPr>
                        <m:ctrlPr>
                          <a:rPr lang="en-US" sz="1400" b="0" i="1" kern="0" spc="500" baseline="0">
                            <a:solidFill>
                              <a:schemeClr val="dk1"/>
                            </a:solidFill>
                            <a:effectLst/>
                            <a:latin typeface="Cambria Math" panose="02040503050406030204" pitchFamily="18" charset="0"/>
                            <a:ea typeface="+mn-ea"/>
                            <a:cs typeface="+mn-cs"/>
                          </a:rPr>
                        </m:ctrlPr>
                      </m:dPr>
                      <m:e>
                        <m:f>
                          <m:fPr>
                            <m:ctrlPr>
                              <a:rPr lang="en-US" sz="1400" b="0" i="1" kern="0" spc="500" baseline="0">
                                <a:solidFill>
                                  <a:schemeClr val="dk1"/>
                                </a:solidFill>
                                <a:effectLst/>
                                <a:latin typeface="Cambria Math" panose="02040503050406030204" pitchFamily="18" charset="0"/>
                                <a:ea typeface="+mn-ea"/>
                                <a:cs typeface="+mn-cs"/>
                              </a:rPr>
                            </m:ctrlPr>
                          </m:fPr>
                          <m:num>
                            <m:r>
                              <a:rPr lang="en-US" sz="1400" b="0" i="1" kern="0" spc="500" baseline="0">
                                <a:solidFill>
                                  <a:schemeClr val="dk1"/>
                                </a:solidFill>
                                <a:effectLst/>
                                <a:latin typeface="Cambria Math" panose="02040503050406030204" pitchFamily="18" charset="0"/>
                                <a:ea typeface="+mn-ea"/>
                                <a:cs typeface="+mn-cs"/>
                              </a:rPr>
                              <m:t>1</m:t>
                            </m:r>
                          </m:num>
                          <m:den>
                            <m:r>
                              <a:rPr lang="en-US" sz="1400" b="0" i="1" kern="0" spc="500" baseline="0">
                                <a:solidFill>
                                  <a:schemeClr val="dk1"/>
                                </a:solidFill>
                                <a:effectLst/>
                                <a:latin typeface="Cambria Math" panose="02040503050406030204" pitchFamily="18" charset="0"/>
                                <a:ea typeface="+mn-ea"/>
                                <a:cs typeface="+mn-cs"/>
                              </a:rPr>
                              <m:t>𝑛</m:t>
                            </m:r>
                          </m:den>
                        </m:f>
                        <m:r>
                          <a:rPr lang="en-US" sz="1400" b="0" i="1" kern="0" spc="500" baseline="0">
                            <a:solidFill>
                              <a:schemeClr val="dk1"/>
                            </a:solidFill>
                            <a:effectLst/>
                            <a:latin typeface="Cambria Math" panose="02040503050406030204" pitchFamily="18" charset="0"/>
                            <a:ea typeface="+mn-ea"/>
                            <a:cs typeface="+mn-cs"/>
                          </a:rPr>
                          <m:t> </m:t>
                        </m:r>
                        <m:sSup>
                          <m:sSupPr>
                            <m:ctrlPr>
                              <a:rPr lang="en-US" sz="1400" b="0" i="1" kern="0" spc="500" baseline="0">
                                <a:solidFill>
                                  <a:schemeClr val="dk1"/>
                                </a:solidFill>
                                <a:effectLst/>
                                <a:latin typeface="Cambria Math" panose="02040503050406030204" pitchFamily="18" charset="0"/>
                                <a:ea typeface="+mn-ea"/>
                                <a:cs typeface="+mn-cs"/>
                              </a:rPr>
                            </m:ctrlPr>
                          </m:sSupPr>
                          <m:e>
                            <m:d>
                              <m:dPr>
                                <m:begChr m:val="["/>
                                <m:endChr m:val="]"/>
                                <m:ctrlPr>
                                  <a:rPr lang="en-US" sz="1400" b="0" i="1" kern="0" spc="500" baseline="0">
                                    <a:solidFill>
                                      <a:schemeClr val="dk1"/>
                                    </a:solidFill>
                                    <a:effectLst/>
                                    <a:latin typeface="Cambria Math" panose="02040503050406030204" pitchFamily="18" charset="0"/>
                                    <a:ea typeface="+mn-ea"/>
                                    <a:cs typeface="+mn-cs"/>
                                  </a:rPr>
                                </m:ctrlPr>
                              </m:dPr>
                              <m:e>
                                <m:f>
                                  <m:fPr>
                                    <m:ctrlPr>
                                      <a:rPr lang="en-US" sz="1400" b="0" i="1" kern="0" spc="500" baseline="0">
                                        <a:solidFill>
                                          <a:schemeClr val="dk1"/>
                                        </a:solidFill>
                                        <a:effectLst/>
                                        <a:latin typeface="Cambria Math" panose="02040503050406030204" pitchFamily="18" charset="0"/>
                                        <a:ea typeface="+mn-ea"/>
                                        <a:cs typeface="+mn-cs"/>
                                      </a:rPr>
                                    </m:ctrlPr>
                                  </m:fPr>
                                  <m:num>
                                    <m:r>
                                      <a:rPr lang="en-US" sz="1400" b="0" i="1" kern="0" spc="500" baseline="0">
                                        <a:solidFill>
                                          <a:schemeClr val="dk1"/>
                                        </a:solidFill>
                                        <a:effectLst/>
                                        <a:latin typeface="Cambria Math" panose="02040503050406030204" pitchFamily="18" charset="0"/>
                                        <a:ea typeface="+mn-ea"/>
                                        <a:cs typeface="+mn-cs"/>
                                      </a:rPr>
                                      <m:t>𝐴</m:t>
                                    </m:r>
                                  </m:num>
                                  <m:den>
                                    <m:r>
                                      <a:rPr lang="en-US" sz="1400" b="0" i="1" kern="0" spc="500" baseline="0">
                                        <a:solidFill>
                                          <a:schemeClr val="dk1"/>
                                        </a:solidFill>
                                        <a:effectLst/>
                                        <a:latin typeface="Cambria Math" panose="02040503050406030204" pitchFamily="18" charset="0"/>
                                        <a:ea typeface="+mn-ea"/>
                                        <a:cs typeface="+mn-cs"/>
                                      </a:rPr>
                                      <m:t>𝑃</m:t>
                                    </m:r>
                                  </m:den>
                                </m:f>
                              </m:e>
                            </m:d>
                          </m:e>
                          <m:sup>
                            <m:f>
                              <m:fPr>
                                <m:type m:val="lin"/>
                                <m:ctrlPr>
                                  <a:rPr lang="en-US" sz="1400" b="0" i="1" kern="0" spc="500" baseline="0">
                                    <a:solidFill>
                                      <a:schemeClr val="dk1"/>
                                    </a:solidFill>
                                    <a:effectLst/>
                                    <a:latin typeface="Cambria Math" panose="02040503050406030204" pitchFamily="18" charset="0"/>
                                    <a:ea typeface="+mn-ea"/>
                                    <a:cs typeface="+mn-cs"/>
                                  </a:rPr>
                                </m:ctrlPr>
                              </m:fPr>
                              <m:num>
                                <m:r>
                                  <a:rPr lang="en-US" sz="1400" b="0" i="1" kern="0" spc="500" baseline="0">
                                    <a:solidFill>
                                      <a:schemeClr val="dk1"/>
                                    </a:solidFill>
                                    <a:effectLst/>
                                    <a:latin typeface="Cambria Math" panose="02040503050406030204" pitchFamily="18" charset="0"/>
                                    <a:ea typeface="+mn-ea"/>
                                    <a:cs typeface="+mn-cs"/>
                                  </a:rPr>
                                  <m:t>2</m:t>
                                </m:r>
                              </m:num>
                              <m:den>
                                <m:r>
                                  <a:rPr lang="en-US" sz="1400" b="0" i="1" kern="0" spc="500" baseline="0">
                                    <a:solidFill>
                                      <a:schemeClr val="dk1"/>
                                    </a:solidFill>
                                    <a:effectLst/>
                                    <a:latin typeface="Cambria Math" panose="02040503050406030204" pitchFamily="18" charset="0"/>
                                    <a:ea typeface="+mn-ea"/>
                                    <a:cs typeface="+mn-cs"/>
                                  </a:rPr>
                                  <m:t>3</m:t>
                                </m:r>
                              </m:den>
                            </m:f>
                          </m:sup>
                        </m:sSup>
                        <m:rad>
                          <m:radPr>
                            <m:degHide m:val="on"/>
                            <m:ctrlPr>
                              <a:rPr lang="en-US" sz="1400" b="0" i="1" kern="0" spc="500" baseline="0">
                                <a:solidFill>
                                  <a:schemeClr val="dk1"/>
                                </a:solidFill>
                                <a:effectLst/>
                                <a:latin typeface="Cambria Math" panose="02040503050406030204" pitchFamily="18" charset="0"/>
                                <a:ea typeface="+mn-ea"/>
                                <a:cs typeface="+mn-cs"/>
                              </a:rPr>
                            </m:ctrlPr>
                          </m:radPr>
                          <m:deg/>
                          <m:e>
                            <m:r>
                              <a:rPr lang="en-US" sz="1400" b="0" i="1" kern="0" spc="500" baseline="0">
                                <a:solidFill>
                                  <a:schemeClr val="dk1"/>
                                </a:solidFill>
                                <a:effectLst/>
                                <a:latin typeface="Cambria Math" panose="02040503050406030204" pitchFamily="18" charset="0"/>
                                <a:ea typeface="+mn-ea"/>
                                <a:cs typeface="+mn-cs"/>
                              </a:rPr>
                              <m:t>𝑆</m:t>
                            </m:r>
                          </m:e>
                        </m:rad>
                      </m:e>
                    </m:d>
                    <m:r>
                      <a:rPr lang="en-US" sz="1400" b="0" i="1" kern="0" spc="500" baseline="0">
                        <a:solidFill>
                          <a:schemeClr val="dk1"/>
                        </a:solidFill>
                        <a:effectLst/>
                        <a:latin typeface="Cambria Math" panose="02040503050406030204" pitchFamily="18" charset="0"/>
                        <a:ea typeface="+mn-ea"/>
                        <a:cs typeface="+mn-cs"/>
                      </a:rPr>
                      <m:t>𝐴</m:t>
                    </m:r>
                  </m:oMath>
                </m:oMathPara>
              </a14:m>
              <a:endParaRPr lang="en-US" sz="1400" kern="0" spc="500" baseline="0">
                <a:effectLst/>
              </a:endParaRPr>
            </a:p>
            <a:p>
              <a:endParaRPr lang="en-US" sz="1100"/>
            </a:p>
          </xdr:txBody>
        </xdr:sp>
      </mc:Choice>
      <mc:Fallback xmlns="">
        <xdr:sp macro="" textlink="">
          <xdr:nvSpPr>
            <xdr:cNvPr id="5" name="กล่องข้อความ 4">
              <a:extLst>
                <a:ext uri="{FF2B5EF4-FFF2-40B4-BE49-F238E27FC236}">
                  <a16:creationId xmlns:a16="http://schemas.microsoft.com/office/drawing/2014/main" id="{FCBD8240-3D16-4AA2-A439-0CCBE3208A2D}"/>
                </a:ext>
              </a:extLst>
            </xdr:cNvPr>
            <xdr:cNvSpPr txBox="1"/>
          </xdr:nvSpPr>
          <xdr:spPr>
            <a:xfrm>
              <a:off x="361950" y="2922162"/>
              <a:ext cx="3611049" cy="76656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b="0" i="0" kern="0" spc="500" baseline="0">
                  <a:solidFill>
                    <a:schemeClr val="dk1"/>
                  </a:solidFill>
                  <a:effectLst/>
                  <a:latin typeface="+mn-lt"/>
                  <a:ea typeface="+mn-ea"/>
                  <a:cs typeface="+mn-cs"/>
                </a:rPr>
                <a:t>𝑄=(1/𝑛  [𝐴/𝑃]^(2∕3) √𝑆)𝐴</a:t>
              </a:r>
              <a:endParaRPr lang="en-US" sz="1400" kern="0" spc="500" baseline="0">
                <a:effectLst/>
              </a:endParaRPr>
            </a:p>
            <a:p>
              <a:endParaRPr lang="en-US" sz="1100"/>
            </a:p>
          </xdr:txBody>
        </xdr:sp>
      </mc:Fallback>
    </mc:AlternateContent>
    <xdr:clientData/>
  </xdr:twoCellAnchor>
  <xdr:twoCellAnchor editAs="oneCell">
    <xdr:from>
      <xdr:col>6</xdr:col>
      <xdr:colOff>10467</xdr:colOff>
      <xdr:row>6</xdr:row>
      <xdr:rowOff>62800</xdr:rowOff>
    </xdr:from>
    <xdr:to>
      <xdr:col>10</xdr:col>
      <xdr:colOff>66024</xdr:colOff>
      <xdr:row>14</xdr:row>
      <xdr:rowOff>83735</xdr:rowOff>
    </xdr:to>
    <xdr:pic>
      <xdr:nvPicPr>
        <xdr:cNvPr id="7" name="รูปภาพ 6">
          <a:extLst>
            <a:ext uri="{FF2B5EF4-FFF2-40B4-BE49-F238E27FC236}">
              <a16:creationId xmlns:a16="http://schemas.microsoft.com/office/drawing/2014/main" id="{5EE46FC2-4249-466F-A28F-906509BA60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423" r="16702" b="6598"/>
        <a:stretch/>
      </xdr:blipFill>
      <xdr:spPr>
        <a:xfrm>
          <a:off x="3956538" y="1235108"/>
          <a:ext cx="2389706" cy="1611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24</xdr:row>
      <xdr:rowOff>64214</xdr:rowOff>
    </xdr:from>
    <xdr:to>
      <xdr:col>10</xdr:col>
      <xdr:colOff>11616</xdr:colOff>
      <xdr:row>43</xdr:row>
      <xdr:rowOff>149831</xdr:rowOff>
    </xdr:to>
    <xdr:graphicFrame macro="">
      <xdr:nvGraphicFramePr>
        <xdr:cNvPr id="3" name="Chart 2">
          <a:extLst>
            <a:ext uri="{FF2B5EF4-FFF2-40B4-BE49-F238E27FC236}">
              <a16:creationId xmlns:a16="http://schemas.microsoft.com/office/drawing/2014/main" id="{23B45C5C-A24E-4597-9141-26F89243A1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438792</xdr:colOff>
      <xdr:row>9</xdr:row>
      <xdr:rowOff>42809</xdr:rowOff>
    </xdr:from>
    <xdr:to>
      <xdr:col>3</xdr:col>
      <xdr:colOff>713112</xdr:colOff>
      <xdr:row>9</xdr:row>
      <xdr:rowOff>179969</xdr:rowOff>
    </xdr:to>
    <xdr:sp macro="" textlink="">
      <xdr:nvSpPr>
        <xdr:cNvPr id="4" name="ลูกศร: โค้ง 3">
          <a:extLst>
            <a:ext uri="{FF2B5EF4-FFF2-40B4-BE49-F238E27FC236}">
              <a16:creationId xmlns:a16="http://schemas.microsoft.com/office/drawing/2014/main" id="{89E43288-9E59-4F2C-B283-02D142EAD83F}"/>
            </a:ext>
          </a:extLst>
        </xdr:cNvPr>
        <xdr:cNvSpPr/>
      </xdr:nvSpPr>
      <xdr:spPr>
        <a:xfrm rot="5400000">
          <a:off x="2155197" y="1955429"/>
          <a:ext cx="137160" cy="274320"/>
        </a:xfrm>
        <a:prstGeom prst="bentArrow">
          <a:avLst/>
        </a:prstGeom>
        <a:solidFill>
          <a:schemeClr val="accent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0</xdr:colOff>
      <xdr:row>13</xdr:row>
      <xdr:rowOff>140862</xdr:rowOff>
    </xdr:from>
    <xdr:to>
      <xdr:col>6</xdr:col>
      <xdr:colOff>20124</xdr:colOff>
      <xdr:row>17</xdr:row>
      <xdr:rowOff>107324</xdr:rowOff>
    </xdr:to>
    <mc:AlternateContent xmlns:mc="http://schemas.openxmlformats.org/markup-compatibility/2006" xmlns:a14="http://schemas.microsoft.com/office/drawing/2010/main">
      <mc:Choice Requires="a14">
        <xdr:sp macro="" textlink="">
          <xdr:nvSpPr>
            <xdr:cNvPr id="5" name="กล่องข้อความ 4">
              <a:extLst>
                <a:ext uri="{FF2B5EF4-FFF2-40B4-BE49-F238E27FC236}">
                  <a16:creationId xmlns:a16="http://schemas.microsoft.com/office/drawing/2014/main" id="{4FA3D175-5CDA-42F1-9ECD-E5BC0E223585}"/>
                </a:ext>
              </a:extLst>
            </xdr:cNvPr>
            <xdr:cNvSpPr txBox="1"/>
          </xdr:nvSpPr>
          <xdr:spPr>
            <a:xfrm>
              <a:off x="361950" y="2922162"/>
              <a:ext cx="3611049" cy="76656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400" b="0" i="1" kern="0" spc="500" baseline="0">
                        <a:solidFill>
                          <a:schemeClr val="dk1"/>
                        </a:solidFill>
                        <a:effectLst/>
                        <a:latin typeface="Cambria Math" panose="02040503050406030204" pitchFamily="18" charset="0"/>
                        <a:ea typeface="+mn-ea"/>
                        <a:cs typeface="+mn-cs"/>
                      </a:rPr>
                      <m:t>𝑄</m:t>
                    </m:r>
                    <m:r>
                      <a:rPr lang="en-US" sz="1400" b="0" i="1" kern="0" spc="500" baseline="0">
                        <a:solidFill>
                          <a:schemeClr val="dk1"/>
                        </a:solidFill>
                        <a:effectLst/>
                        <a:latin typeface="Cambria Math" panose="02040503050406030204" pitchFamily="18" charset="0"/>
                        <a:ea typeface="+mn-ea"/>
                        <a:cs typeface="+mn-cs"/>
                      </a:rPr>
                      <m:t>=</m:t>
                    </m:r>
                    <m:d>
                      <m:dPr>
                        <m:ctrlPr>
                          <a:rPr lang="en-US" sz="1400" b="0" i="1" kern="0" spc="500" baseline="0">
                            <a:solidFill>
                              <a:schemeClr val="dk1"/>
                            </a:solidFill>
                            <a:effectLst/>
                            <a:latin typeface="Cambria Math" panose="02040503050406030204" pitchFamily="18" charset="0"/>
                            <a:ea typeface="+mn-ea"/>
                            <a:cs typeface="+mn-cs"/>
                          </a:rPr>
                        </m:ctrlPr>
                      </m:dPr>
                      <m:e>
                        <m:f>
                          <m:fPr>
                            <m:ctrlPr>
                              <a:rPr lang="en-US" sz="1400" b="0" i="1" kern="0" spc="500" baseline="0">
                                <a:solidFill>
                                  <a:schemeClr val="dk1"/>
                                </a:solidFill>
                                <a:effectLst/>
                                <a:latin typeface="Cambria Math" panose="02040503050406030204" pitchFamily="18" charset="0"/>
                                <a:ea typeface="+mn-ea"/>
                                <a:cs typeface="+mn-cs"/>
                              </a:rPr>
                            </m:ctrlPr>
                          </m:fPr>
                          <m:num>
                            <m:r>
                              <a:rPr lang="en-US" sz="1400" b="0" i="1" kern="0" spc="500" baseline="0">
                                <a:solidFill>
                                  <a:schemeClr val="dk1"/>
                                </a:solidFill>
                                <a:effectLst/>
                                <a:latin typeface="Cambria Math" panose="02040503050406030204" pitchFamily="18" charset="0"/>
                                <a:ea typeface="+mn-ea"/>
                                <a:cs typeface="+mn-cs"/>
                              </a:rPr>
                              <m:t>1</m:t>
                            </m:r>
                          </m:num>
                          <m:den>
                            <m:r>
                              <a:rPr lang="en-US" sz="1400" b="0" i="1" kern="0" spc="500" baseline="0">
                                <a:solidFill>
                                  <a:schemeClr val="dk1"/>
                                </a:solidFill>
                                <a:effectLst/>
                                <a:latin typeface="Cambria Math" panose="02040503050406030204" pitchFamily="18" charset="0"/>
                                <a:ea typeface="+mn-ea"/>
                                <a:cs typeface="+mn-cs"/>
                              </a:rPr>
                              <m:t>𝑛</m:t>
                            </m:r>
                          </m:den>
                        </m:f>
                        <m:r>
                          <a:rPr lang="en-US" sz="1400" b="0" i="1" kern="0" spc="500" baseline="0">
                            <a:solidFill>
                              <a:schemeClr val="dk1"/>
                            </a:solidFill>
                            <a:effectLst/>
                            <a:latin typeface="Cambria Math" panose="02040503050406030204" pitchFamily="18" charset="0"/>
                            <a:ea typeface="+mn-ea"/>
                            <a:cs typeface="+mn-cs"/>
                          </a:rPr>
                          <m:t> </m:t>
                        </m:r>
                        <m:sSup>
                          <m:sSupPr>
                            <m:ctrlPr>
                              <a:rPr lang="en-US" sz="1400" b="0" i="1" kern="0" spc="500" baseline="0">
                                <a:solidFill>
                                  <a:schemeClr val="dk1"/>
                                </a:solidFill>
                                <a:effectLst/>
                                <a:latin typeface="Cambria Math" panose="02040503050406030204" pitchFamily="18" charset="0"/>
                                <a:ea typeface="+mn-ea"/>
                                <a:cs typeface="+mn-cs"/>
                              </a:rPr>
                            </m:ctrlPr>
                          </m:sSupPr>
                          <m:e>
                            <m:d>
                              <m:dPr>
                                <m:begChr m:val="["/>
                                <m:endChr m:val="]"/>
                                <m:ctrlPr>
                                  <a:rPr lang="en-US" sz="1400" b="0" i="1" kern="0" spc="500" baseline="0">
                                    <a:solidFill>
                                      <a:schemeClr val="dk1"/>
                                    </a:solidFill>
                                    <a:effectLst/>
                                    <a:latin typeface="Cambria Math" panose="02040503050406030204" pitchFamily="18" charset="0"/>
                                    <a:ea typeface="+mn-ea"/>
                                    <a:cs typeface="+mn-cs"/>
                                  </a:rPr>
                                </m:ctrlPr>
                              </m:dPr>
                              <m:e>
                                <m:f>
                                  <m:fPr>
                                    <m:ctrlPr>
                                      <a:rPr lang="en-US" sz="1400" b="0" i="1" kern="0" spc="500" baseline="0">
                                        <a:solidFill>
                                          <a:schemeClr val="dk1"/>
                                        </a:solidFill>
                                        <a:effectLst/>
                                        <a:latin typeface="Cambria Math" panose="02040503050406030204" pitchFamily="18" charset="0"/>
                                        <a:ea typeface="+mn-ea"/>
                                        <a:cs typeface="+mn-cs"/>
                                      </a:rPr>
                                    </m:ctrlPr>
                                  </m:fPr>
                                  <m:num>
                                    <m:r>
                                      <a:rPr lang="en-US" sz="1400" b="0" i="1" kern="0" spc="500" baseline="0">
                                        <a:solidFill>
                                          <a:schemeClr val="dk1"/>
                                        </a:solidFill>
                                        <a:effectLst/>
                                        <a:latin typeface="Cambria Math" panose="02040503050406030204" pitchFamily="18" charset="0"/>
                                        <a:ea typeface="+mn-ea"/>
                                        <a:cs typeface="+mn-cs"/>
                                      </a:rPr>
                                      <m:t>𝐴</m:t>
                                    </m:r>
                                  </m:num>
                                  <m:den>
                                    <m:r>
                                      <a:rPr lang="en-US" sz="1400" b="0" i="1" kern="0" spc="500" baseline="0">
                                        <a:solidFill>
                                          <a:schemeClr val="dk1"/>
                                        </a:solidFill>
                                        <a:effectLst/>
                                        <a:latin typeface="Cambria Math" panose="02040503050406030204" pitchFamily="18" charset="0"/>
                                        <a:ea typeface="+mn-ea"/>
                                        <a:cs typeface="+mn-cs"/>
                                      </a:rPr>
                                      <m:t>𝑃</m:t>
                                    </m:r>
                                  </m:den>
                                </m:f>
                              </m:e>
                            </m:d>
                          </m:e>
                          <m:sup>
                            <m:f>
                              <m:fPr>
                                <m:type m:val="lin"/>
                                <m:ctrlPr>
                                  <a:rPr lang="en-US" sz="1400" b="0" i="1" kern="0" spc="500" baseline="0">
                                    <a:solidFill>
                                      <a:schemeClr val="dk1"/>
                                    </a:solidFill>
                                    <a:effectLst/>
                                    <a:latin typeface="Cambria Math" panose="02040503050406030204" pitchFamily="18" charset="0"/>
                                    <a:ea typeface="+mn-ea"/>
                                    <a:cs typeface="+mn-cs"/>
                                  </a:rPr>
                                </m:ctrlPr>
                              </m:fPr>
                              <m:num>
                                <m:r>
                                  <a:rPr lang="en-US" sz="1400" b="0" i="1" kern="0" spc="500" baseline="0">
                                    <a:solidFill>
                                      <a:schemeClr val="dk1"/>
                                    </a:solidFill>
                                    <a:effectLst/>
                                    <a:latin typeface="Cambria Math" panose="02040503050406030204" pitchFamily="18" charset="0"/>
                                    <a:ea typeface="+mn-ea"/>
                                    <a:cs typeface="+mn-cs"/>
                                  </a:rPr>
                                  <m:t>2</m:t>
                                </m:r>
                              </m:num>
                              <m:den>
                                <m:r>
                                  <a:rPr lang="en-US" sz="1400" b="0" i="1" kern="0" spc="500" baseline="0">
                                    <a:solidFill>
                                      <a:schemeClr val="dk1"/>
                                    </a:solidFill>
                                    <a:effectLst/>
                                    <a:latin typeface="Cambria Math" panose="02040503050406030204" pitchFamily="18" charset="0"/>
                                    <a:ea typeface="+mn-ea"/>
                                    <a:cs typeface="+mn-cs"/>
                                  </a:rPr>
                                  <m:t>3</m:t>
                                </m:r>
                              </m:den>
                            </m:f>
                          </m:sup>
                        </m:sSup>
                        <m:rad>
                          <m:radPr>
                            <m:degHide m:val="on"/>
                            <m:ctrlPr>
                              <a:rPr lang="en-US" sz="1400" b="0" i="1" kern="0" spc="500" baseline="0">
                                <a:solidFill>
                                  <a:schemeClr val="dk1"/>
                                </a:solidFill>
                                <a:effectLst/>
                                <a:latin typeface="Cambria Math" panose="02040503050406030204" pitchFamily="18" charset="0"/>
                                <a:ea typeface="+mn-ea"/>
                                <a:cs typeface="+mn-cs"/>
                              </a:rPr>
                            </m:ctrlPr>
                          </m:radPr>
                          <m:deg/>
                          <m:e>
                            <m:r>
                              <a:rPr lang="en-US" sz="1400" b="0" i="1" kern="0" spc="500" baseline="0">
                                <a:solidFill>
                                  <a:schemeClr val="dk1"/>
                                </a:solidFill>
                                <a:effectLst/>
                                <a:latin typeface="Cambria Math" panose="02040503050406030204" pitchFamily="18" charset="0"/>
                                <a:ea typeface="+mn-ea"/>
                                <a:cs typeface="+mn-cs"/>
                              </a:rPr>
                              <m:t>𝑆</m:t>
                            </m:r>
                          </m:e>
                        </m:rad>
                      </m:e>
                    </m:d>
                    <m:r>
                      <a:rPr lang="en-US" sz="1400" b="0" i="1" kern="0" spc="500" baseline="0">
                        <a:solidFill>
                          <a:schemeClr val="dk1"/>
                        </a:solidFill>
                        <a:effectLst/>
                        <a:latin typeface="Cambria Math" panose="02040503050406030204" pitchFamily="18" charset="0"/>
                        <a:ea typeface="+mn-ea"/>
                        <a:cs typeface="+mn-cs"/>
                      </a:rPr>
                      <m:t>𝐴</m:t>
                    </m:r>
                  </m:oMath>
                </m:oMathPara>
              </a14:m>
              <a:endParaRPr lang="en-US" sz="1400" kern="0" spc="500" baseline="0">
                <a:effectLst/>
              </a:endParaRPr>
            </a:p>
            <a:p>
              <a:endParaRPr lang="en-US" sz="1100"/>
            </a:p>
          </xdr:txBody>
        </xdr:sp>
      </mc:Choice>
      <mc:Fallback xmlns="">
        <xdr:sp macro="" textlink="">
          <xdr:nvSpPr>
            <xdr:cNvPr id="5" name="กล่องข้อความ 4">
              <a:extLst>
                <a:ext uri="{FF2B5EF4-FFF2-40B4-BE49-F238E27FC236}">
                  <a16:creationId xmlns:a16="http://schemas.microsoft.com/office/drawing/2014/main" id="{4FA3D175-5CDA-42F1-9ECD-E5BC0E223585}"/>
                </a:ext>
              </a:extLst>
            </xdr:cNvPr>
            <xdr:cNvSpPr txBox="1"/>
          </xdr:nvSpPr>
          <xdr:spPr>
            <a:xfrm>
              <a:off x="361950" y="2922162"/>
              <a:ext cx="3611049" cy="76656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b="0" i="0" kern="0" spc="500" baseline="0">
                  <a:solidFill>
                    <a:schemeClr val="dk1"/>
                  </a:solidFill>
                  <a:effectLst/>
                  <a:latin typeface="+mn-lt"/>
                  <a:ea typeface="+mn-ea"/>
                  <a:cs typeface="+mn-cs"/>
                </a:rPr>
                <a:t>𝑄=(1/𝑛  [𝐴/𝑃]^(2∕3) √𝑆)𝐴</a:t>
              </a:r>
              <a:endParaRPr lang="en-US" sz="1400" kern="0" spc="500" baseline="0">
                <a:effectLst/>
              </a:endParaRPr>
            </a:p>
            <a:p>
              <a:endParaRPr lang="en-US" sz="1100"/>
            </a:p>
          </xdr:txBody>
        </xdr:sp>
      </mc:Fallback>
    </mc:AlternateContent>
    <xdr:clientData/>
  </xdr:twoCellAnchor>
  <xdr:twoCellAnchor editAs="oneCell">
    <xdr:from>
      <xdr:col>6</xdr:col>
      <xdr:colOff>38101</xdr:colOff>
      <xdr:row>7</xdr:row>
      <xdr:rowOff>0</xdr:rowOff>
    </xdr:from>
    <xdr:to>
      <xdr:col>10</xdr:col>
      <xdr:colOff>75310</xdr:colOff>
      <xdr:row>13</xdr:row>
      <xdr:rowOff>85725</xdr:rowOff>
    </xdr:to>
    <xdr:pic>
      <xdr:nvPicPr>
        <xdr:cNvPr id="11" name="รูปภาพ 10">
          <a:extLst>
            <a:ext uri="{FF2B5EF4-FFF2-40B4-BE49-F238E27FC236}">
              <a16:creationId xmlns:a16="http://schemas.microsoft.com/office/drawing/2014/main" id="{90B2E545-46EE-4BCF-BA1E-C2E63672E3F2}"/>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9666" t="26465" r="17048" b="24676"/>
        <a:stretch/>
      </xdr:blipFill>
      <xdr:spPr>
        <a:xfrm>
          <a:off x="3990976" y="1381125"/>
          <a:ext cx="2370834"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40A16-BEED-4082-B040-01CBE576C228}">
  <sheetPr>
    <pageSetUpPr fitToPage="1"/>
  </sheetPr>
  <dimension ref="B1:AY46"/>
  <sheetViews>
    <sheetView topLeftCell="A16" zoomScale="93" zoomScaleNormal="93" workbookViewId="0">
      <selection activeCell="N3" sqref="N3"/>
    </sheetView>
  </sheetViews>
  <sheetFormatPr defaultRowHeight="15"/>
  <cols>
    <col min="1" max="1" width="2.5703125" style="1" customWidth="1"/>
    <col min="2" max="2" width="2.85546875" style="1" customWidth="1"/>
    <col min="3" max="3" width="19.28515625" style="1" customWidth="1"/>
    <col min="4" max="4" width="15.7109375" style="1" customWidth="1"/>
    <col min="5" max="5" width="10.7109375" style="1" customWidth="1"/>
    <col min="6" max="6" width="8.140625" style="1" customWidth="1"/>
    <col min="7" max="7" width="9.140625" style="1" customWidth="1"/>
    <col min="8" max="8" width="5.140625" style="1" customWidth="1"/>
    <col min="9" max="9" width="10" style="1" customWidth="1"/>
    <col min="10" max="10" width="10.7109375" style="1" customWidth="1"/>
    <col min="11" max="11" width="1.7109375" style="1" customWidth="1"/>
    <col min="12" max="13" width="9.140625" style="1"/>
    <col min="14" max="14" width="22.42578125" style="1" bestFit="1" customWidth="1"/>
    <col min="15" max="15" width="24.7109375" style="1" bestFit="1" customWidth="1"/>
    <col min="16" max="16" width="23" style="1" customWidth="1"/>
    <col min="17" max="17" width="15.42578125" style="1" bestFit="1" customWidth="1"/>
    <col min="18" max="18" width="11.7109375" style="1" customWidth="1"/>
    <col min="19" max="19" width="11.85546875" style="1" customWidth="1"/>
    <col min="20" max="20" width="8" style="1" customWidth="1"/>
    <col min="21" max="23" width="9.140625" style="1" customWidth="1"/>
    <col min="24" max="24" width="13.85546875" style="1" customWidth="1"/>
    <col min="25" max="25" width="12.140625" style="1" customWidth="1"/>
    <col min="26" max="26" width="13" style="1" customWidth="1"/>
    <col min="27" max="30" width="9.140625" style="1" customWidth="1"/>
    <col min="31" max="31" width="11.140625" style="1" customWidth="1"/>
    <col min="32" max="32" width="26.28515625" style="1" customWidth="1"/>
    <col min="33" max="37" width="9.140625" style="1" customWidth="1"/>
    <col min="38" max="38" width="9.42578125" style="1" customWidth="1"/>
    <col min="39" max="39" width="9.140625" style="1" customWidth="1"/>
    <col min="40" max="40" width="19.5703125" style="1" customWidth="1"/>
    <col min="41" max="16384" width="9.140625" style="1"/>
  </cols>
  <sheetData>
    <row r="1" spans="2:51" ht="15.75" thickBot="1"/>
    <row r="2" spans="2:51" ht="15.75" thickTop="1">
      <c r="B2" s="77" t="s">
        <v>103</v>
      </c>
      <c r="C2" s="78"/>
      <c r="D2" s="133" t="s">
        <v>138</v>
      </c>
      <c r="E2" s="133"/>
      <c r="F2" s="133"/>
      <c r="G2" s="133"/>
      <c r="H2" s="134"/>
      <c r="I2" s="80" t="s">
        <v>108</v>
      </c>
      <c r="J2" s="79"/>
      <c r="K2" s="81"/>
    </row>
    <row r="3" spans="2:51">
      <c r="B3" s="82" t="s">
        <v>104</v>
      </c>
      <c r="C3" s="83"/>
      <c r="D3" s="135" t="s">
        <v>107</v>
      </c>
      <c r="E3" s="135"/>
      <c r="F3" s="135"/>
      <c r="G3" s="135"/>
      <c r="H3" s="136"/>
      <c r="I3" s="161"/>
      <c r="J3" s="162"/>
      <c r="K3" s="163"/>
    </row>
    <row r="4" spans="2:51">
      <c r="B4" s="82"/>
      <c r="C4" s="83"/>
      <c r="D4" s="135"/>
      <c r="E4" s="135"/>
      <c r="F4" s="135"/>
      <c r="G4" s="135"/>
      <c r="H4" s="136"/>
      <c r="I4" s="84" t="s">
        <v>109</v>
      </c>
      <c r="J4" s="85"/>
      <c r="K4" s="86"/>
      <c r="W4" s="1" t="str">
        <f>IF(J24&lt;0.7,"ความเร็วต่ำเกินไป",IF(J24&lt;=6,"","ความเร็วสูงเกินไป"))</f>
        <v>ความเร็วสูงเกินไป</v>
      </c>
    </row>
    <row r="5" spans="2:51" ht="15.75" thickBot="1">
      <c r="B5" s="87" t="s">
        <v>105</v>
      </c>
      <c r="C5" s="88"/>
      <c r="D5" s="137" t="s">
        <v>139</v>
      </c>
      <c r="E5" s="138"/>
      <c r="F5" s="89" t="s">
        <v>106</v>
      </c>
      <c r="G5" s="159">
        <f ca="1">NOW()</f>
        <v>45450.809083217595</v>
      </c>
      <c r="H5" s="160"/>
      <c r="I5" s="164"/>
      <c r="J5" s="165"/>
      <c r="K5" s="166"/>
    </row>
    <row r="6" spans="2:51" ht="15.75" customHeight="1" thickTop="1" thickBot="1">
      <c r="B6" s="57"/>
      <c r="C6" s="58" t="s">
        <v>64</v>
      </c>
      <c r="D6" s="58"/>
      <c r="E6" s="59"/>
      <c r="F6" s="59"/>
      <c r="G6" s="59"/>
      <c r="H6" s="59"/>
      <c r="I6" s="59"/>
      <c r="J6" s="59"/>
      <c r="K6" s="60"/>
    </row>
    <row r="7" spans="2:51" ht="15.75" customHeight="1" thickTop="1" thickBot="1">
      <c r="B7" s="61"/>
      <c r="C7" s="62"/>
      <c r="D7" s="62"/>
      <c r="E7" s="62"/>
      <c r="F7" s="63"/>
      <c r="G7" s="63"/>
      <c r="H7" s="63"/>
      <c r="I7" s="63"/>
      <c r="J7" s="63"/>
      <c r="K7" s="64"/>
      <c r="X7" s="16" t="s">
        <v>96</v>
      </c>
      <c r="Y7" s="16" t="s">
        <v>97</v>
      </c>
      <c r="Z7" s="16" t="s">
        <v>84</v>
      </c>
      <c r="AA7" s="16"/>
      <c r="AB7" s="16"/>
      <c r="AC7" s="16"/>
      <c r="AD7" s="28" t="s">
        <v>68</v>
      </c>
      <c r="AE7" s="35" t="s">
        <v>67</v>
      </c>
      <c r="AF7" s="29" t="s">
        <v>69</v>
      </c>
      <c r="AI7" s="1" t="s">
        <v>84</v>
      </c>
      <c r="AK7" s="28" t="s">
        <v>68</v>
      </c>
      <c r="AL7" s="35" t="s">
        <v>67</v>
      </c>
      <c r="AM7" s="29" t="s">
        <v>69</v>
      </c>
      <c r="AO7" s="28" t="s">
        <v>68</v>
      </c>
      <c r="AP7" s="150" t="s">
        <v>73</v>
      </c>
      <c r="AQ7" s="150"/>
      <c r="AR7" s="150"/>
      <c r="AS7" s="150"/>
      <c r="AT7" s="150"/>
      <c r="AU7" s="151" t="s">
        <v>74</v>
      </c>
      <c r="AV7" s="152"/>
      <c r="AW7" s="29" t="s">
        <v>75</v>
      </c>
    </row>
    <row r="8" spans="2:51" ht="15.75" customHeight="1" thickBot="1">
      <c r="B8" s="61"/>
      <c r="C8" s="65" t="s">
        <v>130</v>
      </c>
      <c r="D8" s="66"/>
      <c r="E8" s="141">
        <v>2.6</v>
      </c>
      <c r="F8" s="67" t="s">
        <v>28</v>
      </c>
      <c r="G8" s="68"/>
      <c r="H8" s="63"/>
      <c r="I8" s="63"/>
      <c r="J8" s="63"/>
      <c r="K8" s="64"/>
      <c r="N8" s="153" t="s">
        <v>66</v>
      </c>
      <c r="O8" s="154"/>
      <c r="P8" s="155"/>
      <c r="W8" s="1" t="s">
        <v>85</v>
      </c>
      <c r="X8" s="16">
        <f>N24</f>
        <v>25</v>
      </c>
      <c r="Y8" s="16">
        <f>N24</f>
        <v>25</v>
      </c>
      <c r="Z8" s="16">
        <f>Y8</f>
        <v>25</v>
      </c>
      <c r="AA8" s="16"/>
      <c r="AB8" s="16"/>
      <c r="AC8" s="16"/>
      <c r="AD8" s="30" t="s">
        <v>70</v>
      </c>
      <c r="AE8" s="27" t="s">
        <v>71</v>
      </c>
      <c r="AF8" s="31" t="s">
        <v>72</v>
      </c>
      <c r="AI8" s="36" t="s">
        <v>76</v>
      </c>
      <c r="AJ8" s="36" t="s">
        <v>77</v>
      </c>
      <c r="AK8" s="30" t="s">
        <v>70</v>
      </c>
      <c r="AL8" s="27" t="s">
        <v>71</v>
      </c>
      <c r="AM8" s="31" t="s">
        <v>72</v>
      </c>
      <c r="AO8" s="37" t="s">
        <v>70</v>
      </c>
      <c r="AP8" s="36" t="s">
        <v>76</v>
      </c>
      <c r="AQ8" s="36" t="s">
        <v>77</v>
      </c>
      <c r="AR8" s="36" t="s">
        <v>78</v>
      </c>
      <c r="AS8" s="36" t="s">
        <v>79</v>
      </c>
      <c r="AT8" s="36" t="s">
        <v>80</v>
      </c>
      <c r="AU8" s="36" t="s">
        <v>81</v>
      </c>
      <c r="AV8" s="36" t="s">
        <v>82</v>
      </c>
      <c r="AW8" s="38" t="s">
        <v>83</v>
      </c>
    </row>
    <row r="9" spans="2:51" ht="15.75" customHeight="1" thickTop="1" thickBot="1">
      <c r="B9" s="61"/>
      <c r="C9" s="69" t="s">
        <v>131</v>
      </c>
      <c r="D9" s="70"/>
      <c r="E9" s="140">
        <v>1.4</v>
      </c>
      <c r="F9" s="72" t="s">
        <v>28</v>
      </c>
      <c r="G9" s="68"/>
      <c r="H9" s="63"/>
      <c r="I9" s="63"/>
      <c r="J9" s="73"/>
      <c r="K9" s="64"/>
      <c r="N9" s="51" t="s">
        <v>65</v>
      </c>
      <c r="O9" s="50" t="s">
        <v>92</v>
      </c>
      <c r="P9" s="52" t="s">
        <v>95</v>
      </c>
      <c r="Q9" s="52" t="s">
        <v>98</v>
      </c>
      <c r="W9" s="1" t="s">
        <v>86</v>
      </c>
      <c r="X9" s="16">
        <f>INDEX(N10:N22,MATCH(X8,N10:N22,1))</f>
        <v>20</v>
      </c>
      <c r="Y9" s="16">
        <f>X9</f>
        <v>20</v>
      </c>
      <c r="Z9" s="16">
        <f t="shared" ref="Z9:Z10" si="0">Y9</f>
        <v>20</v>
      </c>
      <c r="AA9" s="16"/>
      <c r="AB9" s="16"/>
      <c r="AC9" s="16"/>
      <c r="AD9" s="18">
        <v>0.01</v>
      </c>
      <c r="AE9" s="19">
        <v>1.7914000000000001E-3</v>
      </c>
      <c r="AF9" s="22">
        <v>1.7918000000000001</v>
      </c>
      <c r="AG9" s="19">
        <v>3.7414000000000001</v>
      </c>
      <c r="AH9" s="20">
        <v>1.7918000000000001</v>
      </c>
      <c r="AI9" s="1">
        <f>AP9</f>
        <v>0.99984949999999995</v>
      </c>
      <c r="AJ9" s="1">
        <v>999.84949999999992</v>
      </c>
      <c r="AK9" s="21">
        <v>0.01</v>
      </c>
      <c r="AL9" s="17">
        <v>1.7914000000000001E-3</v>
      </c>
      <c r="AM9" s="22">
        <v>1.7918000000000001</v>
      </c>
      <c r="AO9" s="21">
        <v>0.1</v>
      </c>
      <c r="AP9" s="17">
        <v>0.99984949999999995</v>
      </c>
      <c r="AQ9" s="17">
        <v>999.85</v>
      </c>
      <c r="AR9" s="17">
        <v>1.94</v>
      </c>
      <c r="AS9" s="17">
        <v>62.418599999999998</v>
      </c>
      <c r="AT9" s="17">
        <v>8.3440999999999992</v>
      </c>
      <c r="AU9" s="17">
        <v>9.8051999999999992</v>
      </c>
      <c r="AV9" s="17">
        <v>62.418999999999997</v>
      </c>
      <c r="AW9" s="22">
        <v>-0.68</v>
      </c>
    </row>
    <row r="10" spans="2:51" ht="15.75" customHeight="1" thickBot="1">
      <c r="B10" s="61"/>
      <c r="C10" s="69" t="s">
        <v>119</v>
      </c>
      <c r="D10" s="74"/>
      <c r="E10" s="75"/>
      <c r="F10" s="76"/>
      <c r="G10" s="68"/>
      <c r="H10" s="63"/>
      <c r="I10" s="63"/>
      <c r="J10" s="63"/>
      <c r="K10" s="64"/>
      <c r="N10" s="42">
        <v>0.01</v>
      </c>
      <c r="O10" s="45">
        <v>1.7914000000000001E-3</v>
      </c>
      <c r="P10" s="46">
        <v>1.7918000000000001</v>
      </c>
      <c r="Q10" s="46">
        <v>999.85</v>
      </c>
      <c r="W10" s="1" t="s">
        <v>87</v>
      </c>
      <c r="X10" s="16">
        <f>INDEX(N10:N22,MATCH(X8,N10:N22,1)+1)</f>
        <v>30</v>
      </c>
      <c r="Y10" s="16">
        <f>X10</f>
        <v>30</v>
      </c>
      <c r="Z10" s="16">
        <f t="shared" si="0"/>
        <v>30</v>
      </c>
      <c r="AA10" s="16"/>
      <c r="AB10" s="16"/>
      <c r="AC10" s="16"/>
      <c r="AD10" s="21">
        <v>10</v>
      </c>
      <c r="AE10" s="17">
        <v>1.3060000000000001E-3</v>
      </c>
      <c r="AF10" s="22">
        <v>1.3065</v>
      </c>
      <c r="AG10" s="17">
        <v>2.7275999999999998</v>
      </c>
      <c r="AH10" s="22">
        <v>1.3065</v>
      </c>
      <c r="AI10" s="1">
        <f>AP12</f>
        <v>0.99970000000000003</v>
      </c>
      <c r="AJ10" s="1">
        <v>999.7</v>
      </c>
      <c r="AK10" s="21">
        <v>10</v>
      </c>
      <c r="AL10" s="17">
        <v>1.3060000000000001E-3</v>
      </c>
      <c r="AM10" s="22">
        <v>1.3065</v>
      </c>
      <c r="AN10" s="1">
        <f>AQ9</f>
        <v>999.85</v>
      </c>
      <c r="AO10" s="21">
        <v>1</v>
      </c>
      <c r="AP10" s="17">
        <v>0.9999017</v>
      </c>
      <c r="AQ10" s="17">
        <v>999.9</v>
      </c>
      <c r="AR10" s="17">
        <v>1.9400999999999999</v>
      </c>
      <c r="AS10" s="17">
        <v>62.421799999999998</v>
      </c>
      <c r="AT10" s="17">
        <v>8.3445999999999998</v>
      </c>
      <c r="AU10" s="17">
        <v>9.8056999999999999</v>
      </c>
      <c r="AV10" s="17">
        <v>62.421999999999997</v>
      </c>
      <c r="AW10" s="22">
        <v>-0.5</v>
      </c>
    </row>
    <row r="11" spans="2:51" ht="15.75" customHeight="1" thickBot="1">
      <c r="B11" s="61"/>
      <c r="C11" s="156" t="s">
        <v>40</v>
      </c>
      <c r="D11" s="157"/>
      <c r="E11" s="157"/>
      <c r="F11" s="158"/>
      <c r="G11" s="68"/>
      <c r="H11" s="63"/>
      <c r="I11" s="63"/>
      <c r="J11" s="63"/>
      <c r="K11" s="64"/>
      <c r="N11" s="43">
        <v>5</v>
      </c>
      <c r="O11" s="46">
        <v>1.5181999999999999E-3</v>
      </c>
      <c r="P11" s="46">
        <v>1.5182</v>
      </c>
      <c r="Q11" s="46">
        <v>999.95</v>
      </c>
      <c r="W11" s="1" t="s">
        <v>88</v>
      </c>
      <c r="X11" s="16">
        <f>INDEX(O10:O22,MATCH(X8,N10:N22,1))</f>
        <v>1.0016000000000001E-3</v>
      </c>
      <c r="Y11" s="16">
        <f>INDEX(P10:P22,MATCH(Y8,N10:N22,1))</f>
        <v>1.0035000000000001</v>
      </c>
      <c r="Z11" s="16">
        <f>INDEX(Q10:Q22,MATCH(Z8,N10:N22,1))</f>
        <v>998.21</v>
      </c>
      <c r="AA11" s="16"/>
      <c r="AB11" s="16"/>
      <c r="AC11" s="16"/>
      <c r="AD11" s="21">
        <v>20</v>
      </c>
      <c r="AE11" s="17">
        <v>1.0016000000000001E-3</v>
      </c>
      <c r="AF11" s="22">
        <v>1.0035000000000001</v>
      </c>
      <c r="AG11" s="17">
        <v>2.0918999999999999</v>
      </c>
      <c r="AH11" s="22">
        <v>1.0035000000000001</v>
      </c>
      <c r="AI11" s="1">
        <f>AP14</f>
        <v>0.9982067</v>
      </c>
      <c r="AJ11" s="1">
        <v>998.20669999999996</v>
      </c>
      <c r="AK11" s="21">
        <v>20</v>
      </c>
      <c r="AL11" s="17">
        <v>1.0016000000000001E-3</v>
      </c>
      <c r="AM11" s="22">
        <v>1.0035000000000001</v>
      </c>
      <c r="AN11" s="1">
        <v>999.95</v>
      </c>
      <c r="AO11" s="21">
        <v>4</v>
      </c>
      <c r="AP11" s="17">
        <v>0.9999749</v>
      </c>
      <c r="AQ11" s="17">
        <v>999.97</v>
      </c>
      <c r="AR11" s="17">
        <v>1.9402999999999999</v>
      </c>
      <c r="AS11" s="17">
        <v>62.426400000000001</v>
      </c>
      <c r="AT11" s="17">
        <v>8.3452000000000002</v>
      </c>
      <c r="AU11" s="17">
        <v>9.8064</v>
      </c>
      <c r="AV11" s="17">
        <v>62.426000000000002</v>
      </c>
      <c r="AW11" s="22">
        <v>3.0000000000000001E-3</v>
      </c>
      <c r="AY11" s="1">
        <f>AQ11-AQ10</f>
        <v>7.0000000000050022E-2</v>
      </c>
    </row>
    <row r="12" spans="2:51" ht="15.75" customHeight="1" thickBot="1">
      <c r="B12" s="61"/>
      <c r="C12" s="69" t="s">
        <v>120</v>
      </c>
      <c r="D12" s="70"/>
      <c r="E12" s="71">
        <f>VLOOKUP(C11,n!H4:I29,2,FALSE)</f>
        <v>1.0999999999999999E-2</v>
      </c>
      <c r="F12" s="72"/>
      <c r="G12" s="68"/>
      <c r="H12" s="63"/>
      <c r="I12" s="63"/>
      <c r="J12" s="73"/>
      <c r="K12" s="64"/>
      <c r="N12" s="43">
        <v>10</v>
      </c>
      <c r="O12" s="46">
        <v>1.3060000000000001E-3</v>
      </c>
      <c r="P12" s="46">
        <v>1.3065</v>
      </c>
      <c r="Q12" s="46">
        <v>999.7</v>
      </c>
      <c r="W12" s="1" t="s">
        <v>89</v>
      </c>
      <c r="X12" s="16">
        <f>INDEX(O10:O22,MATCH(X8,N10:N22,1)+1)</f>
        <v>7.9719999999999997E-4</v>
      </c>
      <c r="Y12" s="16">
        <f>INDEX(P10:P22,MATCH(Y8,N10:N22,1)+1)</f>
        <v>0.80069999999999997</v>
      </c>
      <c r="Z12" s="16">
        <f>INDEX(Q10:Q22,MATCH(Z8,N10:N22,1)+1)</f>
        <v>995.65</v>
      </c>
      <c r="AA12" s="16"/>
      <c r="AB12" s="16"/>
      <c r="AC12" s="16"/>
      <c r="AD12" s="21">
        <v>25</v>
      </c>
      <c r="AE12" s="17">
        <v>8.8999999999999995E-4</v>
      </c>
      <c r="AF12" s="22">
        <v>0.89270000000000005</v>
      </c>
      <c r="AG12" s="17">
        <v>1.8589</v>
      </c>
      <c r="AH12" s="22">
        <v>0.89270000000000005</v>
      </c>
      <c r="AI12" s="1">
        <f>AP15</f>
        <v>0.99704700000000002</v>
      </c>
      <c r="AJ12" s="1">
        <v>997.04700000000003</v>
      </c>
      <c r="AK12" s="21">
        <v>25</v>
      </c>
      <c r="AL12" s="17">
        <v>8.8999999999999995E-4</v>
      </c>
      <c r="AM12" s="22">
        <v>0.89270000000000005</v>
      </c>
      <c r="AN12" s="1">
        <f>AQ12</f>
        <v>999.7</v>
      </c>
      <c r="AO12" s="21">
        <v>10</v>
      </c>
      <c r="AP12" s="17">
        <v>0.99970000000000003</v>
      </c>
      <c r="AQ12" s="17">
        <v>999.7</v>
      </c>
      <c r="AR12" s="17">
        <v>1.9397</v>
      </c>
      <c r="AS12" s="17">
        <v>62.409399999999998</v>
      </c>
      <c r="AT12" s="17">
        <v>8.3429000000000002</v>
      </c>
      <c r="AU12" s="17">
        <v>9.8036999999999992</v>
      </c>
      <c r="AV12" s="17">
        <v>62.408999999999999</v>
      </c>
      <c r="AW12" s="22">
        <v>0.88</v>
      </c>
      <c r="AY12" s="1">
        <f>AY11/3</f>
        <v>2.3333333333350009E-2</v>
      </c>
    </row>
    <row r="13" spans="2:51" ht="15.75" customHeight="1" thickBot="1">
      <c r="B13" s="61"/>
      <c r="C13" s="107" t="s">
        <v>128</v>
      </c>
      <c r="D13" s="108"/>
      <c r="E13" s="139">
        <v>1.44</v>
      </c>
      <c r="F13" s="109" t="s">
        <v>127</v>
      </c>
      <c r="G13" s="68"/>
      <c r="H13" s="63"/>
      <c r="I13" s="63"/>
      <c r="J13" s="73"/>
      <c r="K13" s="64"/>
      <c r="N13" s="43">
        <v>20</v>
      </c>
      <c r="O13" s="46">
        <v>1.0016000000000001E-3</v>
      </c>
      <c r="P13" s="46">
        <v>1.0035000000000001</v>
      </c>
      <c r="Q13" s="46">
        <v>998.21</v>
      </c>
      <c r="X13" s="16">
        <f>FORECAST(X8,X11:X12,X9:X10)</f>
        <v>8.9940000000000007E-4</v>
      </c>
      <c r="Y13" s="16">
        <f>FORECAST(Y8,Y11:Y12,Y9:Y10)</f>
        <v>0.90210000000000001</v>
      </c>
      <c r="Z13" s="16">
        <f>FORECAST(Z8,Z11:Z12,Z9:Z10)</f>
        <v>996.93000000000006</v>
      </c>
      <c r="AA13" s="16"/>
      <c r="AB13" s="16"/>
      <c r="AC13" s="16"/>
      <c r="AD13" s="21">
        <v>30</v>
      </c>
      <c r="AE13" s="17">
        <v>7.9719999999999997E-4</v>
      </c>
      <c r="AF13" s="22">
        <v>0.80069999999999997</v>
      </c>
      <c r="AG13" s="17">
        <v>1.665</v>
      </c>
      <c r="AH13" s="22">
        <v>0.80069999999999997</v>
      </c>
      <c r="AI13" s="1">
        <f>AP16</f>
        <v>0.9956488</v>
      </c>
      <c r="AJ13" s="1">
        <v>995.64880000000005</v>
      </c>
      <c r="AK13" s="21">
        <v>30</v>
      </c>
      <c r="AL13" s="17">
        <v>7.9719999999999997E-4</v>
      </c>
      <c r="AM13" s="22">
        <v>0.80069999999999997</v>
      </c>
      <c r="AN13" s="1">
        <f>AQ14</f>
        <v>998.21</v>
      </c>
      <c r="AO13" s="21">
        <v>15</v>
      </c>
      <c r="AP13" s="17">
        <v>0.99910259999999995</v>
      </c>
      <c r="AQ13" s="17">
        <v>999.1</v>
      </c>
      <c r="AR13" s="17">
        <v>1.9386000000000001</v>
      </c>
      <c r="AS13" s="17">
        <v>62.371899999999997</v>
      </c>
      <c r="AT13" s="17">
        <v>8.3378999999999994</v>
      </c>
      <c r="AU13" s="17">
        <v>9.7978000000000005</v>
      </c>
      <c r="AV13" s="17">
        <v>62.372</v>
      </c>
      <c r="AW13" s="22">
        <v>1.51</v>
      </c>
      <c r="AY13" s="1">
        <f>AN11-AY12</f>
        <v>999.92666666666673</v>
      </c>
    </row>
    <row r="14" spans="2:51" ht="15.75" customHeight="1" thickBot="1">
      <c r="B14" s="61"/>
      <c r="C14" s="63"/>
      <c r="D14" s="63"/>
      <c r="E14" s="63"/>
      <c r="F14" s="68"/>
      <c r="G14" s="68"/>
      <c r="H14" s="63"/>
      <c r="I14" s="63"/>
      <c r="J14" s="73"/>
      <c r="K14" s="64"/>
      <c r="N14" s="43">
        <v>30</v>
      </c>
      <c r="O14" s="46">
        <v>7.9719999999999997E-4</v>
      </c>
      <c r="P14" s="46">
        <v>0.80069999999999997</v>
      </c>
      <c r="Q14" s="46">
        <v>995.65</v>
      </c>
      <c r="AD14" s="21">
        <v>40</v>
      </c>
      <c r="AE14" s="17">
        <v>6.5269999999999998E-4</v>
      </c>
      <c r="AF14" s="22">
        <v>0.65790000000000004</v>
      </c>
      <c r="AG14" s="17">
        <v>1.3632</v>
      </c>
      <c r="AH14" s="22">
        <v>0.65790000000000004</v>
      </c>
      <c r="AI14" s="1">
        <f>AP18</f>
        <v>0.99221519999999996</v>
      </c>
      <c r="AJ14" s="1">
        <v>992.21519999999998</v>
      </c>
      <c r="AK14" s="21">
        <v>40</v>
      </c>
      <c r="AL14" s="17">
        <v>6.5269999999999998E-4</v>
      </c>
      <c r="AM14" s="22">
        <v>0.65790000000000004</v>
      </c>
      <c r="AN14" s="1">
        <f>AQ16</f>
        <v>995.65</v>
      </c>
      <c r="AO14" s="21">
        <v>20</v>
      </c>
      <c r="AP14" s="17">
        <v>0.9982067</v>
      </c>
      <c r="AQ14" s="17">
        <v>998.21</v>
      </c>
      <c r="AR14" s="17">
        <v>1.9368000000000001</v>
      </c>
      <c r="AS14" s="17">
        <v>62.316000000000003</v>
      </c>
      <c r="AT14" s="17">
        <v>8.3303999999999991</v>
      </c>
      <c r="AU14" s="17">
        <v>9.7890999999999995</v>
      </c>
      <c r="AV14" s="17">
        <v>62.316000000000003</v>
      </c>
      <c r="AW14" s="22">
        <v>2.0699999999999998</v>
      </c>
    </row>
    <row r="15" spans="2:51" ht="15.75" customHeight="1" thickBot="1">
      <c r="B15" s="61"/>
      <c r="C15" s="63"/>
      <c r="D15" s="63"/>
      <c r="E15" s="63"/>
      <c r="F15" s="68"/>
      <c r="G15" s="68"/>
      <c r="H15" s="63"/>
      <c r="I15" s="63"/>
      <c r="J15" s="73"/>
      <c r="K15" s="64"/>
      <c r="N15" s="43">
        <v>40</v>
      </c>
      <c r="O15" s="46">
        <v>6.5269999999999998E-4</v>
      </c>
      <c r="P15" s="46">
        <v>0.65790000000000004</v>
      </c>
      <c r="Q15" s="46">
        <v>992.22</v>
      </c>
      <c r="AD15" s="21">
        <v>50</v>
      </c>
      <c r="AE15" s="17">
        <v>5.465E-4</v>
      </c>
      <c r="AF15" s="22">
        <v>0.55310000000000004</v>
      </c>
      <c r="AG15" s="17">
        <v>1.1414</v>
      </c>
      <c r="AH15" s="22">
        <v>0.55310000000000004</v>
      </c>
      <c r="AI15" s="1">
        <f>AP20</f>
        <v>0.98804000000000003</v>
      </c>
      <c r="AJ15" s="1">
        <v>988.04000000000008</v>
      </c>
      <c r="AK15" s="21">
        <v>50</v>
      </c>
      <c r="AL15" s="17">
        <v>5.465E-4</v>
      </c>
      <c r="AM15" s="22">
        <v>0.55310000000000004</v>
      </c>
      <c r="AN15" s="1">
        <f>AQ18</f>
        <v>992.22</v>
      </c>
      <c r="AO15" s="21">
        <v>25</v>
      </c>
      <c r="AP15" s="17">
        <v>0.99704700000000002</v>
      </c>
      <c r="AQ15" s="17">
        <v>997.05</v>
      </c>
      <c r="AR15" s="17">
        <v>1.9346000000000001</v>
      </c>
      <c r="AS15" s="17">
        <v>62.243600000000001</v>
      </c>
      <c r="AT15" s="17">
        <v>8.3208000000000002</v>
      </c>
      <c r="AU15" s="17">
        <v>9.7776999999999994</v>
      </c>
      <c r="AV15" s="17">
        <v>62.244</v>
      </c>
      <c r="AW15" s="22">
        <v>2.57</v>
      </c>
    </row>
    <row r="16" spans="2:51" ht="15.75" customHeight="1" thickBot="1">
      <c r="B16" s="61"/>
      <c r="C16" s="63"/>
      <c r="D16" s="63"/>
      <c r="E16" s="63"/>
      <c r="F16" s="68"/>
      <c r="G16" s="68"/>
      <c r="H16" s="63"/>
      <c r="I16" s="63"/>
      <c r="J16" s="73"/>
      <c r="K16" s="64"/>
      <c r="N16" s="43">
        <v>50</v>
      </c>
      <c r="O16" s="46">
        <v>5.465E-4</v>
      </c>
      <c r="P16" s="46">
        <v>0.55310000000000004</v>
      </c>
      <c r="Q16" s="46">
        <v>988.04</v>
      </c>
      <c r="AD16" s="21">
        <v>60</v>
      </c>
      <c r="AE16" s="17">
        <v>4.66E-4</v>
      </c>
      <c r="AF16" s="22">
        <v>0.47399999999999998</v>
      </c>
      <c r="AG16" s="17">
        <v>0.97330000000000005</v>
      </c>
      <c r="AH16" s="22">
        <v>0.47399999999999998</v>
      </c>
      <c r="AI16" s="1">
        <f>AP22</f>
        <v>0.98319999999999996</v>
      </c>
      <c r="AJ16" s="1">
        <v>983.19999999999993</v>
      </c>
      <c r="AK16" s="21">
        <v>60</v>
      </c>
      <c r="AL16" s="17">
        <v>4.66E-4</v>
      </c>
      <c r="AM16" s="22">
        <v>0.47399999999999998</v>
      </c>
      <c r="AN16" s="1">
        <f>AQ20</f>
        <v>988.04</v>
      </c>
      <c r="AO16" s="21">
        <v>30</v>
      </c>
      <c r="AP16" s="17">
        <v>0.9956488</v>
      </c>
      <c r="AQ16" s="17">
        <v>995.65</v>
      </c>
      <c r="AR16" s="17">
        <v>1.9319</v>
      </c>
      <c r="AS16" s="17">
        <v>62.156300000000002</v>
      </c>
      <c r="AT16" s="17">
        <v>8.3091000000000008</v>
      </c>
      <c r="AU16" s="17">
        <v>9.7639999999999993</v>
      </c>
      <c r="AV16" s="17">
        <v>62.155999999999999</v>
      </c>
      <c r="AW16" s="22">
        <v>3.03</v>
      </c>
    </row>
    <row r="17" spans="2:49" ht="15.75" customHeight="1" thickBot="1">
      <c r="B17" s="61"/>
      <c r="C17" s="63"/>
      <c r="D17" s="63"/>
      <c r="E17" s="63"/>
      <c r="F17" s="68"/>
      <c r="G17" s="68"/>
      <c r="H17" s="63"/>
      <c r="I17" s="63"/>
      <c r="J17" s="73"/>
      <c r="K17" s="64"/>
      <c r="N17" s="43">
        <v>60</v>
      </c>
      <c r="O17" s="46">
        <v>4.66E-4</v>
      </c>
      <c r="P17" s="46">
        <v>0.47399999999999998</v>
      </c>
      <c r="Q17" s="46">
        <v>983.2</v>
      </c>
      <c r="W17" s="54" t="s">
        <v>126</v>
      </c>
      <c r="X17" s="53" t="s">
        <v>136</v>
      </c>
      <c r="Z17" s="53">
        <f>E13</f>
        <v>1.44</v>
      </c>
      <c r="AA17" s="53">
        <v>0</v>
      </c>
      <c r="AD17" s="21">
        <v>70</v>
      </c>
      <c r="AE17" s="17">
        <v>4.035E-4</v>
      </c>
      <c r="AF17" s="22">
        <v>0.41270000000000001</v>
      </c>
      <c r="AG17" s="17">
        <v>0.84279999999999999</v>
      </c>
      <c r="AH17" s="22">
        <v>0.41270000000000001</v>
      </c>
      <c r="AI17" s="1">
        <f>AP24</f>
        <v>0.97775999999999996</v>
      </c>
      <c r="AJ17" s="1">
        <v>977.76</v>
      </c>
      <c r="AK17" s="21">
        <v>70</v>
      </c>
      <c r="AL17" s="17">
        <v>4.035E-4</v>
      </c>
      <c r="AM17" s="22">
        <v>0.41270000000000001</v>
      </c>
      <c r="AN17" s="1">
        <f>AQ22</f>
        <v>983.2</v>
      </c>
      <c r="AO17" s="21">
        <v>35</v>
      </c>
      <c r="AP17" s="17">
        <v>0.99403260000000004</v>
      </c>
      <c r="AQ17" s="17">
        <v>994.03</v>
      </c>
      <c r="AR17" s="17">
        <v>1.9287000000000001</v>
      </c>
      <c r="AS17" s="17">
        <v>62.055399999999999</v>
      </c>
      <c r="AT17" s="17">
        <v>8.2956000000000003</v>
      </c>
      <c r="AU17" s="17">
        <v>9.7481000000000009</v>
      </c>
      <c r="AV17" s="17">
        <v>62.055</v>
      </c>
      <c r="AW17" s="22">
        <v>3.45</v>
      </c>
    </row>
    <row r="18" spans="2:49" ht="15.75" customHeight="1" thickBot="1">
      <c r="B18" s="61"/>
      <c r="C18" s="63"/>
      <c r="D18" s="63"/>
      <c r="E18" s="63"/>
      <c r="F18" s="63"/>
      <c r="G18" s="63"/>
      <c r="H18" s="63"/>
      <c r="I18" s="63"/>
      <c r="J18" s="73"/>
      <c r="K18" s="64"/>
      <c r="N18" s="43">
        <v>70</v>
      </c>
      <c r="O18" s="46">
        <v>4.035E-4</v>
      </c>
      <c r="P18" s="46">
        <v>0.41270000000000001</v>
      </c>
      <c r="Q18" s="46">
        <v>977.76</v>
      </c>
      <c r="W18" s="53">
        <v>0.01</v>
      </c>
      <c r="X18" s="53">
        <f>(1/$E$12)*(($E$21/$J$21)^(2/3))*(($W18/100)^(1/2))*$E$21*1000</f>
        <v>2049.2838472485364</v>
      </c>
      <c r="Z18" s="53">
        <f>Z17</f>
        <v>1.44</v>
      </c>
      <c r="AA18" s="56">
        <f>J23*1000</f>
        <v>24591.40616698243</v>
      </c>
      <c r="AD18" s="21">
        <v>80</v>
      </c>
      <c r="AE18" s="17">
        <v>3.5399999999999999E-4</v>
      </c>
      <c r="AF18" s="22">
        <v>0.36430000000000001</v>
      </c>
      <c r="AG18" s="17">
        <v>0.73939999999999995</v>
      </c>
      <c r="AH18" s="22">
        <v>0.36430000000000001</v>
      </c>
      <c r="AI18" s="1">
        <f>AP26</f>
        <v>0.97179000000000004</v>
      </c>
      <c r="AJ18" s="1">
        <v>971.79000000000008</v>
      </c>
      <c r="AK18" s="21">
        <v>80</v>
      </c>
      <c r="AL18" s="17">
        <v>3.5399999999999999E-4</v>
      </c>
      <c r="AM18" s="22">
        <v>0.36430000000000001</v>
      </c>
      <c r="AN18" s="1">
        <f>AQ24</f>
        <v>977.76</v>
      </c>
      <c r="AO18" s="21">
        <v>40</v>
      </c>
      <c r="AP18" s="17">
        <v>0.99221519999999996</v>
      </c>
      <c r="AQ18" s="17">
        <v>992.22</v>
      </c>
      <c r="AR18" s="17">
        <v>1.9252</v>
      </c>
      <c r="AS18" s="17">
        <v>61.942</v>
      </c>
      <c r="AT18" s="17">
        <v>8.2804000000000002</v>
      </c>
      <c r="AU18" s="17">
        <v>9.7302999999999997</v>
      </c>
      <c r="AV18" s="17">
        <v>61.942</v>
      </c>
      <c r="AW18" s="22">
        <v>3.84</v>
      </c>
    </row>
    <row r="19" spans="2:49" ht="15.75" customHeight="1" thickBot="1">
      <c r="B19" s="61"/>
      <c r="C19" s="90" t="s">
        <v>110</v>
      </c>
      <c r="D19" s="90"/>
      <c r="E19" s="63"/>
      <c r="F19" s="63"/>
      <c r="G19" s="63"/>
      <c r="H19" s="63"/>
      <c r="I19" s="63"/>
      <c r="J19" s="63"/>
      <c r="K19" s="64"/>
      <c r="N19" s="43">
        <v>80</v>
      </c>
      <c r="O19" s="46">
        <v>3.5399999999999999E-4</v>
      </c>
      <c r="P19" s="46">
        <v>0.36430000000000001</v>
      </c>
      <c r="Q19" s="46">
        <v>971.79</v>
      </c>
      <c r="W19" s="53">
        <v>0.05</v>
      </c>
      <c r="X19" s="53">
        <f>(1/$E$12)*(($E$21/$J$21)^(2/3))*(($W19/100)^(1/2))*$E$21*1000</f>
        <v>4582.3379876400222</v>
      </c>
      <c r="Z19" s="53">
        <v>0</v>
      </c>
      <c r="AA19" s="56">
        <f>AA18</f>
        <v>24591.40616698243</v>
      </c>
      <c r="AD19" s="23">
        <v>90</v>
      </c>
      <c r="AE19" s="17">
        <v>3.1419999999999999E-4</v>
      </c>
      <c r="AF19" s="22">
        <v>0.32550000000000001</v>
      </c>
      <c r="AG19" s="17">
        <v>0.65620000000000001</v>
      </c>
      <c r="AH19" s="22">
        <v>0.32550000000000001</v>
      </c>
      <c r="AI19" s="1">
        <f>AP28</f>
        <v>0.96531</v>
      </c>
      <c r="AJ19" s="1">
        <v>965.31</v>
      </c>
      <c r="AK19" s="21">
        <v>90</v>
      </c>
      <c r="AL19" s="17">
        <v>3.1419999999999999E-4</v>
      </c>
      <c r="AM19" s="22">
        <v>0.32550000000000001</v>
      </c>
      <c r="AN19" s="1">
        <f>AQ26</f>
        <v>971.79</v>
      </c>
      <c r="AO19" s="21">
        <v>45</v>
      </c>
      <c r="AP19" s="17">
        <v>0.99021000000000003</v>
      </c>
      <c r="AQ19" s="17">
        <v>990.21</v>
      </c>
      <c r="AR19" s="17">
        <v>1.9213</v>
      </c>
      <c r="AS19" s="17">
        <v>61.816800000000001</v>
      </c>
      <c r="AT19" s="17">
        <v>8.2637</v>
      </c>
      <c r="AU19" s="17">
        <v>9.7105999999999995</v>
      </c>
      <c r="AV19" s="17">
        <v>61.817</v>
      </c>
      <c r="AW19" s="22">
        <v>4.2</v>
      </c>
    </row>
    <row r="20" spans="2:49" ht="15.75" customHeight="1" thickBot="1">
      <c r="B20" s="61"/>
      <c r="C20" s="91" t="s">
        <v>132</v>
      </c>
      <c r="D20" s="92"/>
      <c r="E20" s="93">
        <f>IF(E9&gt;(E8/2),4*(ACOS((E9/E8)^0.5))*360/(2*PI()),4*(ASIN((E9/E8)^0.5))*360/(2*PI()))</f>
        <v>171.17654842845965</v>
      </c>
      <c r="F20" s="94"/>
      <c r="G20" s="94"/>
      <c r="H20" s="94"/>
      <c r="I20" s="94"/>
      <c r="J20" s="95"/>
      <c r="K20" s="64"/>
      <c r="N20" s="43">
        <v>90</v>
      </c>
      <c r="O20" s="46">
        <v>3.1419999999999999E-4</v>
      </c>
      <c r="P20" s="46">
        <v>0.32550000000000001</v>
      </c>
      <c r="Q20" s="46">
        <v>965.31</v>
      </c>
      <c r="W20" s="53">
        <v>0.1</v>
      </c>
      <c r="X20" s="53">
        <f t="shared" ref="X20:X38" si="1">(1/$E$12)*(($E$21/$J$21)^(2/3))*(($W20/100)^(1/2))*$E$21*1000</f>
        <v>6480.4045294979551</v>
      </c>
      <c r="AD20" s="24">
        <v>100</v>
      </c>
      <c r="AE20" s="25">
        <v>2.8160000000000001E-4</v>
      </c>
      <c r="AF20" s="34">
        <v>0.29380000000000001</v>
      </c>
      <c r="AG20" s="25">
        <v>0.58809999999999996</v>
      </c>
      <c r="AH20" s="26">
        <v>0.29380000000000001</v>
      </c>
      <c r="AI20" s="1">
        <f>AP30</f>
        <v>0.95835000000000004</v>
      </c>
      <c r="AJ20" s="1">
        <v>958.35</v>
      </c>
      <c r="AK20" s="32">
        <v>100</v>
      </c>
      <c r="AL20" s="33">
        <v>2.8160000000000001E-4</v>
      </c>
      <c r="AM20" s="34">
        <v>0.29380000000000001</v>
      </c>
      <c r="AN20" s="1">
        <f>AQ28</f>
        <v>965.31</v>
      </c>
      <c r="AO20" s="21">
        <v>50</v>
      </c>
      <c r="AP20" s="17">
        <v>0.98804000000000003</v>
      </c>
      <c r="AQ20" s="17">
        <v>988.04</v>
      </c>
      <c r="AR20" s="17">
        <v>1.9171</v>
      </c>
      <c r="AS20" s="17">
        <v>61.6813</v>
      </c>
      <c r="AT20" s="17">
        <v>8.2455999999999996</v>
      </c>
      <c r="AU20" s="17">
        <v>9.6893999999999991</v>
      </c>
      <c r="AV20" s="17">
        <v>61.680999999999997</v>
      </c>
      <c r="AW20" s="22">
        <v>4.54</v>
      </c>
    </row>
    <row r="21" spans="2:49" ht="15.75" customHeight="1" thickTop="1" thickBot="1">
      <c r="B21" s="61"/>
      <c r="C21" s="96" t="s">
        <v>111</v>
      </c>
      <c r="D21" s="63"/>
      <c r="E21" s="97">
        <f>IF(E9&gt;(E8/2),((E8^2)/8)*((PI()*2-(PI()*E20/180)+(SIN(E20*2*PI()/360)))),((E8)^2)/8*((PI()*E20/180-SIN(E20*2*PI()/360))))</f>
        <v>2.9143891539615638</v>
      </c>
      <c r="F21" s="63"/>
      <c r="G21" s="98" t="s">
        <v>112</v>
      </c>
      <c r="H21" s="63"/>
      <c r="I21" s="63"/>
      <c r="J21" s="99">
        <f>IF(E9&gt;(E8/2),(PI()*E8*(360-E20)/360),(PI()*E8*E20)/360)</f>
        <v>4.284268215374472</v>
      </c>
      <c r="K21" s="64"/>
      <c r="N21" s="43">
        <v>100</v>
      </c>
      <c r="O21" s="46">
        <v>2.8160000000000001E-4</v>
      </c>
      <c r="P21" s="46">
        <v>0.29380000000000001</v>
      </c>
      <c r="Q21" s="46">
        <v>958.35</v>
      </c>
      <c r="W21" s="53">
        <v>0.2</v>
      </c>
      <c r="X21" s="53">
        <f t="shared" si="1"/>
        <v>9164.6759752800444</v>
      </c>
      <c r="AD21" s="39">
        <v>110</v>
      </c>
      <c r="AE21" s="40">
        <v>2.5460000000000001E-4</v>
      </c>
      <c r="AF21" s="40">
        <v>0.26769999999999999</v>
      </c>
      <c r="AG21" s="40">
        <v>1.8451</v>
      </c>
      <c r="AH21" s="40">
        <v>59.365900000000003</v>
      </c>
      <c r="AI21" s="40">
        <v>7.9360999999999997</v>
      </c>
      <c r="AJ21" s="1">
        <v>950.95</v>
      </c>
      <c r="AK21" s="40">
        <v>59.366</v>
      </c>
      <c r="AL21" s="41">
        <v>8.01</v>
      </c>
      <c r="AN21" s="1">
        <f>AQ30</f>
        <v>958.35</v>
      </c>
      <c r="AO21" s="21">
        <v>55</v>
      </c>
      <c r="AP21" s="17">
        <v>0.98568999999999996</v>
      </c>
      <c r="AQ21" s="17">
        <v>985.69</v>
      </c>
      <c r="AR21" s="17">
        <v>1.9126000000000001</v>
      </c>
      <c r="AS21" s="17">
        <v>61.534599999999998</v>
      </c>
      <c r="AT21" s="17">
        <v>8.2260000000000009</v>
      </c>
      <c r="AU21" s="17">
        <v>9.6662999999999997</v>
      </c>
      <c r="AV21" s="17">
        <v>61.534999999999997</v>
      </c>
      <c r="AW21" s="22">
        <v>4.8600000000000003</v>
      </c>
    </row>
    <row r="22" spans="2:49" ht="15.75" customHeight="1" thickTop="1" thickBot="1">
      <c r="B22" s="61"/>
      <c r="C22" s="96" t="s">
        <v>116</v>
      </c>
      <c r="D22" s="63"/>
      <c r="E22" s="97">
        <f>E8*SIN((E20/2)*PI()/180)</f>
        <v>2.5922962793631439</v>
      </c>
      <c r="F22" s="63"/>
      <c r="G22" s="98" t="s">
        <v>113</v>
      </c>
      <c r="H22" s="63"/>
      <c r="I22" s="63"/>
      <c r="J22" s="99">
        <f>E21/J21</f>
        <v>0.68025366467557347</v>
      </c>
      <c r="K22" s="64"/>
      <c r="N22" s="44">
        <v>110</v>
      </c>
      <c r="O22" s="47">
        <v>2.5460000000000001E-4</v>
      </c>
      <c r="P22" s="47">
        <v>0.26769999999999999</v>
      </c>
      <c r="Q22" s="47">
        <v>950.95</v>
      </c>
      <c r="W22" s="53">
        <v>0.3</v>
      </c>
      <c r="X22" s="53">
        <f t="shared" si="1"/>
        <v>11224.389898689944</v>
      </c>
      <c r="AN22" s="1">
        <v>950.95</v>
      </c>
      <c r="AO22" s="21">
        <v>60</v>
      </c>
      <c r="AP22" s="17">
        <v>0.98319999999999996</v>
      </c>
      <c r="AQ22" s="17">
        <v>983.2</v>
      </c>
      <c r="AR22" s="17">
        <v>1.9077</v>
      </c>
      <c r="AS22" s="17">
        <v>61.379199999999997</v>
      </c>
      <c r="AT22" s="17">
        <v>8.2051999999999996</v>
      </c>
      <c r="AU22" s="17">
        <v>9.6418999999999997</v>
      </c>
      <c r="AV22" s="17">
        <v>61.378999999999998</v>
      </c>
      <c r="AW22" s="22">
        <v>5.16</v>
      </c>
    </row>
    <row r="23" spans="2:49" ht="15.75" customHeight="1" thickBot="1">
      <c r="B23" s="61"/>
      <c r="C23" s="96" t="s">
        <v>134</v>
      </c>
      <c r="D23" s="63"/>
      <c r="E23" s="97">
        <f>E9/E8</f>
        <v>0.53846153846153844</v>
      </c>
      <c r="F23" s="63"/>
      <c r="G23" s="98" t="s">
        <v>114</v>
      </c>
      <c r="H23" s="63"/>
      <c r="I23" s="63"/>
      <c r="J23" s="99">
        <f>J24*E21</f>
        <v>24.591406166982431</v>
      </c>
      <c r="K23" s="64"/>
      <c r="N23" s="55" t="s">
        <v>91</v>
      </c>
      <c r="O23" s="48" t="s">
        <v>100</v>
      </c>
      <c r="P23" s="48" t="s">
        <v>101</v>
      </c>
      <c r="Q23" s="48" t="s">
        <v>99</v>
      </c>
      <c r="W23" s="53">
        <v>0.4</v>
      </c>
      <c r="X23" s="53">
        <f t="shared" si="1"/>
        <v>12960.80905899591</v>
      </c>
      <c r="AO23" s="21">
        <v>65</v>
      </c>
      <c r="AP23" s="17">
        <v>0.98055000000000003</v>
      </c>
      <c r="AQ23" s="17">
        <v>980.55</v>
      </c>
      <c r="AR23" s="17">
        <v>1.9026000000000001</v>
      </c>
      <c r="AS23" s="17">
        <v>61.213700000000003</v>
      </c>
      <c r="AT23" s="17">
        <v>8.1830999999999996</v>
      </c>
      <c r="AU23" s="17">
        <v>9.6158999999999999</v>
      </c>
      <c r="AV23" s="17">
        <v>61.213999999999999</v>
      </c>
      <c r="AW23" s="22">
        <v>5.44</v>
      </c>
    </row>
    <row r="24" spans="2:49" ht="15.75" customHeight="1" thickBot="1">
      <c r="B24" s="61"/>
      <c r="C24" s="96" t="s">
        <v>133</v>
      </c>
      <c r="D24" s="63"/>
      <c r="E24" s="100">
        <f>Q24*J24*E21/(O24*J21)</f>
        <v>6362363.7198502645</v>
      </c>
      <c r="F24" s="63"/>
      <c r="G24" s="98" t="s">
        <v>115</v>
      </c>
      <c r="H24" s="63"/>
      <c r="I24" s="63"/>
      <c r="J24" s="99">
        <f>(1/$E$12)*(($E$21/$J$21)^(2/3))*(($E$13/100)^(1/2))</f>
        <v>8.4379281104429857</v>
      </c>
      <c r="K24" s="64"/>
      <c r="N24" s="142">
        <v>25</v>
      </c>
      <c r="O24" s="49">
        <f>X13</f>
        <v>8.9940000000000007E-4</v>
      </c>
      <c r="P24" s="49">
        <f>Y13</f>
        <v>0.90210000000000001</v>
      </c>
      <c r="Q24" s="49">
        <f>Z13</f>
        <v>996.93000000000006</v>
      </c>
      <c r="V24" s="1">
        <v>6.01</v>
      </c>
      <c r="W24" s="53">
        <v>0.5</v>
      </c>
      <c r="X24" s="53">
        <f t="shared" si="1"/>
        <v>14490.625049654969</v>
      </c>
      <c r="AO24" s="21">
        <v>70</v>
      </c>
      <c r="AP24" s="17">
        <v>0.97775999999999996</v>
      </c>
      <c r="AQ24" s="17">
        <v>977.76</v>
      </c>
      <c r="AR24" s="17">
        <v>1.8972</v>
      </c>
      <c r="AS24" s="17">
        <v>61.0396</v>
      </c>
      <c r="AT24" s="17">
        <v>8.1598000000000006</v>
      </c>
      <c r="AU24" s="17">
        <v>9.5885999999999996</v>
      </c>
      <c r="AV24" s="17">
        <v>61.04</v>
      </c>
      <c r="AW24" s="22">
        <v>5.71</v>
      </c>
    </row>
    <row r="25" spans="2:49" ht="15.75" customHeight="1" thickBot="1">
      <c r="B25" s="61"/>
      <c r="C25" s="101" t="s">
        <v>124</v>
      </c>
      <c r="D25" s="102"/>
      <c r="E25" s="167" t="str">
        <f>IF(E24&lt;500,"Laminar",IF(E24&lt;=2000,"Transitional","Turbulent"))</f>
        <v>Turbulent</v>
      </c>
      <c r="F25" s="167"/>
      <c r="G25" s="102"/>
      <c r="H25" s="102"/>
      <c r="I25" s="102"/>
      <c r="J25" s="149" t="str">
        <f>W4</f>
        <v>ความเร็วสูงเกินไป</v>
      </c>
      <c r="K25" s="64"/>
      <c r="N25" s="168" t="s">
        <v>93</v>
      </c>
      <c r="O25" s="169"/>
      <c r="W25" s="53">
        <v>0.6</v>
      </c>
      <c r="X25" s="53">
        <f t="shared" si="1"/>
        <v>15873.684424090889</v>
      </c>
      <c r="AO25" s="21">
        <v>75</v>
      </c>
      <c r="AP25" s="17">
        <v>0.97484000000000004</v>
      </c>
      <c r="AQ25" s="17">
        <v>974.84</v>
      </c>
      <c r="AR25" s="17">
        <v>1.8915</v>
      </c>
      <c r="AS25" s="17">
        <v>60.857300000000002</v>
      </c>
      <c r="AT25" s="17">
        <v>8.1354000000000006</v>
      </c>
      <c r="AU25" s="17">
        <v>9.5599000000000007</v>
      </c>
      <c r="AV25" s="17">
        <v>60.856999999999999</v>
      </c>
      <c r="AW25" s="22">
        <v>5.97</v>
      </c>
    </row>
    <row r="26" spans="2:49" ht="15.75" customHeight="1" thickBot="1">
      <c r="B26" s="61"/>
      <c r="C26" s="63"/>
      <c r="D26" s="63"/>
      <c r="E26" s="97"/>
      <c r="F26" s="63"/>
      <c r="G26" s="63"/>
      <c r="H26" s="63"/>
      <c r="I26" s="63"/>
      <c r="J26" s="63"/>
      <c r="K26" s="64"/>
      <c r="N26" s="55">
        <f>N24</f>
        <v>25</v>
      </c>
      <c r="O26" s="48">
        <f>O24</f>
        <v>8.9940000000000007E-4</v>
      </c>
      <c r="W26" s="53">
        <v>0.7</v>
      </c>
      <c r="X26" s="53">
        <f t="shared" si="1"/>
        <v>17145.538780148127</v>
      </c>
      <c r="AO26" s="21">
        <v>80</v>
      </c>
      <c r="AP26" s="17">
        <v>0.97179000000000004</v>
      </c>
      <c r="AQ26" s="17">
        <v>971.79</v>
      </c>
      <c r="AR26" s="17">
        <v>1.8855999999999999</v>
      </c>
      <c r="AS26" s="17">
        <v>60.666899999999998</v>
      </c>
      <c r="AT26" s="17">
        <v>8.11</v>
      </c>
      <c r="AU26" s="17">
        <v>9.5299999999999994</v>
      </c>
      <c r="AV26" s="17">
        <v>60.667000000000002</v>
      </c>
      <c r="AW26" s="22">
        <v>6.21</v>
      </c>
    </row>
    <row r="27" spans="2:49" ht="15.75" customHeight="1" thickBot="1">
      <c r="B27" s="61"/>
      <c r="C27" s="63"/>
      <c r="D27" s="63"/>
      <c r="E27" s="97"/>
      <c r="F27" s="63"/>
      <c r="G27" s="63"/>
      <c r="H27" s="63"/>
      <c r="I27" s="63"/>
      <c r="J27" s="63"/>
      <c r="K27" s="64"/>
      <c r="W27" s="53">
        <v>0.8</v>
      </c>
      <c r="X27" s="53">
        <f t="shared" si="1"/>
        <v>18329.351950560089</v>
      </c>
      <c r="AO27" s="21">
        <v>85</v>
      </c>
      <c r="AP27" s="17">
        <v>0.96860999999999997</v>
      </c>
      <c r="AQ27" s="17">
        <v>968.61</v>
      </c>
      <c r="AR27" s="17">
        <v>1.8794</v>
      </c>
      <c r="AS27" s="17">
        <v>60.468299999999999</v>
      </c>
      <c r="AT27" s="17">
        <v>8.0833999999999993</v>
      </c>
      <c r="AU27" s="17">
        <v>9.4987999999999992</v>
      </c>
      <c r="AV27" s="17">
        <v>60.468000000000004</v>
      </c>
      <c r="AW27" s="22">
        <v>6.44</v>
      </c>
    </row>
    <row r="28" spans="2:49" ht="15.75" customHeight="1" thickBot="1">
      <c r="B28" s="61"/>
      <c r="C28" s="63"/>
      <c r="D28" s="63"/>
      <c r="E28" s="97"/>
      <c r="F28" s="63"/>
      <c r="G28" s="63"/>
      <c r="H28" s="63"/>
      <c r="I28" s="63"/>
      <c r="J28" s="63"/>
      <c r="K28" s="64"/>
      <c r="P28" s="1" t="s">
        <v>90</v>
      </c>
      <c r="W28" s="53">
        <v>0.9</v>
      </c>
      <c r="X28" s="53">
        <f t="shared" si="1"/>
        <v>19441.213588493865</v>
      </c>
      <c r="AO28" s="21">
        <v>90</v>
      </c>
      <c r="AP28" s="17">
        <v>0.96531</v>
      </c>
      <c r="AQ28" s="17">
        <v>965.31</v>
      </c>
      <c r="AR28" s="17">
        <v>1.873</v>
      </c>
      <c r="AS28" s="17">
        <v>60.262300000000003</v>
      </c>
      <c r="AT28" s="17">
        <v>8.0558999999999994</v>
      </c>
      <c r="AU28" s="17">
        <v>9.4664999999999999</v>
      </c>
      <c r="AV28" s="17">
        <v>60.262</v>
      </c>
      <c r="AW28" s="22">
        <v>6.66</v>
      </c>
    </row>
    <row r="29" spans="2:49" ht="15.75" customHeight="1" thickBot="1">
      <c r="B29" s="61"/>
      <c r="C29" s="63"/>
      <c r="D29" s="63"/>
      <c r="E29" s="97"/>
      <c r="F29" s="63"/>
      <c r="G29" s="63"/>
      <c r="H29" s="63"/>
      <c r="I29" s="63"/>
      <c r="J29" s="63"/>
      <c r="K29" s="64"/>
      <c r="W29" s="53">
        <v>1</v>
      </c>
      <c r="X29" s="53">
        <f t="shared" si="1"/>
        <v>20492.838472485364</v>
      </c>
      <c r="AO29" s="21">
        <v>95</v>
      </c>
      <c r="AP29" s="17">
        <v>0.96189000000000002</v>
      </c>
      <c r="AQ29" s="17">
        <v>961.89</v>
      </c>
      <c r="AR29" s="17">
        <v>1.8664000000000001</v>
      </c>
      <c r="AS29" s="17">
        <v>60.0488</v>
      </c>
      <c r="AT29" s="17">
        <v>8.0274000000000001</v>
      </c>
      <c r="AU29" s="17">
        <v>9.4329000000000001</v>
      </c>
      <c r="AV29" s="17">
        <v>60.048999999999999</v>
      </c>
      <c r="AW29" s="22">
        <v>6.87</v>
      </c>
    </row>
    <row r="30" spans="2:49" ht="15.75" customHeight="1" thickBot="1">
      <c r="B30" s="61"/>
      <c r="C30" s="63"/>
      <c r="D30" s="63"/>
      <c r="E30" s="97"/>
      <c r="F30" s="63"/>
      <c r="G30" s="63"/>
      <c r="H30" s="63"/>
      <c r="I30" s="63"/>
      <c r="J30" s="63"/>
      <c r="K30" s="64"/>
      <c r="W30" s="53">
        <v>2</v>
      </c>
      <c r="X30" s="53">
        <f t="shared" si="1"/>
        <v>28981.250099309938</v>
      </c>
      <c r="AO30" s="32">
        <v>100</v>
      </c>
      <c r="AP30" s="33">
        <v>0.95835000000000004</v>
      </c>
      <c r="AQ30" s="33">
        <v>958.35</v>
      </c>
      <c r="AR30" s="33">
        <v>1.8594999999999999</v>
      </c>
      <c r="AS30" s="33">
        <v>59.827800000000003</v>
      </c>
      <c r="AT30" s="33">
        <v>7.9977999999999998</v>
      </c>
      <c r="AU30" s="33">
        <v>9.3981999999999992</v>
      </c>
      <c r="AV30" s="33">
        <v>59.828000000000003</v>
      </c>
      <c r="AW30" s="34">
        <v>7.03</v>
      </c>
    </row>
    <row r="31" spans="2:49" ht="15.75" customHeight="1" thickTop="1">
      <c r="B31" s="61"/>
      <c r="C31" s="63"/>
      <c r="D31" s="63"/>
      <c r="E31" s="97"/>
      <c r="F31" s="63"/>
      <c r="G31" s="63"/>
      <c r="H31" s="63"/>
      <c r="I31" s="63"/>
      <c r="J31" s="63"/>
      <c r="K31" s="64"/>
      <c r="W31" s="53">
        <v>3</v>
      </c>
      <c r="X31" s="53">
        <f t="shared" si="1"/>
        <v>35494.637425646826</v>
      </c>
    </row>
    <row r="32" spans="2:49" ht="15.75" customHeight="1">
      <c r="B32" s="61"/>
      <c r="C32" s="63"/>
      <c r="D32" s="63"/>
      <c r="E32" s="97"/>
      <c r="F32" s="63"/>
      <c r="G32" s="63"/>
      <c r="H32" s="63"/>
      <c r="I32" s="63"/>
      <c r="J32" s="63"/>
      <c r="K32" s="64"/>
      <c r="W32" s="53">
        <v>4</v>
      </c>
      <c r="X32" s="53">
        <f t="shared" si="1"/>
        <v>40985.676944970728</v>
      </c>
    </row>
    <row r="33" spans="2:24" ht="15.75" customHeight="1">
      <c r="B33" s="61"/>
      <c r="C33" s="63"/>
      <c r="D33" s="63"/>
      <c r="E33" s="97"/>
      <c r="F33" s="63"/>
      <c r="G33" s="63"/>
      <c r="H33" s="63"/>
      <c r="I33" s="63"/>
      <c r="J33" s="63"/>
      <c r="K33" s="64"/>
      <c r="W33" s="53">
        <v>5</v>
      </c>
      <c r="X33" s="53">
        <f t="shared" si="1"/>
        <v>45823.37987640022</v>
      </c>
    </row>
    <row r="34" spans="2:24" ht="15.75" customHeight="1">
      <c r="B34" s="61"/>
      <c r="C34" s="63"/>
      <c r="D34" s="63"/>
      <c r="E34" s="97"/>
      <c r="F34" s="63"/>
      <c r="G34" s="63"/>
      <c r="H34" s="63"/>
      <c r="I34" s="63"/>
      <c r="J34" s="63"/>
      <c r="K34" s="64"/>
      <c r="W34" s="53">
        <v>6</v>
      </c>
      <c r="X34" s="53">
        <f t="shared" si="1"/>
        <v>50196.997638865374</v>
      </c>
    </row>
    <row r="35" spans="2:24" ht="15.75" customHeight="1">
      <c r="B35" s="61"/>
      <c r="C35" s="63"/>
      <c r="D35" s="63"/>
      <c r="E35" s="97"/>
      <c r="F35" s="63"/>
      <c r="G35" s="63"/>
      <c r="H35" s="63"/>
      <c r="I35" s="63"/>
      <c r="J35" s="63"/>
      <c r="K35" s="64"/>
      <c r="W35" s="53">
        <v>7</v>
      </c>
      <c r="X35" s="53">
        <f t="shared" si="1"/>
        <v>54218.954256013036</v>
      </c>
    </row>
    <row r="36" spans="2:24" ht="15.75" customHeight="1">
      <c r="B36" s="61"/>
      <c r="C36" s="63"/>
      <c r="D36" s="63"/>
      <c r="E36" s="97"/>
      <c r="F36" s="63"/>
      <c r="G36" s="63"/>
      <c r="H36" s="63"/>
      <c r="I36" s="63"/>
      <c r="J36" s="63"/>
      <c r="K36" s="64"/>
      <c r="W36" s="53">
        <v>8</v>
      </c>
      <c r="X36" s="53">
        <f t="shared" si="1"/>
        <v>57962.500198619877</v>
      </c>
    </row>
    <row r="37" spans="2:24" ht="15.75" customHeight="1">
      <c r="B37" s="61"/>
      <c r="C37" s="63"/>
      <c r="D37" s="63"/>
      <c r="E37" s="97"/>
      <c r="F37" s="63"/>
      <c r="G37" s="63"/>
      <c r="H37" s="63"/>
      <c r="I37" s="63"/>
      <c r="J37" s="63"/>
      <c r="K37" s="64"/>
      <c r="W37" s="53">
        <v>9</v>
      </c>
      <c r="X37" s="53">
        <f t="shared" si="1"/>
        <v>61478.515417456081</v>
      </c>
    </row>
    <row r="38" spans="2:24" ht="15.75" customHeight="1">
      <c r="B38" s="61"/>
      <c r="C38" s="103"/>
      <c r="D38" s="103"/>
      <c r="E38" s="63"/>
      <c r="F38" s="63"/>
      <c r="G38" s="63"/>
      <c r="H38" s="63"/>
      <c r="I38" s="63"/>
      <c r="J38" s="63"/>
      <c r="K38" s="64"/>
      <c r="W38" s="53">
        <v>10</v>
      </c>
      <c r="X38" s="53">
        <f t="shared" si="1"/>
        <v>64804.045294979544</v>
      </c>
    </row>
    <row r="39" spans="2:24" ht="15.75" customHeight="1">
      <c r="B39" s="61"/>
      <c r="C39" s="103"/>
      <c r="D39" s="103"/>
      <c r="E39" s="63"/>
      <c r="F39" s="63"/>
      <c r="G39" s="63"/>
      <c r="H39" s="63"/>
      <c r="I39" s="63"/>
      <c r="J39" s="63"/>
      <c r="K39" s="64"/>
    </row>
    <row r="40" spans="2:24" ht="15.75" customHeight="1">
      <c r="B40" s="61"/>
      <c r="C40" s="103"/>
      <c r="D40" s="103"/>
      <c r="E40" s="63"/>
      <c r="F40" s="63"/>
      <c r="G40" s="63"/>
      <c r="H40" s="63"/>
      <c r="I40" s="63"/>
      <c r="J40" s="63"/>
      <c r="K40" s="64"/>
    </row>
    <row r="41" spans="2:24">
      <c r="B41" s="61"/>
      <c r="C41" s="103"/>
      <c r="D41" s="103"/>
      <c r="E41" s="63"/>
      <c r="F41" s="63"/>
      <c r="G41" s="63"/>
      <c r="H41" s="63"/>
      <c r="I41" s="63"/>
      <c r="J41" s="63"/>
      <c r="K41" s="64"/>
    </row>
    <row r="42" spans="2:24">
      <c r="B42" s="61"/>
      <c r="C42" s="103"/>
      <c r="D42" s="103"/>
      <c r="E42" s="63"/>
      <c r="F42" s="63"/>
      <c r="G42" s="63"/>
      <c r="H42" s="63"/>
      <c r="I42" s="63"/>
      <c r="J42" s="63"/>
      <c r="K42" s="64"/>
    </row>
    <row r="43" spans="2:24">
      <c r="B43" s="61"/>
      <c r="C43" s="103"/>
      <c r="D43" s="103"/>
      <c r="E43" s="63"/>
      <c r="F43" s="63"/>
      <c r="G43" s="63"/>
      <c r="H43" s="63"/>
      <c r="I43" s="63"/>
      <c r="J43" s="63"/>
      <c r="K43" s="64"/>
    </row>
    <row r="44" spans="2:24">
      <c r="B44" s="61"/>
      <c r="C44" s="103"/>
      <c r="D44" s="103"/>
      <c r="E44" s="63"/>
      <c r="F44" s="63"/>
      <c r="G44" s="63"/>
      <c r="H44" s="63"/>
      <c r="I44" s="63"/>
      <c r="J44" s="63"/>
      <c r="K44" s="64"/>
    </row>
    <row r="45" spans="2:24" ht="15.75" thickBot="1">
      <c r="B45" s="104"/>
      <c r="C45" s="105"/>
      <c r="D45" s="105"/>
      <c r="E45" s="105"/>
      <c r="F45" s="105"/>
      <c r="G45" s="105"/>
      <c r="H45" s="105"/>
      <c r="I45" s="105"/>
      <c r="J45" s="105"/>
      <c r="K45" s="106"/>
    </row>
    <row r="46" spans="2:24" ht="15.75" thickTop="1"/>
  </sheetData>
  <dataConsolidate/>
  <mergeCells count="9">
    <mergeCell ref="I3:K3"/>
    <mergeCell ref="I5:K5"/>
    <mergeCell ref="E25:F25"/>
    <mergeCell ref="N25:O25"/>
    <mergeCell ref="AP7:AT7"/>
    <mergeCell ref="AU7:AV7"/>
    <mergeCell ref="N8:P8"/>
    <mergeCell ref="C11:F11"/>
    <mergeCell ref="G5:H5"/>
  </mergeCells>
  <conditionalFormatting sqref="E25">
    <cfRule type="containsText" dxfId="3" priority="1" operator="containsText" text="Turbulent">
      <formula>NOT(ISERROR(SEARCH("Turbulent",E25)))</formula>
    </cfRule>
  </conditionalFormatting>
  <dataValidations disablePrompts="1" count="1">
    <dataValidation type="decimal" allowBlank="1" showErrorMessage="1" errorTitle="ป้อนค่าใหม่" error="ค่า Temp ต้องอยู่ระหว่าง 0.01 - 100 °C" sqref="N24" xr:uid="{736FBB24-CA0D-4494-B989-CE9535D15D2C}">
      <formula1>N10</formula1>
      <formula2>N21</formula2>
    </dataValidation>
  </dataValidations>
  <pageMargins left="0.75" right="0.25" top="0.75" bottom="0.75" header="0.3" footer="0.3"/>
  <pageSetup scale="17"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488C4AD-AF5A-4EF7-A41D-A65942D21EF8}">
          <x14:formula1>
            <xm:f>n!$H$4:$H$29</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9633-8F83-4548-AB2F-D6D7E9337BD2}">
  <sheetPr>
    <pageSetUpPr fitToPage="1"/>
  </sheetPr>
  <dimension ref="B1:AY46"/>
  <sheetViews>
    <sheetView topLeftCell="A31" zoomScale="98" zoomScaleNormal="98" workbookViewId="0">
      <selection activeCell="B2" sqref="B2:K45"/>
    </sheetView>
  </sheetViews>
  <sheetFormatPr defaultRowHeight="15"/>
  <cols>
    <col min="1" max="1" width="2.5703125" style="1" customWidth="1"/>
    <col min="2" max="2" width="2.85546875" style="1" customWidth="1"/>
    <col min="3" max="3" width="19.28515625" style="1" customWidth="1"/>
    <col min="4" max="4" width="15.7109375" style="1" customWidth="1"/>
    <col min="5" max="5" width="10.7109375" style="1" customWidth="1"/>
    <col min="6" max="6" width="8.140625" style="1" customWidth="1"/>
    <col min="7" max="7" width="9.140625" style="1" customWidth="1"/>
    <col min="8" max="8" width="5.140625" style="1" customWidth="1"/>
    <col min="9" max="9" width="10" style="1" customWidth="1"/>
    <col min="10" max="10" width="10.7109375" style="1" customWidth="1"/>
    <col min="11" max="11" width="1.7109375" style="1" customWidth="1"/>
    <col min="12" max="13" width="9.140625" style="1"/>
    <col min="14" max="14" width="22.42578125" style="1" bestFit="1" customWidth="1"/>
    <col min="15" max="15" width="24.7109375" style="1" bestFit="1" customWidth="1"/>
    <col min="16" max="16" width="23" style="1" customWidth="1"/>
    <col min="17" max="17" width="15.42578125" style="1" bestFit="1" customWidth="1"/>
    <col min="18" max="18" width="11.7109375" style="1" customWidth="1"/>
    <col min="19" max="19" width="11.85546875" style="1" customWidth="1"/>
    <col min="20" max="20" width="8" style="1" customWidth="1"/>
    <col min="21" max="23" width="9.140625" style="1" customWidth="1"/>
    <col min="24" max="24" width="13.85546875" style="1" customWidth="1"/>
    <col min="25" max="25" width="12.140625" style="1" customWidth="1"/>
    <col min="26" max="26" width="13" style="1" customWidth="1"/>
    <col min="27" max="27" width="12.42578125" style="1" bestFit="1" customWidth="1"/>
    <col min="28" max="30" width="9.140625" style="1" customWidth="1"/>
    <col min="31" max="31" width="11.140625" style="1" customWidth="1"/>
    <col min="32" max="32" width="26.28515625" style="1" customWidth="1"/>
    <col min="33" max="37" width="9.140625" style="1" customWidth="1"/>
    <col min="38" max="38" width="9.42578125" style="1" customWidth="1"/>
    <col min="39" max="39" width="9.140625" style="1" customWidth="1"/>
    <col min="40" max="40" width="19.5703125" style="1" customWidth="1"/>
    <col min="41" max="16384" width="9.140625" style="1"/>
  </cols>
  <sheetData>
    <row r="1" spans="2:51" ht="15.75" thickBot="1"/>
    <row r="2" spans="2:51" ht="15.75" thickTop="1">
      <c r="B2" s="77" t="s">
        <v>103</v>
      </c>
      <c r="C2" s="78"/>
      <c r="D2" s="133" t="s">
        <v>138</v>
      </c>
      <c r="E2" s="133"/>
      <c r="F2" s="133"/>
      <c r="G2" s="133"/>
      <c r="H2" s="134"/>
      <c r="I2" s="80" t="s">
        <v>108</v>
      </c>
      <c r="J2" s="79"/>
      <c r="K2" s="81"/>
    </row>
    <row r="3" spans="2:51">
      <c r="B3" s="82" t="s">
        <v>104</v>
      </c>
      <c r="C3" s="83"/>
      <c r="D3" s="135" t="s">
        <v>107</v>
      </c>
      <c r="E3" s="135"/>
      <c r="F3" s="135"/>
      <c r="G3" s="135"/>
      <c r="H3" s="136"/>
      <c r="I3" s="161"/>
      <c r="J3" s="162"/>
      <c r="K3" s="163"/>
    </row>
    <row r="4" spans="2:51">
      <c r="B4" s="82"/>
      <c r="C4" s="83"/>
      <c r="D4" s="135"/>
      <c r="E4" s="135"/>
      <c r="F4" s="135"/>
      <c r="G4" s="135"/>
      <c r="H4" s="136"/>
      <c r="I4" s="84" t="s">
        <v>109</v>
      </c>
      <c r="J4" s="85"/>
      <c r="K4" s="86"/>
      <c r="W4" s="1" t="str">
        <f>IF(J24&lt;0.7,"ความเร็วต่ำเกินไป",IF(J24&lt;=6,"","ความเร็วสูงเกินไป"))</f>
        <v>ความเร็วสูงเกินไป</v>
      </c>
    </row>
    <row r="5" spans="2:51" ht="15.75" thickBot="1">
      <c r="B5" s="87" t="s">
        <v>105</v>
      </c>
      <c r="C5" s="88"/>
      <c r="D5" s="137" t="s">
        <v>140</v>
      </c>
      <c r="E5" s="138"/>
      <c r="F5" s="89" t="s">
        <v>106</v>
      </c>
      <c r="G5" s="159">
        <f ca="1">NOW()-1</f>
        <v>45449.809083217595</v>
      </c>
      <c r="H5" s="160"/>
      <c r="I5" s="164"/>
      <c r="J5" s="165"/>
      <c r="K5" s="166"/>
    </row>
    <row r="6" spans="2:51" ht="15.75" customHeight="1" thickTop="1" thickBot="1">
      <c r="B6" s="57"/>
      <c r="C6" s="58" t="s">
        <v>64</v>
      </c>
      <c r="D6" s="58"/>
      <c r="E6" s="59"/>
      <c r="F6" s="59"/>
      <c r="G6" s="59"/>
      <c r="H6" s="59"/>
      <c r="I6" s="59"/>
      <c r="J6" s="59"/>
      <c r="K6" s="60"/>
    </row>
    <row r="7" spans="2:51" ht="15.75" customHeight="1" thickTop="1" thickBot="1">
      <c r="B7" s="61"/>
      <c r="C7" s="62"/>
      <c r="D7" s="62"/>
      <c r="E7" s="62"/>
      <c r="F7" s="63"/>
      <c r="G7" s="63"/>
      <c r="H7" s="63"/>
      <c r="I7" s="63"/>
      <c r="J7" s="63"/>
      <c r="K7" s="64"/>
      <c r="X7" s="16" t="s">
        <v>96</v>
      </c>
      <c r="Y7" s="16" t="s">
        <v>97</v>
      </c>
      <c r="Z7" s="16" t="s">
        <v>84</v>
      </c>
      <c r="AA7" s="16"/>
      <c r="AB7" s="16"/>
      <c r="AC7" s="16"/>
      <c r="AD7" s="28" t="s">
        <v>68</v>
      </c>
      <c r="AE7" s="35" t="s">
        <v>67</v>
      </c>
      <c r="AF7" s="29" t="s">
        <v>69</v>
      </c>
      <c r="AI7" s="1" t="s">
        <v>84</v>
      </c>
      <c r="AK7" s="28" t="s">
        <v>68</v>
      </c>
      <c r="AL7" s="35" t="s">
        <v>67</v>
      </c>
      <c r="AM7" s="29" t="s">
        <v>69</v>
      </c>
      <c r="AO7" s="28" t="s">
        <v>68</v>
      </c>
      <c r="AP7" s="150" t="s">
        <v>73</v>
      </c>
      <c r="AQ7" s="150"/>
      <c r="AR7" s="150"/>
      <c r="AS7" s="150"/>
      <c r="AT7" s="150"/>
      <c r="AU7" s="151" t="s">
        <v>74</v>
      </c>
      <c r="AV7" s="152"/>
      <c r="AW7" s="29" t="s">
        <v>75</v>
      </c>
    </row>
    <row r="8" spans="2:51" ht="15.75" customHeight="1" thickBot="1">
      <c r="B8" s="61"/>
      <c r="C8" s="65" t="s">
        <v>122</v>
      </c>
      <c r="D8" s="66"/>
      <c r="E8" s="143">
        <v>4.5</v>
      </c>
      <c r="F8" s="67" t="s">
        <v>28</v>
      </c>
      <c r="G8" s="68"/>
      <c r="H8" s="63"/>
      <c r="I8" s="63"/>
      <c r="J8" s="63"/>
      <c r="K8" s="64"/>
      <c r="N8" s="153" t="s">
        <v>66</v>
      </c>
      <c r="O8" s="154"/>
      <c r="P8" s="155"/>
      <c r="W8" s="1" t="s">
        <v>85</v>
      </c>
      <c r="X8" s="16">
        <f>N24</f>
        <v>25</v>
      </c>
      <c r="Y8" s="16">
        <f>N24</f>
        <v>25</v>
      </c>
      <c r="Z8" s="16">
        <f>Y8</f>
        <v>25</v>
      </c>
      <c r="AA8" s="16"/>
      <c r="AB8" s="16"/>
      <c r="AC8" s="16"/>
      <c r="AD8" s="30" t="s">
        <v>70</v>
      </c>
      <c r="AE8" s="27" t="s">
        <v>71</v>
      </c>
      <c r="AF8" s="31" t="s">
        <v>72</v>
      </c>
      <c r="AI8" s="36" t="s">
        <v>76</v>
      </c>
      <c r="AJ8" s="36" t="s">
        <v>77</v>
      </c>
      <c r="AK8" s="30" t="s">
        <v>70</v>
      </c>
      <c r="AL8" s="27" t="s">
        <v>71</v>
      </c>
      <c r="AM8" s="31" t="s">
        <v>72</v>
      </c>
      <c r="AO8" s="37" t="s">
        <v>70</v>
      </c>
      <c r="AP8" s="36" t="s">
        <v>76</v>
      </c>
      <c r="AQ8" s="36" t="s">
        <v>77</v>
      </c>
      <c r="AR8" s="36" t="s">
        <v>78</v>
      </c>
      <c r="AS8" s="36" t="s">
        <v>79</v>
      </c>
      <c r="AT8" s="36" t="s">
        <v>80</v>
      </c>
      <c r="AU8" s="36" t="s">
        <v>81</v>
      </c>
      <c r="AV8" s="36" t="s">
        <v>82</v>
      </c>
      <c r="AW8" s="38" t="s">
        <v>83</v>
      </c>
    </row>
    <row r="9" spans="2:51" ht="15.75" customHeight="1" thickTop="1" thickBot="1">
      <c r="B9" s="61"/>
      <c r="C9" s="69" t="s">
        <v>121</v>
      </c>
      <c r="D9" s="70"/>
      <c r="E9" s="144">
        <v>0.57699999999999996</v>
      </c>
      <c r="F9" s="72"/>
      <c r="G9" s="68"/>
      <c r="H9" s="63"/>
      <c r="I9" s="63"/>
      <c r="J9" s="63"/>
      <c r="K9" s="64"/>
      <c r="N9" s="51" t="s">
        <v>65</v>
      </c>
      <c r="O9" s="50" t="s">
        <v>92</v>
      </c>
      <c r="P9" s="52" t="s">
        <v>95</v>
      </c>
      <c r="Q9" s="52" t="s">
        <v>98</v>
      </c>
      <c r="W9" s="1" t="s">
        <v>86</v>
      </c>
      <c r="X9" s="16">
        <f>INDEX(N10:N22,MATCH(X8,N10:N22,1))</f>
        <v>20</v>
      </c>
      <c r="Y9" s="16">
        <f>X9</f>
        <v>20</v>
      </c>
      <c r="Z9" s="16">
        <f t="shared" ref="Z9:Z10" si="0">Y9</f>
        <v>20</v>
      </c>
      <c r="AA9" s="16"/>
      <c r="AB9" s="16"/>
      <c r="AC9" s="16"/>
      <c r="AD9" s="18">
        <v>0.01</v>
      </c>
      <c r="AE9" s="19">
        <v>1.7914000000000001E-3</v>
      </c>
      <c r="AF9" s="22">
        <v>1.7918000000000001</v>
      </c>
      <c r="AG9" s="19">
        <v>3.7414000000000001</v>
      </c>
      <c r="AH9" s="20">
        <v>1.7918000000000001</v>
      </c>
      <c r="AI9" s="1">
        <f>AP9</f>
        <v>0.99984949999999995</v>
      </c>
      <c r="AJ9" s="1">
        <v>999.84949999999992</v>
      </c>
      <c r="AK9" s="21">
        <v>0.01</v>
      </c>
      <c r="AL9" s="17">
        <v>1.7914000000000001E-3</v>
      </c>
      <c r="AM9" s="22">
        <v>1.7918000000000001</v>
      </c>
      <c r="AO9" s="21">
        <v>0.1</v>
      </c>
      <c r="AP9" s="17">
        <v>0.99984949999999995</v>
      </c>
      <c r="AQ9" s="17">
        <v>999.85</v>
      </c>
      <c r="AR9" s="17">
        <v>1.94</v>
      </c>
      <c r="AS9" s="17">
        <v>62.418599999999998</v>
      </c>
      <c r="AT9" s="17">
        <v>8.3440999999999992</v>
      </c>
      <c r="AU9" s="17">
        <v>9.8051999999999992</v>
      </c>
      <c r="AV9" s="17">
        <v>62.418999999999997</v>
      </c>
      <c r="AW9" s="22">
        <v>-0.68</v>
      </c>
    </row>
    <row r="10" spans="2:51" ht="15.75" customHeight="1" thickBot="1">
      <c r="B10" s="61"/>
      <c r="C10" s="69" t="s">
        <v>118</v>
      </c>
      <c r="D10" s="70"/>
      <c r="E10" s="144">
        <v>2.2000000000000002</v>
      </c>
      <c r="F10" s="72" t="s">
        <v>28</v>
      </c>
      <c r="G10" s="68"/>
      <c r="H10" s="63"/>
      <c r="I10" s="63"/>
      <c r="J10" s="73"/>
      <c r="K10" s="64"/>
      <c r="N10" s="42">
        <v>0.01</v>
      </c>
      <c r="O10" s="45">
        <v>1.7914000000000001E-3</v>
      </c>
      <c r="P10" s="46">
        <v>1.7918000000000001</v>
      </c>
      <c r="Q10" s="46">
        <v>999.85</v>
      </c>
      <c r="W10" s="1" t="s">
        <v>87</v>
      </c>
      <c r="X10" s="16">
        <f>INDEX(N10:N22,MATCH(X8,N10:N22,1)+1)</f>
        <v>30</v>
      </c>
      <c r="Y10" s="16">
        <f>X10</f>
        <v>30</v>
      </c>
      <c r="Z10" s="16">
        <f t="shared" si="0"/>
        <v>30</v>
      </c>
      <c r="AA10" s="16"/>
      <c r="AB10" s="16"/>
      <c r="AC10" s="16"/>
      <c r="AD10" s="21">
        <v>10</v>
      </c>
      <c r="AE10" s="17">
        <v>1.3060000000000001E-3</v>
      </c>
      <c r="AF10" s="22">
        <v>1.3065</v>
      </c>
      <c r="AG10" s="17">
        <v>2.7275999999999998</v>
      </c>
      <c r="AH10" s="22">
        <v>1.3065</v>
      </c>
      <c r="AI10" s="1">
        <f>AP12</f>
        <v>0.99970000000000003</v>
      </c>
      <c r="AJ10" s="1">
        <v>999.7</v>
      </c>
      <c r="AK10" s="21">
        <v>10</v>
      </c>
      <c r="AL10" s="17">
        <v>1.3060000000000001E-3</v>
      </c>
      <c r="AM10" s="22">
        <v>1.3065</v>
      </c>
      <c r="AN10" s="1">
        <f>AQ9</f>
        <v>999.85</v>
      </c>
      <c r="AO10" s="21">
        <v>1</v>
      </c>
      <c r="AP10" s="17">
        <v>0.9999017</v>
      </c>
      <c r="AQ10" s="17">
        <v>999.9</v>
      </c>
      <c r="AR10" s="17">
        <v>1.9400999999999999</v>
      </c>
      <c r="AS10" s="17">
        <v>62.421799999999998</v>
      </c>
      <c r="AT10" s="17">
        <v>8.3445999999999998</v>
      </c>
      <c r="AU10" s="17">
        <v>9.8056999999999999</v>
      </c>
      <c r="AV10" s="17">
        <v>62.421999999999997</v>
      </c>
      <c r="AW10" s="22">
        <v>-0.5</v>
      </c>
    </row>
    <row r="11" spans="2:51" ht="15.75" customHeight="1" thickBot="1">
      <c r="B11" s="61"/>
      <c r="C11" s="69" t="s">
        <v>119</v>
      </c>
      <c r="D11" s="74"/>
      <c r="E11" s="75"/>
      <c r="F11" s="76"/>
      <c r="G11" s="68"/>
      <c r="H11" s="63"/>
      <c r="I11" s="63"/>
      <c r="J11" s="63"/>
      <c r="K11" s="64"/>
      <c r="N11" s="43">
        <v>5</v>
      </c>
      <c r="O11" s="46">
        <v>1.5181999999999999E-3</v>
      </c>
      <c r="P11" s="46">
        <v>1.5182</v>
      </c>
      <c r="Q11" s="46">
        <v>999.95</v>
      </c>
      <c r="W11" s="1" t="s">
        <v>88</v>
      </c>
      <c r="X11" s="16">
        <f>INDEX(O10:O22,MATCH(X8,N10:N22,1))</f>
        <v>1.0016000000000001E-3</v>
      </c>
      <c r="Y11" s="16">
        <f>INDEX(P10:P22,MATCH(Y8,N10:N22,1))</f>
        <v>1.0035000000000001</v>
      </c>
      <c r="Z11" s="16">
        <f>INDEX(Q10:Q22,MATCH(Z8,N10:N22,1))</f>
        <v>998.21</v>
      </c>
      <c r="AA11" s="16"/>
      <c r="AB11" s="16"/>
      <c r="AC11" s="16"/>
      <c r="AD11" s="21">
        <v>20</v>
      </c>
      <c r="AE11" s="17">
        <v>1.0016000000000001E-3</v>
      </c>
      <c r="AF11" s="22">
        <v>1.0035000000000001</v>
      </c>
      <c r="AG11" s="17">
        <v>2.0918999999999999</v>
      </c>
      <c r="AH11" s="22">
        <v>1.0035000000000001</v>
      </c>
      <c r="AI11" s="1">
        <f>AP14</f>
        <v>0.9982067</v>
      </c>
      <c r="AJ11" s="1">
        <v>998.20669999999996</v>
      </c>
      <c r="AK11" s="21">
        <v>20</v>
      </c>
      <c r="AL11" s="17">
        <v>1.0016000000000001E-3</v>
      </c>
      <c r="AM11" s="22">
        <v>1.0035000000000001</v>
      </c>
      <c r="AN11" s="1">
        <v>999.95</v>
      </c>
      <c r="AO11" s="21">
        <v>4</v>
      </c>
      <c r="AP11" s="17">
        <v>0.9999749</v>
      </c>
      <c r="AQ11" s="17">
        <v>999.97</v>
      </c>
      <c r="AR11" s="17">
        <v>1.9402999999999999</v>
      </c>
      <c r="AS11" s="17">
        <v>62.426400000000001</v>
      </c>
      <c r="AT11" s="17">
        <v>8.3452000000000002</v>
      </c>
      <c r="AU11" s="17">
        <v>9.8064</v>
      </c>
      <c r="AV11" s="17">
        <v>62.426000000000002</v>
      </c>
      <c r="AW11" s="22">
        <v>3.0000000000000001E-3</v>
      </c>
      <c r="AY11" s="1">
        <f>AQ11-AQ10</f>
        <v>7.0000000000050022E-2</v>
      </c>
    </row>
    <row r="12" spans="2:51" ht="15.75" customHeight="1" thickBot="1">
      <c r="B12" s="61"/>
      <c r="C12" s="156" t="s">
        <v>48</v>
      </c>
      <c r="D12" s="157"/>
      <c r="E12" s="157"/>
      <c r="F12" s="158"/>
      <c r="G12" s="68"/>
      <c r="H12" s="63"/>
      <c r="I12" s="63"/>
      <c r="J12" s="63"/>
      <c r="K12" s="64"/>
      <c r="N12" s="43">
        <v>10</v>
      </c>
      <c r="O12" s="46">
        <v>1.3060000000000001E-3</v>
      </c>
      <c r="P12" s="46">
        <v>1.3065</v>
      </c>
      <c r="Q12" s="46">
        <v>999.7</v>
      </c>
      <c r="W12" s="1" t="s">
        <v>89</v>
      </c>
      <c r="X12" s="16">
        <f>INDEX(O10:O22,MATCH(X8,N10:N22,1)+1)</f>
        <v>7.9719999999999997E-4</v>
      </c>
      <c r="Y12" s="16">
        <f>INDEX(P10:P22,MATCH(Y8,N10:N22,1)+1)</f>
        <v>0.80069999999999997</v>
      </c>
      <c r="Z12" s="16">
        <f>INDEX(Q10:Q22,MATCH(Z8,N10:N22,1)+1)</f>
        <v>995.65</v>
      </c>
      <c r="AA12" s="16"/>
      <c r="AB12" s="16"/>
      <c r="AC12" s="16"/>
      <c r="AD12" s="21">
        <v>25</v>
      </c>
      <c r="AE12" s="17">
        <v>8.8999999999999995E-4</v>
      </c>
      <c r="AF12" s="22">
        <v>0.89270000000000005</v>
      </c>
      <c r="AG12" s="17">
        <v>1.8589</v>
      </c>
      <c r="AH12" s="22">
        <v>0.89270000000000005</v>
      </c>
      <c r="AI12" s="1">
        <f>AP15</f>
        <v>0.99704700000000002</v>
      </c>
      <c r="AJ12" s="1">
        <v>997.04700000000003</v>
      </c>
      <c r="AK12" s="21">
        <v>25</v>
      </c>
      <c r="AL12" s="17">
        <v>8.8999999999999995E-4</v>
      </c>
      <c r="AM12" s="22">
        <v>0.89270000000000005</v>
      </c>
      <c r="AN12" s="1">
        <f>AQ12</f>
        <v>999.7</v>
      </c>
      <c r="AO12" s="21">
        <v>10</v>
      </c>
      <c r="AP12" s="17">
        <v>0.99970000000000003</v>
      </c>
      <c r="AQ12" s="17">
        <v>999.7</v>
      </c>
      <c r="AR12" s="17">
        <v>1.9397</v>
      </c>
      <c r="AS12" s="17">
        <v>62.409399999999998</v>
      </c>
      <c r="AT12" s="17">
        <v>8.3429000000000002</v>
      </c>
      <c r="AU12" s="17">
        <v>9.8036999999999992</v>
      </c>
      <c r="AV12" s="17">
        <v>62.408999999999999</v>
      </c>
      <c r="AW12" s="22">
        <v>0.88</v>
      </c>
      <c r="AY12" s="1">
        <f>AY11/3</f>
        <v>2.3333333333350009E-2</v>
      </c>
    </row>
    <row r="13" spans="2:51" ht="15.75" customHeight="1" thickBot="1">
      <c r="B13" s="61"/>
      <c r="C13" s="69" t="s">
        <v>120</v>
      </c>
      <c r="D13" s="70"/>
      <c r="E13" s="71">
        <f>VLOOKUP(C12,n!H4:I29,2,FALSE)</f>
        <v>1.2999999999999999E-2</v>
      </c>
      <c r="F13" s="72"/>
      <c r="G13" s="68"/>
      <c r="H13" s="63"/>
      <c r="I13" s="63"/>
      <c r="J13" s="73"/>
      <c r="K13" s="64"/>
      <c r="N13" s="43">
        <v>20</v>
      </c>
      <c r="O13" s="46">
        <v>1.0016000000000001E-3</v>
      </c>
      <c r="P13" s="46">
        <v>1.0035000000000001</v>
      </c>
      <c r="Q13" s="46">
        <v>998.21</v>
      </c>
      <c r="X13" s="16">
        <f>FORECAST(X8,X11:X12,X9:X10)</f>
        <v>8.9940000000000007E-4</v>
      </c>
      <c r="Y13" s="16">
        <f>FORECAST(Y8,Y11:Y12,Y9:Y10)</f>
        <v>0.90210000000000001</v>
      </c>
      <c r="Z13" s="16">
        <f>FORECAST(Z8,Z11:Z12,Z9:Z10)</f>
        <v>996.93000000000006</v>
      </c>
      <c r="AA13" s="16"/>
      <c r="AB13" s="16"/>
      <c r="AC13" s="16"/>
      <c r="AD13" s="21">
        <v>30</v>
      </c>
      <c r="AE13" s="17">
        <v>7.9719999999999997E-4</v>
      </c>
      <c r="AF13" s="22">
        <v>0.80069999999999997</v>
      </c>
      <c r="AG13" s="17">
        <v>1.665</v>
      </c>
      <c r="AH13" s="22">
        <v>0.80069999999999997</v>
      </c>
      <c r="AI13" s="1">
        <f>AP16</f>
        <v>0.9956488</v>
      </c>
      <c r="AJ13" s="1">
        <v>995.64880000000005</v>
      </c>
      <c r="AK13" s="21">
        <v>30</v>
      </c>
      <c r="AL13" s="17">
        <v>7.9719999999999997E-4</v>
      </c>
      <c r="AM13" s="22">
        <v>0.80069999999999997</v>
      </c>
      <c r="AN13" s="1">
        <f>AQ14</f>
        <v>998.21</v>
      </c>
      <c r="AO13" s="21">
        <v>15</v>
      </c>
      <c r="AP13" s="17">
        <v>0.99910259999999995</v>
      </c>
      <c r="AQ13" s="17">
        <v>999.1</v>
      </c>
      <c r="AR13" s="17">
        <v>1.9386000000000001</v>
      </c>
      <c r="AS13" s="17">
        <v>62.371899999999997</v>
      </c>
      <c r="AT13" s="17">
        <v>8.3378999999999994</v>
      </c>
      <c r="AU13" s="17">
        <v>9.7978000000000005</v>
      </c>
      <c r="AV13" s="17">
        <v>62.372</v>
      </c>
      <c r="AW13" s="22">
        <v>1.51</v>
      </c>
      <c r="AY13" s="1">
        <f>AN11-AY12</f>
        <v>999.92666666666673</v>
      </c>
    </row>
    <row r="14" spans="2:51" ht="15.75" customHeight="1" thickBot="1">
      <c r="B14" s="61"/>
      <c r="C14" s="107" t="s">
        <v>129</v>
      </c>
      <c r="D14" s="108"/>
      <c r="E14" s="139">
        <v>1.75</v>
      </c>
      <c r="F14" s="109" t="s">
        <v>127</v>
      </c>
      <c r="G14" s="68"/>
      <c r="H14" s="63"/>
      <c r="I14" s="63"/>
      <c r="J14" s="73"/>
      <c r="K14" s="64"/>
      <c r="N14" s="43">
        <v>30</v>
      </c>
      <c r="O14" s="46">
        <v>7.9719999999999997E-4</v>
      </c>
      <c r="P14" s="46">
        <v>0.80069999999999997</v>
      </c>
      <c r="Q14" s="46">
        <v>995.65</v>
      </c>
      <c r="AD14" s="21">
        <v>40</v>
      </c>
      <c r="AE14" s="17">
        <v>6.5269999999999998E-4</v>
      </c>
      <c r="AF14" s="22">
        <v>0.65790000000000004</v>
      </c>
      <c r="AG14" s="17">
        <v>1.3632</v>
      </c>
      <c r="AH14" s="22">
        <v>0.65790000000000004</v>
      </c>
      <c r="AI14" s="1">
        <f>AP18</f>
        <v>0.99221519999999996</v>
      </c>
      <c r="AJ14" s="1">
        <v>992.21519999999998</v>
      </c>
      <c r="AK14" s="21">
        <v>40</v>
      </c>
      <c r="AL14" s="17">
        <v>6.5269999999999998E-4</v>
      </c>
      <c r="AM14" s="22">
        <v>0.65790000000000004</v>
      </c>
      <c r="AN14" s="1">
        <f>AQ16</f>
        <v>995.65</v>
      </c>
      <c r="AO14" s="21">
        <v>20</v>
      </c>
      <c r="AP14" s="17">
        <v>0.9982067</v>
      </c>
      <c r="AQ14" s="17">
        <v>998.21</v>
      </c>
      <c r="AR14" s="17">
        <v>1.9368000000000001</v>
      </c>
      <c r="AS14" s="17">
        <v>62.316000000000003</v>
      </c>
      <c r="AT14" s="17">
        <v>8.3303999999999991</v>
      </c>
      <c r="AU14" s="17">
        <v>9.7890999999999995</v>
      </c>
      <c r="AV14" s="17">
        <v>62.316000000000003</v>
      </c>
      <c r="AW14" s="22">
        <v>2.0699999999999998</v>
      </c>
    </row>
    <row r="15" spans="2:51" ht="15.75" customHeight="1" thickBot="1">
      <c r="B15" s="61"/>
      <c r="C15" s="63"/>
      <c r="D15" s="63"/>
      <c r="E15" s="63"/>
      <c r="F15" s="68"/>
      <c r="G15" s="68"/>
      <c r="H15" s="63"/>
      <c r="I15" s="63"/>
      <c r="J15" s="73"/>
      <c r="K15" s="64"/>
      <c r="N15" s="43">
        <v>40</v>
      </c>
      <c r="O15" s="46">
        <v>6.5269999999999998E-4</v>
      </c>
      <c r="P15" s="46">
        <v>0.65790000000000004</v>
      </c>
      <c r="Q15" s="46">
        <v>992.22</v>
      </c>
      <c r="AD15" s="21">
        <v>50</v>
      </c>
      <c r="AE15" s="17">
        <v>5.465E-4</v>
      </c>
      <c r="AF15" s="22">
        <v>0.55310000000000004</v>
      </c>
      <c r="AG15" s="17">
        <v>1.1414</v>
      </c>
      <c r="AH15" s="22">
        <v>0.55310000000000004</v>
      </c>
      <c r="AI15" s="1">
        <f>AP20</f>
        <v>0.98804000000000003</v>
      </c>
      <c r="AJ15" s="1">
        <v>988.04000000000008</v>
      </c>
      <c r="AK15" s="21">
        <v>50</v>
      </c>
      <c r="AL15" s="17">
        <v>5.465E-4</v>
      </c>
      <c r="AM15" s="22">
        <v>0.55310000000000004</v>
      </c>
      <c r="AN15" s="1">
        <f>AQ18</f>
        <v>992.22</v>
      </c>
      <c r="AO15" s="21">
        <v>25</v>
      </c>
      <c r="AP15" s="17">
        <v>0.99704700000000002</v>
      </c>
      <c r="AQ15" s="17">
        <v>997.05</v>
      </c>
      <c r="AR15" s="17">
        <v>1.9346000000000001</v>
      </c>
      <c r="AS15" s="17">
        <v>62.243600000000001</v>
      </c>
      <c r="AT15" s="17">
        <v>8.3208000000000002</v>
      </c>
      <c r="AU15" s="17">
        <v>9.7776999999999994</v>
      </c>
      <c r="AV15" s="17">
        <v>62.244</v>
      </c>
      <c r="AW15" s="22">
        <v>2.57</v>
      </c>
    </row>
    <row r="16" spans="2:51" ht="15.75" customHeight="1" thickBot="1">
      <c r="B16" s="61"/>
      <c r="C16" s="63"/>
      <c r="D16" s="63"/>
      <c r="E16" s="63"/>
      <c r="F16" s="68"/>
      <c r="G16" s="68"/>
      <c r="H16" s="63"/>
      <c r="I16" s="63"/>
      <c r="J16" s="73"/>
      <c r="K16" s="64"/>
      <c r="N16" s="43">
        <v>50</v>
      </c>
      <c r="O16" s="46">
        <v>5.465E-4</v>
      </c>
      <c r="P16" s="46">
        <v>0.55310000000000004</v>
      </c>
      <c r="Q16" s="46">
        <v>988.04</v>
      </c>
      <c r="AD16" s="21">
        <v>60</v>
      </c>
      <c r="AE16" s="17">
        <v>4.66E-4</v>
      </c>
      <c r="AF16" s="22">
        <v>0.47399999999999998</v>
      </c>
      <c r="AG16" s="17">
        <v>0.97330000000000005</v>
      </c>
      <c r="AH16" s="22">
        <v>0.47399999999999998</v>
      </c>
      <c r="AI16" s="1">
        <f>AP22</f>
        <v>0.98319999999999996</v>
      </c>
      <c r="AJ16" s="1">
        <v>983.19999999999993</v>
      </c>
      <c r="AK16" s="21">
        <v>60</v>
      </c>
      <c r="AL16" s="17">
        <v>4.66E-4</v>
      </c>
      <c r="AM16" s="22">
        <v>0.47399999999999998</v>
      </c>
      <c r="AN16" s="1">
        <f>AQ20</f>
        <v>988.04</v>
      </c>
      <c r="AO16" s="21">
        <v>30</v>
      </c>
      <c r="AP16" s="17">
        <v>0.9956488</v>
      </c>
      <c r="AQ16" s="17">
        <v>995.65</v>
      </c>
      <c r="AR16" s="17">
        <v>1.9319</v>
      </c>
      <c r="AS16" s="17">
        <v>62.156300000000002</v>
      </c>
      <c r="AT16" s="17">
        <v>8.3091000000000008</v>
      </c>
      <c r="AU16" s="17">
        <v>9.7639999999999993</v>
      </c>
      <c r="AV16" s="17">
        <v>62.155999999999999</v>
      </c>
      <c r="AW16" s="22">
        <v>3.03</v>
      </c>
    </row>
    <row r="17" spans="2:49" ht="15.75" customHeight="1" thickBot="1">
      <c r="B17" s="61"/>
      <c r="C17" s="63"/>
      <c r="D17" s="63"/>
      <c r="E17" s="63"/>
      <c r="F17" s="68"/>
      <c r="G17" s="68"/>
      <c r="H17" s="63"/>
      <c r="I17" s="63"/>
      <c r="J17" s="73"/>
      <c r="K17" s="64"/>
      <c r="N17" s="43">
        <v>60</v>
      </c>
      <c r="O17" s="46">
        <v>4.66E-4</v>
      </c>
      <c r="P17" s="46">
        <v>0.47399999999999998</v>
      </c>
      <c r="Q17" s="46">
        <v>983.2</v>
      </c>
      <c r="W17" s="54" t="s">
        <v>126</v>
      </c>
      <c r="X17" s="53" t="s">
        <v>125</v>
      </c>
      <c r="Z17" s="53">
        <f>E14</f>
        <v>1.75</v>
      </c>
      <c r="AA17" s="53">
        <v>0</v>
      </c>
      <c r="AD17" s="21">
        <v>70</v>
      </c>
      <c r="AE17" s="17">
        <v>4.035E-4</v>
      </c>
      <c r="AF17" s="22">
        <v>0.41270000000000001</v>
      </c>
      <c r="AG17" s="17">
        <v>0.84279999999999999</v>
      </c>
      <c r="AH17" s="22">
        <v>0.41270000000000001</v>
      </c>
      <c r="AI17" s="1">
        <f>AP24</f>
        <v>0.97775999999999996</v>
      </c>
      <c r="AJ17" s="1">
        <v>977.76</v>
      </c>
      <c r="AK17" s="21">
        <v>70</v>
      </c>
      <c r="AL17" s="17">
        <v>4.035E-4</v>
      </c>
      <c r="AM17" s="22">
        <v>0.41270000000000001</v>
      </c>
      <c r="AN17" s="1">
        <f>AQ22</f>
        <v>983.2</v>
      </c>
      <c r="AO17" s="21">
        <v>35</v>
      </c>
      <c r="AP17" s="17">
        <v>0.99403260000000004</v>
      </c>
      <c r="AQ17" s="17">
        <v>994.03</v>
      </c>
      <c r="AR17" s="17">
        <v>1.9287000000000001</v>
      </c>
      <c r="AS17" s="17">
        <v>62.055399999999999</v>
      </c>
      <c r="AT17" s="17">
        <v>8.2956000000000003</v>
      </c>
      <c r="AU17" s="17">
        <v>9.7481000000000009</v>
      </c>
      <c r="AV17" s="17">
        <v>62.055</v>
      </c>
      <c r="AW17" s="22">
        <v>3.45</v>
      </c>
    </row>
    <row r="18" spans="2:49" ht="15.75" customHeight="1" thickBot="1">
      <c r="B18" s="61"/>
      <c r="C18" s="63"/>
      <c r="D18" s="63"/>
      <c r="E18" s="63"/>
      <c r="F18" s="68"/>
      <c r="G18" s="68"/>
      <c r="H18" s="63"/>
      <c r="I18" s="63"/>
      <c r="J18" s="73"/>
      <c r="K18" s="64"/>
      <c r="N18" s="43">
        <v>70</v>
      </c>
      <c r="O18" s="46">
        <v>4.035E-4</v>
      </c>
      <c r="P18" s="46">
        <v>0.41270000000000001</v>
      </c>
      <c r="Q18" s="46">
        <v>977.76</v>
      </c>
      <c r="W18" s="53">
        <v>0.01</v>
      </c>
      <c r="X18" s="53">
        <f>(1/$E$13)*(($E$21/$J$21)^(2/3))*(($W18/100)^(1/2))*$E$21*1000</f>
        <v>11777.99017514992</v>
      </c>
      <c r="Z18" s="53">
        <f>Z17</f>
        <v>1.75</v>
      </c>
      <c r="AA18" s="56">
        <f>J23*1000</f>
        <v>155808.16473804388</v>
      </c>
      <c r="AD18" s="21">
        <v>80</v>
      </c>
      <c r="AE18" s="17">
        <v>3.5399999999999999E-4</v>
      </c>
      <c r="AF18" s="22">
        <v>0.36430000000000001</v>
      </c>
      <c r="AG18" s="17">
        <v>0.73939999999999995</v>
      </c>
      <c r="AH18" s="22">
        <v>0.36430000000000001</v>
      </c>
      <c r="AI18" s="1">
        <f>AP26</f>
        <v>0.97179000000000004</v>
      </c>
      <c r="AJ18" s="1">
        <v>971.79000000000008</v>
      </c>
      <c r="AK18" s="21">
        <v>80</v>
      </c>
      <c r="AL18" s="17">
        <v>3.5399999999999999E-4</v>
      </c>
      <c r="AM18" s="22">
        <v>0.36430000000000001</v>
      </c>
      <c r="AN18" s="1">
        <f>AQ24</f>
        <v>977.76</v>
      </c>
      <c r="AO18" s="21">
        <v>40</v>
      </c>
      <c r="AP18" s="17">
        <v>0.99221519999999996</v>
      </c>
      <c r="AQ18" s="17">
        <v>992.22</v>
      </c>
      <c r="AR18" s="17">
        <v>1.9252</v>
      </c>
      <c r="AS18" s="17">
        <v>61.942</v>
      </c>
      <c r="AT18" s="17">
        <v>8.2804000000000002</v>
      </c>
      <c r="AU18" s="17">
        <v>9.7302999999999997</v>
      </c>
      <c r="AV18" s="17">
        <v>61.942</v>
      </c>
      <c r="AW18" s="22">
        <v>3.84</v>
      </c>
    </row>
    <row r="19" spans="2:49" ht="15.75" customHeight="1" thickBot="1">
      <c r="B19" s="61"/>
      <c r="C19" s="63"/>
      <c r="D19" s="63"/>
      <c r="E19" s="63"/>
      <c r="F19" s="63"/>
      <c r="G19" s="63"/>
      <c r="H19" s="63"/>
      <c r="I19" s="63"/>
      <c r="J19" s="73"/>
      <c r="K19" s="64"/>
      <c r="N19" s="43">
        <v>80</v>
      </c>
      <c r="O19" s="46">
        <v>3.5399999999999999E-4</v>
      </c>
      <c r="P19" s="46">
        <v>0.36430000000000001</v>
      </c>
      <c r="Q19" s="46">
        <v>971.79</v>
      </c>
      <c r="W19" s="53">
        <v>0.05</v>
      </c>
      <c r="X19" s="53">
        <f t="shared" ref="X19:X38" si="1">(1/$E$13)*(($E$21/$J$21)^(2/3))*(($W19/100)^(1/2))*$E$21*1000</f>
        <v>26336.386669959877</v>
      </c>
      <c r="Z19" s="53">
        <v>0</v>
      </c>
      <c r="AA19" s="56">
        <f>AA18</f>
        <v>155808.16473804388</v>
      </c>
      <c r="AD19" s="23">
        <v>90</v>
      </c>
      <c r="AE19" s="17">
        <v>3.1419999999999999E-4</v>
      </c>
      <c r="AF19" s="22">
        <v>0.32550000000000001</v>
      </c>
      <c r="AG19" s="17">
        <v>0.65620000000000001</v>
      </c>
      <c r="AH19" s="22">
        <v>0.32550000000000001</v>
      </c>
      <c r="AI19" s="1">
        <f>AP28</f>
        <v>0.96531</v>
      </c>
      <c r="AJ19" s="1">
        <v>965.31</v>
      </c>
      <c r="AK19" s="21">
        <v>90</v>
      </c>
      <c r="AL19" s="17">
        <v>3.1419999999999999E-4</v>
      </c>
      <c r="AM19" s="22">
        <v>0.32550000000000001</v>
      </c>
      <c r="AN19" s="1">
        <f>AQ26</f>
        <v>971.79</v>
      </c>
      <c r="AO19" s="21">
        <v>45</v>
      </c>
      <c r="AP19" s="17">
        <v>0.99021000000000003</v>
      </c>
      <c r="AQ19" s="17">
        <v>990.21</v>
      </c>
      <c r="AR19" s="17">
        <v>1.9213</v>
      </c>
      <c r="AS19" s="17">
        <v>61.816800000000001</v>
      </c>
      <c r="AT19" s="17">
        <v>8.2637</v>
      </c>
      <c r="AU19" s="17">
        <v>9.7105999999999995</v>
      </c>
      <c r="AV19" s="17">
        <v>61.817</v>
      </c>
      <c r="AW19" s="22">
        <v>4.2</v>
      </c>
    </row>
    <row r="20" spans="2:49" ht="15.75" customHeight="1" thickBot="1">
      <c r="B20" s="61"/>
      <c r="C20" s="90" t="s">
        <v>110</v>
      </c>
      <c r="D20" s="90"/>
      <c r="E20" s="63"/>
      <c r="F20" s="63"/>
      <c r="G20" s="63"/>
      <c r="H20" s="63"/>
      <c r="I20" s="63"/>
      <c r="J20" s="63"/>
      <c r="K20" s="64"/>
      <c r="N20" s="43">
        <v>90</v>
      </c>
      <c r="O20" s="46">
        <v>3.1419999999999999E-4</v>
      </c>
      <c r="P20" s="46">
        <v>0.32550000000000001</v>
      </c>
      <c r="Q20" s="46">
        <v>965.31</v>
      </c>
      <c r="W20" s="53">
        <v>0.1</v>
      </c>
      <c r="X20" s="53">
        <f t="shared" si="1"/>
        <v>37245.275212559252</v>
      </c>
      <c r="AD20" s="24">
        <v>100</v>
      </c>
      <c r="AE20" s="25">
        <v>2.8160000000000001E-4</v>
      </c>
      <c r="AF20" s="34">
        <v>0.29380000000000001</v>
      </c>
      <c r="AG20" s="25">
        <v>0.58809999999999996</v>
      </c>
      <c r="AH20" s="26">
        <v>0.29380000000000001</v>
      </c>
      <c r="AI20" s="1">
        <f>AP30</f>
        <v>0.95835000000000004</v>
      </c>
      <c r="AJ20" s="1">
        <v>958.35</v>
      </c>
      <c r="AK20" s="32">
        <v>100</v>
      </c>
      <c r="AL20" s="33">
        <v>2.8160000000000001E-4</v>
      </c>
      <c r="AM20" s="34">
        <v>0.29380000000000001</v>
      </c>
      <c r="AN20" s="1">
        <f>AQ28</f>
        <v>965.31</v>
      </c>
      <c r="AO20" s="21">
        <v>50</v>
      </c>
      <c r="AP20" s="17">
        <v>0.98804000000000003</v>
      </c>
      <c r="AQ20" s="17">
        <v>988.04</v>
      </c>
      <c r="AR20" s="17">
        <v>1.9171</v>
      </c>
      <c r="AS20" s="17">
        <v>61.6813</v>
      </c>
      <c r="AT20" s="17">
        <v>8.2455999999999996</v>
      </c>
      <c r="AU20" s="17">
        <v>9.6893999999999991</v>
      </c>
      <c r="AV20" s="17">
        <v>61.680999999999997</v>
      </c>
      <c r="AW20" s="22">
        <v>4.54</v>
      </c>
    </row>
    <row r="21" spans="2:49" ht="15.75" customHeight="1" thickTop="1" thickBot="1">
      <c r="B21" s="61"/>
      <c r="C21" s="91" t="s">
        <v>111</v>
      </c>
      <c r="D21" s="94"/>
      <c r="E21" s="93">
        <f>(E8+E9*E10)*E10</f>
        <v>12.692680000000001</v>
      </c>
      <c r="F21" s="94"/>
      <c r="G21" s="110" t="s">
        <v>112</v>
      </c>
      <c r="H21" s="94"/>
      <c r="I21" s="94"/>
      <c r="J21" s="111">
        <f>E8+2*E10*SQRT(1+E9^2)</f>
        <v>9.5799119519928695</v>
      </c>
      <c r="K21" s="64"/>
      <c r="N21" s="43">
        <v>100</v>
      </c>
      <c r="O21" s="46">
        <v>2.8160000000000001E-4</v>
      </c>
      <c r="P21" s="46">
        <v>0.29380000000000001</v>
      </c>
      <c r="Q21" s="46">
        <v>958.35</v>
      </c>
      <c r="W21" s="53">
        <v>0.2</v>
      </c>
      <c r="X21" s="53">
        <f t="shared" si="1"/>
        <v>52672.773339919753</v>
      </c>
      <c r="AD21" s="39">
        <v>110</v>
      </c>
      <c r="AE21" s="40">
        <v>2.5460000000000001E-4</v>
      </c>
      <c r="AF21" s="40">
        <v>0.26769999999999999</v>
      </c>
      <c r="AG21" s="40">
        <v>1.8451</v>
      </c>
      <c r="AH21" s="40">
        <v>59.365900000000003</v>
      </c>
      <c r="AI21" s="40">
        <v>7.9360999999999997</v>
      </c>
      <c r="AJ21" s="1">
        <v>950.95</v>
      </c>
      <c r="AK21" s="40">
        <v>59.366</v>
      </c>
      <c r="AL21" s="41">
        <v>8.01</v>
      </c>
      <c r="AN21" s="1">
        <f>AQ30</f>
        <v>958.35</v>
      </c>
      <c r="AO21" s="21">
        <v>55</v>
      </c>
      <c r="AP21" s="17">
        <v>0.98568999999999996</v>
      </c>
      <c r="AQ21" s="17">
        <v>985.69</v>
      </c>
      <c r="AR21" s="17">
        <v>1.9126000000000001</v>
      </c>
      <c r="AS21" s="17">
        <v>61.534599999999998</v>
      </c>
      <c r="AT21" s="17">
        <v>8.2260000000000009</v>
      </c>
      <c r="AU21" s="17">
        <v>9.6662999999999997</v>
      </c>
      <c r="AV21" s="17">
        <v>61.534999999999997</v>
      </c>
      <c r="AW21" s="22">
        <v>4.8600000000000003</v>
      </c>
    </row>
    <row r="22" spans="2:49" ht="15.75" customHeight="1" thickTop="1" thickBot="1">
      <c r="B22" s="61"/>
      <c r="C22" s="96" t="s">
        <v>116</v>
      </c>
      <c r="D22" s="63"/>
      <c r="E22" s="97">
        <f>E8+2*E9*E10</f>
        <v>7.0388000000000002</v>
      </c>
      <c r="F22" s="63"/>
      <c r="G22" s="98" t="s">
        <v>113</v>
      </c>
      <c r="H22" s="63"/>
      <c r="I22" s="63"/>
      <c r="J22" s="99">
        <f>E21/J21</f>
        <v>1.324926582165465</v>
      </c>
      <c r="K22" s="64"/>
      <c r="N22" s="44">
        <v>110</v>
      </c>
      <c r="O22" s="47">
        <v>2.5460000000000001E-4</v>
      </c>
      <c r="P22" s="47">
        <v>0.26769999999999999</v>
      </c>
      <c r="Q22" s="47">
        <v>950.95</v>
      </c>
      <c r="W22" s="53">
        <v>0.3</v>
      </c>
      <c r="X22" s="53">
        <f t="shared" si="1"/>
        <v>64510.709010038343</v>
      </c>
      <c r="AN22" s="1">
        <v>950.95</v>
      </c>
      <c r="AO22" s="21">
        <v>60</v>
      </c>
      <c r="AP22" s="17">
        <v>0.98319999999999996</v>
      </c>
      <c r="AQ22" s="17">
        <v>983.2</v>
      </c>
      <c r="AR22" s="17">
        <v>1.9077</v>
      </c>
      <c r="AS22" s="17">
        <v>61.379199999999997</v>
      </c>
      <c r="AT22" s="17">
        <v>8.2051999999999996</v>
      </c>
      <c r="AU22" s="17">
        <v>9.6418999999999997</v>
      </c>
      <c r="AV22" s="17">
        <v>61.378999999999998</v>
      </c>
      <c r="AW22" s="22">
        <v>5.16</v>
      </c>
    </row>
    <row r="23" spans="2:49" ht="15.75" customHeight="1" thickBot="1">
      <c r="B23" s="61"/>
      <c r="C23" s="96" t="s">
        <v>117</v>
      </c>
      <c r="D23" s="63"/>
      <c r="E23" s="97">
        <f>IF(OR(E10=0,E21=0,J21=0),"",E21/E22)</f>
        <v>1.8032448712848783</v>
      </c>
      <c r="F23" s="63"/>
      <c r="G23" s="98" t="s">
        <v>114</v>
      </c>
      <c r="H23" s="63"/>
      <c r="I23" s="63"/>
      <c r="J23" s="99">
        <f>J24*E21</f>
        <v>155.80816473804387</v>
      </c>
      <c r="K23" s="64"/>
      <c r="N23" s="55" t="s">
        <v>91</v>
      </c>
      <c r="O23" s="48" t="s">
        <v>100</v>
      </c>
      <c r="P23" s="48" t="s">
        <v>101</v>
      </c>
      <c r="Q23" s="48" t="s">
        <v>99</v>
      </c>
      <c r="W23" s="53">
        <v>0.4</v>
      </c>
      <c r="X23" s="53">
        <f t="shared" si="1"/>
        <v>74490.550425118505</v>
      </c>
      <c r="AO23" s="21">
        <v>65</v>
      </c>
      <c r="AP23" s="17">
        <v>0.98055000000000003</v>
      </c>
      <c r="AQ23" s="17">
        <v>980.55</v>
      </c>
      <c r="AR23" s="17">
        <v>1.9026000000000001</v>
      </c>
      <c r="AS23" s="17">
        <v>61.213700000000003</v>
      </c>
      <c r="AT23" s="17">
        <v>8.1830999999999996</v>
      </c>
      <c r="AU23" s="17">
        <v>9.6158999999999999</v>
      </c>
      <c r="AV23" s="17">
        <v>61.213999999999999</v>
      </c>
      <c r="AW23" s="22">
        <v>5.44</v>
      </c>
    </row>
    <row r="24" spans="2:49" ht="15.75" customHeight="1" thickBot="1">
      <c r="B24" s="61"/>
      <c r="C24" s="96" t="s">
        <v>133</v>
      </c>
      <c r="D24" s="63"/>
      <c r="E24" s="100">
        <f>Q24*J24*E21/(O24*J21)</f>
        <v>18027706.396374561</v>
      </c>
      <c r="F24" s="63"/>
      <c r="G24" s="98" t="s">
        <v>115</v>
      </c>
      <c r="H24" s="63"/>
      <c r="I24" s="63"/>
      <c r="J24" s="99">
        <f>(1/$E$13)*(($E$21/$J$21)^(2/3))*(($E$14/100)^(1/2))</f>
        <v>12.275434718124451</v>
      </c>
      <c r="K24" s="64"/>
      <c r="N24" s="142">
        <v>25</v>
      </c>
      <c r="O24" s="49">
        <f>X13</f>
        <v>8.9940000000000007E-4</v>
      </c>
      <c r="P24" s="49">
        <f>Y13</f>
        <v>0.90210000000000001</v>
      </c>
      <c r="Q24" s="49">
        <f>Z13</f>
        <v>996.93000000000006</v>
      </c>
      <c r="W24" s="53">
        <v>0.5</v>
      </c>
      <c r="X24" s="53">
        <f t="shared" si="1"/>
        <v>83282.967215970421</v>
      </c>
      <c r="AO24" s="21">
        <v>70</v>
      </c>
      <c r="AP24" s="17">
        <v>0.97775999999999996</v>
      </c>
      <c r="AQ24" s="17">
        <v>977.76</v>
      </c>
      <c r="AR24" s="17">
        <v>1.8972</v>
      </c>
      <c r="AS24" s="17">
        <v>61.0396</v>
      </c>
      <c r="AT24" s="17">
        <v>8.1598000000000006</v>
      </c>
      <c r="AU24" s="17">
        <v>9.5885999999999996</v>
      </c>
      <c r="AV24" s="17">
        <v>61.04</v>
      </c>
      <c r="AW24" s="22">
        <v>5.71</v>
      </c>
    </row>
    <row r="25" spans="2:49" ht="15.75" customHeight="1" thickBot="1">
      <c r="B25" s="61"/>
      <c r="C25" s="101" t="s">
        <v>124</v>
      </c>
      <c r="D25" s="102"/>
      <c r="E25" s="170" t="str">
        <f>IF(E24&lt;500,"Laminar",IF(E24&lt;=2000,"Transitional","Turbulent"))</f>
        <v>Turbulent</v>
      </c>
      <c r="F25" s="171"/>
      <c r="G25" s="102"/>
      <c r="H25" s="102"/>
      <c r="I25" s="102"/>
      <c r="J25" s="149" t="str">
        <f>W4</f>
        <v>ความเร็วสูงเกินไป</v>
      </c>
      <c r="K25" s="64"/>
      <c r="N25" s="168" t="s">
        <v>93</v>
      </c>
      <c r="O25" s="169"/>
      <c r="W25" s="53">
        <v>0.6</v>
      </c>
      <c r="X25" s="53">
        <f t="shared" si="1"/>
        <v>91231.919600300447</v>
      </c>
      <c r="AO25" s="21">
        <v>75</v>
      </c>
      <c r="AP25" s="17">
        <v>0.97484000000000004</v>
      </c>
      <c r="AQ25" s="17">
        <v>974.84</v>
      </c>
      <c r="AR25" s="17">
        <v>1.8915</v>
      </c>
      <c r="AS25" s="17">
        <v>60.857300000000002</v>
      </c>
      <c r="AT25" s="17">
        <v>8.1354000000000006</v>
      </c>
      <c r="AU25" s="17">
        <v>9.5599000000000007</v>
      </c>
      <c r="AV25" s="17">
        <v>60.856999999999999</v>
      </c>
      <c r="AW25" s="22">
        <v>5.97</v>
      </c>
    </row>
    <row r="26" spans="2:49" ht="15.75" customHeight="1" thickBot="1">
      <c r="B26" s="61"/>
      <c r="C26" s="63"/>
      <c r="D26" s="63"/>
      <c r="E26" s="97"/>
      <c r="F26" s="63"/>
      <c r="G26" s="63"/>
      <c r="H26" s="63"/>
      <c r="I26" s="63"/>
      <c r="J26" s="63"/>
      <c r="K26" s="64"/>
      <c r="N26" s="55">
        <f>N24</f>
        <v>25</v>
      </c>
      <c r="O26" s="48">
        <f>O24</f>
        <v>8.9940000000000007E-4</v>
      </c>
      <c r="W26" s="53">
        <v>0.7</v>
      </c>
      <c r="X26" s="53">
        <f t="shared" si="1"/>
        <v>98541.735724590137</v>
      </c>
      <c r="AO26" s="21">
        <v>80</v>
      </c>
      <c r="AP26" s="17">
        <v>0.97179000000000004</v>
      </c>
      <c r="AQ26" s="17">
        <v>971.79</v>
      </c>
      <c r="AR26" s="17">
        <v>1.8855999999999999</v>
      </c>
      <c r="AS26" s="17">
        <v>60.666899999999998</v>
      </c>
      <c r="AT26" s="17">
        <v>8.11</v>
      </c>
      <c r="AU26" s="17">
        <v>9.5299999999999994</v>
      </c>
      <c r="AV26" s="17">
        <v>60.667000000000002</v>
      </c>
      <c r="AW26" s="22">
        <v>6.21</v>
      </c>
    </row>
    <row r="27" spans="2:49" ht="15.75" customHeight="1" thickBot="1">
      <c r="B27" s="61"/>
      <c r="C27" s="63"/>
      <c r="D27" s="63"/>
      <c r="E27" s="97"/>
      <c r="F27" s="63"/>
      <c r="G27" s="63"/>
      <c r="H27" s="63"/>
      <c r="I27" s="63"/>
      <c r="J27" s="63"/>
      <c r="K27" s="64"/>
      <c r="W27" s="53">
        <v>0.8</v>
      </c>
      <c r="X27" s="53">
        <f t="shared" si="1"/>
        <v>105345.54667983951</v>
      </c>
      <c r="AO27" s="21">
        <v>85</v>
      </c>
      <c r="AP27" s="17">
        <v>0.96860999999999997</v>
      </c>
      <c r="AQ27" s="17">
        <v>968.61</v>
      </c>
      <c r="AR27" s="17">
        <v>1.8794</v>
      </c>
      <c r="AS27" s="17">
        <v>60.468299999999999</v>
      </c>
      <c r="AT27" s="17">
        <v>8.0833999999999993</v>
      </c>
      <c r="AU27" s="17">
        <v>9.4987999999999992</v>
      </c>
      <c r="AV27" s="17">
        <v>60.468000000000004</v>
      </c>
      <c r="AW27" s="22">
        <v>6.44</v>
      </c>
    </row>
    <row r="28" spans="2:49" ht="15.75" customHeight="1" thickBot="1">
      <c r="B28" s="61"/>
      <c r="C28" s="63"/>
      <c r="D28" s="63"/>
      <c r="E28" s="97"/>
      <c r="F28" s="63"/>
      <c r="G28" s="63"/>
      <c r="H28" s="63"/>
      <c r="I28" s="63"/>
      <c r="J28" s="63"/>
      <c r="K28" s="64"/>
      <c r="P28" s="1" t="s">
        <v>90</v>
      </c>
      <c r="W28" s="53">
        <v>0.9</v>
      </c>
      <c r="X28" s="53">
        <f t="shared" si="1"/>
        <v>111735.82563767777</v>
      </c>
      <c r="AO28" s="21">
        <v>90</v>
      </c>
      <c r="AP28" s="17">
        <v>0.96531</v>
      </c>
      <c r="AQ28" s="17">
        <v>965.31</v>
      </c>
      <c r="AR28" s="17">
        <v>1.873</v>
      </c>
      <c r="AS28" s="17">
        <v>60.262300000000003</v>
      </c>
      <c r="AT28" s="17">
        <v>8.0558999999999994</v>
      </c>
      <c r="AU28" s="17">
        <v>9.4664999999999999</v>
      </c>
      <c r="AV28" s="17">
        <v>60.262</v>
      </c>
      <c r="AW28" s="22">
        <v>6.66</v>
      </c>
    </row>
    <row r="29" spans="2:49" ht="15.75" customHeight="1" thickBot="1">
      <c r="B29" s="61"/>
      <c r="C29" s="63"/>
      <c r="D29" s="63"/>
      <c r="E29" s="97"/>
      <c r="F29" s="63"/>
      <c r="G29" s="63"/>
      <c r="H29" s="63"/>
      <c r="I29" s="63"/>
      <c r="J29" s="63"/>
      <c r="K29" s="64"/>
      <c r="W29" s="53">
        <v>1</v>
      </c>
      <c r="X29" s="53">
        <f t="shared" si="1"/>
        <v>117779.90175149922</v>
      </c>
      <c r="AO29" s="21">
        <v>95</v>
      </c>
      <c r="AP29" s="17">
        <v>0.96189000000000002</v>
      </c>
      <c r="AQ29" s="17">
        <v>961.89</v>
      </c>
      <c r="AR29" s="17">
        <v>1.8664000000000001</v>
      </c>
      <c r="AS29" s="17">
        <v>60.0488</v>
      </c>
      <c r="AT29" s="17">
        <v>8.0274000000000001</v>
      </c>
      <c r="AU29" s="17">
        <v>9.4329000000000001</v>
      </c>
      <c r="AV29" s="17">
        <v>60.048999999999999</v>
      </c>
      <c r="AW29" s="22">
        <v>6.87</v>
      </c>
    </row>
    <row r="30" spans="2:49" ht="15.75" customHeight="1" thickBot="1">
      <c r="B30" s="61"/>
      <c r="C30" s="63"/>
      <c r="D30" s="63"/>
      <c r="E30" s="97"/>
      <c r="F30" s="63"/>
      <c r="G30" s="63"/>
      <c r="H30" s="63"/>
      <c r="I30" s="63"/>
      <c r="J30" s="63"/>
      <c r="K30" s="64"/>
      <c r="W30" s="53">
        <v>2</v>
      </c>
      <c r="X30" s="53">
        <f t="shared" si="1"/>
        <v>166565.93443194084</v>
      </c>
      <c r="AO30" s="32">
        <v>100</v>
      </c>
      <c r="AP30" s="33">
        <v>0.95835000000000004</v>
      </c>
      <c r="AQ30" s="33">
        <v>958.35</v>
      </c>
      <c r="AR30" s="33">
        <v>1.8594999999999999</v>
      </c>
      <c r="AS30" s="33">
        <v>59.827800000000003</v>
      </c>
      <c r="AT30" s="33">
        <v>7.9977999999999998</v>
      </c>
      <c r="AU30" s="33">
        <v>9.3981999999999992</v>
      </c>
      <c r="AV30" s="33">
        <v>59.828000000000003</v>
      </c>
      <c r="AW30" s="34">
        <v>7.03</v>
      </c>
    </row>
    <row r="31" spans="2:49" ht="15.75" customHeight="1" thickTop="1">
      <c r="B31" s="61"/>
      <c r="C31" s="63"/>
      <c r="D31" s="63"/>
      <c r="E31" s="97"/>
      <c r="F31" s="63"/>
      <c r="G31" s="63"/>
      <c r="H31" s="63"/>
      <c r="I31" s="63"/>
      <c r="J31" s="63"/>
      <c r="K31" s="64"/>
      <c r="W31" s="53">
        <v>3</v>
      </c>
      <c r="X31" s="53">
        <f t="shared" si="1"/>
        <v>204000.77394406722</v>
      </c>
    </row>
    <row r="32" spans="2:49" ht="15.75" customHeight="1">
      <c r="B32" s="61"/>
      <c r="C32" s="63"/>
      <c r="D32" s="63"/>
      <c r="E32" s="97"/>
      <c r="F32" s="63"/>
      <c r="G32" s="63"/>
      <c r="H32" s="63"/>
      <c r="I32" s="63"/>
      <c r="J32" s="63"/>
      <c r="K32" s="64"/>
      <c r="W32" s="53">
        <v>4</v>
      </c>
      <c r="X32" s="53">
        <f t="shared" si="1"/>
        <v>235559.80350299843</v>
      </c>
    </row>
    <row r="33" spans="2:24" ht="15.75" customHeight="1">
      <c r="B33" s="61"/>
      <c r="C33" s="63"/>
      <c r="D33" s="63"/>
      <c r="E33" s="97"/>
      <c r="F33" s="63"/>
      <c r="G33" s="63"/>
      <c r="H33" s="63"/>
      <c r="I33" s="63"/>
      <c r="J33" s="63"/>
      <c r="K33" s="64"/>
      <c r="W33" s="53">
        <v>5</v>
      </c>
      <c r="X33" s="53">
        <f t="shared" si="1"/>
        <v>263363.86669959879</v>
      </c>
    </row>
    <row r="34" spans="2:24" ht="15.75" customHeight="1">
      <c r="B34" s="61"/>
      <c r="C34" s="63"/>
      <c r="D34" s="63"/>
      <c r="E34" s="97"/>
      <c r="F34" s="63"/>
      <c r="G34" s="63"/>
      <c r="H34" s="63"/>
      <c r="I34" s="63"/>
      <c r="J34" s="63"/>
      <c r="K34" s="64"/>
      <c r="W34" s="53">
        <v>6</v>
      </c>
      <c r="X34" s="53">
        <f t="shared" si="1"/>
        <v>288500.66124630778</v>
      </c>
    </row>
    <row r="35" spans="2:24" ht="15.75" customHeight="1">
      <c r="B35" s="61"/>
      <c r="C35" s="63"/>
      <c r="D35" s="63"/>
      <c r="E35" s="97"/>
      <c r="F35" s="63"/>
      <c r="G35" s="63"/>
      <c r="H35" s="63"/>
      <c r="I35" s="63"/>
      <c r="J35" s="63"/>
      <c r="K35" s="64"/>
      <c r="W35" s="53">
        <v>7</v>
      </c>
      <c r="X35" s="53">
        <f t="shared" si="1"/>
        <v>311616.32947608776</v>
      </c>
    </row>
    <row r="36" spans="2:24" ht="15.75" customHeight="1">
      <c r="B36" s="61"/>
      <c r="C36" s="63"/>
      <c r="D36" s="63"/>
      <c r="E36" s="97"/>
      <c r="F36" s="63"/>
      <c r="G36" s="63"/>
      <c r="H36" s="63"/>
      <c r="I36" s="63"/>
      <c r="J36" s="63"/>
      <c r="K36" s="64"/>
      <c r="W36" s="53">
        <v>8</v>
      </c>
      <c r="X36" s="53">
        <f t="shared" si="1"/>
        <v>333131.86886388168</v>
      </c>
    </row>
    <row r="37" spans="2:24" ht="15.75" customHeight="1">
      <c r="B37" s="61"/>
      <c r="C37" s="63"/>
      <c r="D37" s="63"/>
      <c r="E37" s="97"/>
      <c r="F37" s="63"/>
      <c r="G37" s="63"/>
      <c r="H37" s="63"/>
      <c r="I37" s="63"/>
      <c r="J37" s="63"/>
      <c r="K37" s="64"/>
      <c r="W37" s="53">
        <v>9</v>
      </c>
      <c r="X37" s="53">
        <f t="shared" si="1"/>
        <v>353339.70525449765</v>
      </c>
    </row>
    <row r="38" spans="2:24" ht="15.75" customHeight="1">
      <c r="B38" s="61"/>
      <c r="C38" s="103"/>
      <c r="D38" s="103"/>
      <c r="E38" s="63"/>
      <c r="F38" s="63"/>
      <c r="G38" s="63"/>
      <c r="H38" s="63"/>
      <c r="I38" s="63"/>
      <c r="J38" s="63"/>
      <c r="K38" s="64"/>
      <c r="W38" s="53">
        <v>10</v>
      </c>
      <c r="X38" s="53">
        <f t="shared" si="1"/>
        <v>372452.75212559255</v>
      </c>
    </row>
    <row r="39" spans="2:24" ht="15.75" customHeight="1">
      <c r="B39" s="61"/>
      <c r="C39" s="103"/>
      <c r="D39" s="103"/>
      <c r="E39" s="63"/>
      <c r="F39" s="63"/>
      <c r="G39" s="63"/>
      <c r="H39" s="63"/>
      <c r="I39" s="63"/>
      <c r="J39" s="63"/>
      <c r="K39" s="64"/>
      <c r="N39" s="1" t="s">
        <v>102</v>
      </c>
    </row>
    <row r="40" spans="2:24" ht="15.75" customHeight="1">
      <c r="B40" s="61"/>
      <c r="C40" s="103"/>
      <c r="D40" s="103"/>
      <c r="E40" s="63"/>
      <c r="F40" s="63"/>
      <c r="G40" s="63"/>
      <c r="H40" s="63"/>
      <c r="I40" s="63"/>
      <c r="J40" s="63"/>
      <c r="K40" s="64"/>
    </row>
    <row r="41" spans="2:24">
      <c r="B41" s="61"/>
      <c r="C41" s="103"/>
      <c r="D41" s="103"/>
      <c r="E41" s="63"/>
      <c r="F41" s="63"/>
      <c r="G41" s="63"/>
      <c r="H41" s="63"/>
      <c r="I41" s="63"/>
      <c r="J41" s="63"/>
      <c r="K41" s="64"/>
    </row>
    <row r="42" spans="2:24">
      <c r="B42" s="61"/>
      <c r="C42" s="103"/>
      <c r="D42" s="103"/>
      <c r="E42" s="63"/>
      <c r="F42" s="63"/>
      <c r="G42" s="63"/>
      <c r="H42" s="63"/>
      <c r="I42" s="63"/>
      <c r="J42" s="63"/>
      <c r="K42" s="64"/>
    </row>
    <row r="43" spans="2:24">
      <c r="B43" s="61"/>
      <c r="C43" s="103"/>
      <c r="D43" s="103"/>
      <c r="E43" s="63"/>
      <c r="F43" s="63"/>
      <c r="G43" s="63"/>
      <c r="H43" s="63"/>
      <c r="I43" s="63"/>
      <c r="J43" s="63"/>
      <c r="K43" s="64"/>
    </row>
    <row r="44" spans="2:24">
      <c r="B44" s="61"/>
      <c r="C44" s="103"/>
      <c r="D44" s="103"/>
      <c r="E44" s="63"/>
      <c r="F44" s="63"/>
      <c r="G44" s="63"/>
      <c r="H44" s="63"/>
      <c r="I44" s="63"/>
      <c r="J44" s="63"/>
      <c r="K44" s="64"/>
    </row>
    <row r="45" spans="2:24" ht="15.75" thickBot="1">
      <c r="B45" s="104"/>
      <c r="C45" s="105"/>
      <c r="D45" s="105"/>
      <c r="E45" s="105"/>
      <c r="F45" s="105"/>
      <c r="G45" s="105"/>
      <c r="H45" s="105"/>
      <c r="I45" s="105"/>
      <c r="J45" s="105"/>
      <c r="K45" s="106"/>
    </row>
    <row r="46" spans="2:24" ht="15.75" thickTop="1"/>
  </sheetData>
  <dataConsolidate/>
  <mergeCells count="9">
    <mergeCell ref="I3:K3"/>
    <mergeCell ref="I5:K5"/>
    <mergeCell ref="E25:F25"/>
    <mergeCell ref="C12:F12"/>
    <mergeCell ref="AP7:AT7"/>
    <mergeCell ref="AU7:AV7"/>
    <mergeCell ref="N25:O25"/>
    <mergeCell ref="N8:P8"/>
    <mergeCell ref="G5:H5"/>
  </mergeCells>
  <conditionalFormatting sqref="E25">
    <cfRule type="containsText" dxfId="2" priority="1" operator="containsText" text="Turbulent">
      <formula>NOT(ISERROR(SEARCH("Turbulent",E25)))</formula>
    </cfRule>
  </conditionalFormatting>
  <dataValidations count="1">
    <dataValidation type="decimal" allowBlank="1" showErrorMessage="1" errorTitle="ป้อนค่าใหม่" error="ค่า Temp ต้องอยู่ระหว่าง 0.01 - 100 °C" sqref="N24" xr:uid="{8CFEE03A-98A3-47C3-8CCE-660EC66CE697}">
      <formula1>N10</formula1>
      <formula2>N21</formula2>
    </dataValidation>
  </dataValidations>
  <pageMargins left="0.75" right="0.25" top="0.75" bottom="0.75" header="0.3" footer="0.3"/>
  <pageSetup scale="17"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E9289E7-AA45-4215-A96B-7D162077D4D0}">
          <x14:formula1>
            <xm:f>n!$H$4:$H$29</xm:f>
          </x14:formula1>
          <xm:sqref>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303A6-4CC0-4115-B12C-C9F41CC5A5EC}">
  <dimension ref="B1:AY45"/>
  <sheetViews>
    <sheetView topLeftCell="A37" zoomScaleNormal="100" workbookViewId="0">
      <selection activeCell="B2" sqref="B2:K44"/>
    </sheetView>
  </sheetViews>
  <sheetFormatPr defaultRowHeight="15"/>
  <cols>
    <col min="1" max="1" width="2.5703125" style="1" customWidth="1"/>
    <col min="2" max="2" width="2.85546875" style="1" customWidth="1"/>
    <col min="3" max="3" width="19.28515625" style="1" customWidth="1"/>
    <col min="4" max="4" width="15.7109375" style="1" customWidth="1"/>
    <col min="5" max="5" width="10.7109375" style="1" customWidth="1"/>
    <col min="6" max="6" width="8.140625" style="1" customWidth="1"/>
    <col min="7" max="7" width="9.140625" style="1" customWidth="1"/>
    <col min="8" max="8" width="5.140625" style="1" customWidth="1"/>
    <col min="9" max="9" width="10" style="1" customWidth="1"/>
    <col min="10" max="10" width="10.7109375" style="1" customWidth="1"/>
    <col min="11" max="11" width="1.7109375" style="1" customWidth="1"/>
    <col min="12" max="13" width="9.140625" style="1"/>
    <col min="14" max="14" width="22.42578125" style="1" bestFit="1" customWidth="1"/>
    <col min="15" max="15" width="24.7109375" style="1" bestFit="1" customWidth="1"/>
    <col min="16" max="16" width="23" style="1" customWidth="1"/>
    <col min="17" max="17" width="15.42578125" style="1" bestFit="1" customWidth="1"/>
    <col min="18" max="18" width="11.7109375" style="1" customWidth="1"/>
    <col min="19" max="19" width="11.85546875" style="1" customWidth="1"/>
    <col min="20" max="20" width="8" style="1" customWidth="1"/>
    <col min="21" max="23" width="9.140625" style="1" customWidth="1"/>
    <col min="24" max="24" width="13.85546875" style="1" customWidth="1"/>
    <col min="25" max="25" width="12.140625" style="1" customWidth="1"/>
    <col min="26" max="26" width="13" style="1" customWidth="1"/>
    <col min="27" max="27" width="11.28515625" style="1" bestFit="1" customWidth="1"/>
    <col min="28" max="30" width="9.140625" style="1" customWidth="1"/>
    <col min="31" max="31" width="11.140625" style="1" customWidth="1"/>
    <col min="32" max="32" width="26.28515625" style="1" customWidth="1"/>
    <col min="33" max="37" width="9.140625" style="1" customWidth="1"/>
    <col min="38" max="38" width="9.42578125" style="1" customWidth="1"/>
    <col min="39" max="39" width="9.140625" style="1" customWidth="1"/>
    <col min="40" max="40" width="19.5703125" style="1" customWidth="1"/>
    <col min="41" max="16384" width="9.140625" style="1"/>
  </cols>
  <sheetData>
    <row r="1" spans="2:51" ht="15.75" thickBot="1"/>
    <row r="2" spans="2:51" ht="15.75" thickTop="1">
      <c r="B2" s="77" t="s">
        <v>103</v>
      </c>
      <c r="C2" s="78"/>
      <c r="D2" s="133" t="s">
        <v>138</v>
      </c>
      <c r="E2" s="133"/>
      <c r="F2" s="133"/>
      <c r="G2" s="133"/>
      <c r="H2" s="134"/>
      <c r="I2" s="80" t="s">
        <v>108</v>
      </c>
      <c r="J2" s="79"/>
      <c r="K2" s="81"/>
    </row>
    <row r="3" spans="2:51">
      <c r="B3" s="82" t="s">
        <v>104</v>
      </c>
      <c r="C3" s="83"/>
      <c r="D3" s="135" t="s">
        <v>107</v>
      </c>
      <c r="E3" s="135"/>
      <c r="F3" s="135"/>
      <c r="G3" s="135"/>
      <c r="H3" s="136"/>
      <c r="I3" s="161"/>
      <c r="J3" s="162"/>
      <c r="K3" s="163"/>
    </row>
    <row r="4" spans="2:51">
      <c r="B4" s="82"/>
      <c r="C4" s="83"/>
      <c r="D4" s="135"/>
      <c r="E4" s="135"/>
      <c r="F4" s="135"/>
      <c r="G4" s="135"/>
      <c r="H4" s="136"/>
      <c r="I4" s="84" t="s">
        <v>109</v>
      </c>
      <c r="J4" s="85"/>
      <c r="K4" s="86"/>
      <c r="W4" s="1" t="str">
        <f>IF(J23&lt;0.7,"ความเร็วต่ำเกินไป",IF(J23&lt;=6,"","ความเร็วสูงเกินไป"))</f>
        <v/>
      </c>
    </row>
    <row r="5" spans="2:51" ht="15.75" thickBot="1">
      <c r="B5" s="87" t="s">
        <v>105</v>
      </c>
      <c r="C5" s="88"/>
      <c r="D5" s="137" t="s">
        <v>141</v>
      </c>
      <c r="E5" s="138"/>
      <c r="F5" s="89" t="s">
        <v>106</v>
      </c>
      <c r="G5" s="159">
        <f ca="1">NOW()-1</f>
        <v>45449.809083217595</v>
      </c>
      <c r="H5" s="160"/>
      <c r="I5" s="164"/>
      <c r="J5" s="165"/>
      <c r="K5" s="166"/>
    </row>
    <row r="6" spans="2:51" ht="15.75" customHeight="1" thickTop="1" thickBot="1">
      <c r="B6" s="57"/>
      <c r="C6" s="58" t="s">
        <v>64</v>
      </c>
      <c r="D6" s="58"/>
      <c r="E6" s="59"/>
      <c r="F6" s="59"/>
      <c r="G6" s="59"/>
      <c r="H6" s="59"/>
      <c r="I6" s="59"/>
      <c r="J6" s="59"/>
      <c r="K6" s="60"/>
    </row>
    <row r="7" spans="2:51" ht="15.75" customHeight="1" thickTop="1" thickBot="1">
      <c r="B7" s="61"/>
      <c r="C7" s="62"/>
      <c r="D7" s="62"/>
      <c r="E7" s="62"/>
      <c r="F7" s="63"/>
      <c r="G7" s="63"/>
      <c r="H7" s="63"/>
      <c r="I7" s="63"/>
      <c r="J7" s="63"/>
      <c r="K7" s="64"/>
      <c r="X7" s="16" t="s">
        <v>96</v>
      </c>
      <c r="Y7" s="16" t="s">
        <v>97</v>
      </c>
      <c r="Z7" s="16" t="s">
        <v>84</v>
      </c>
      <c r="AA7" s="16"/>
      <c r="AB7" s="16"/>
      <c r="AC7" s="16"/>
      <c r="AD7" s="28" t="s">
        <v>68</v>
      </c>
      <c r="AE7" s="35" t="s">
        <v>67</v>
      </c>
      <c r="AF7" s="29" t="s">
        <v>69</v>
      </c>
      <c r="AI7" s="1" t="s">
        <v>84</v>
      </c>
      <c r="AK7" s="28" t="s">
        <v>68</v>
      </c>
      <c r="AL7" s="35" t="s">
        <v>67</v>
      </c>
      <c r="AM7" s="29" t="s">
        <v>69</v>
      </c>
      <c r="AO7" s="28" t="s">
        <v>68</v>
      </c>
      <c r="AP7" s="150" t="s">
        <v>73</v>
      </c>
      <c r="AQ7" s="150"/>
      <c r="AR7" s="150"/>
      <c r="AS7" s="150"/>
      <c r="AT7" s="150"/>
      <c r="AU7" s="151" t="s">
        <v>74</v>
      </c>
      <c r="AV7" s="152"/>
      <c r="AW7" s="29" t="s">
        <v>75</v>
      </c>
    </row>
    <row r="8" spans="2:51" ht="15.75" customHeight="1" thickBot="1">
      <c r="B8" s="61"/>
      <c r="C8" s="65" t="s">
        <v>122</v>
      </c>
      <c r="D8" s="66"/>
      <c r="E8" s="143">
        <v>3</v>
      </c>
      <c r="F8" s="67" t="s">
        <v>28</v>
      </c>
      <c r="G8" s="68"/>
      <c r="H8" s="63"/>
      <c r="I8" s="63"/>
      <c r="J8" s="63"/>
      <c r="K8" s="64"/>
      <c r="N8" s="153" t="s">
        <v>66</v>
      </c>
      <c r="O8" s="154"/>
      <c r="P8" s="155"/>
      <c r="W8" s="1" t="s">
        <v>85</v>
      </c>
      <c r="X8" s="16">
        <f>N24</f>
        <v>25</v>
      </c>
      <c r="Y8" s="16">
        <f>N24</f>
        <v>25</v>
      </c>
      <c r="Z8" s="16">
        <f>Y8</f>
        <v>25</v>
      </c>
      <c r="AA8" s="16"/>
      <c r="AB8" s="16"/>
      <c r="AC8" s="16"/>
      <c r="AD8" s="30" t="s">
        <v>70</v>
      </c>
      <c r="AE8" s="27" t="s">
        <v>71</v>
      </c>
      <c r="AF8" s="31" t="s">
        <v>72</v>
      </c>
      <c r="AI8" s="36" t="s">
        <v>76</v>
      </c>
      <c r="AJ8" s="36" t="s">
        <v>77</v>
      </c>
      <c r="AK8" s="30" t="s">
        <v>70</v>
      </c>
      <c r="AL8" s="27" t="s">
        <v>71</v>
      </c>
      <c r="AM8" s="31" t="s">
        <v>72</v>
      </c>
      <c r="AO8" s="37" t="s">
        <v>70</v>
      </c>
      <c r="AP8" s="36" t="s">
        <v>76</v>
      </c>
      <c r="AQ8" s="36" t="s">
        <v>77</v>
      </c>
      <c r="AR8" s="36" t="s">
        <v>78</v>
      </c>
      <c r="AS8" s="36" t="s">
        <v>79</v>
      </c>
      <c r="AT8" s="36" t="s">
        <v>80</v>
      </c>
      <c r="AU8" s="36" t="s">
        <v>81</v>
      </c>
      <c r="AV8" s="36" t="s">
        <v>82</v>
      </c>
      <c r="AW8" s="38" t="s">
        <v>83</v>
      </c>
    </row>
    <row r="9" spans="2:51" ht="15.75" customHeight="1" thickTop="1" thickBot="1">
      <c r="B9" s="61"/>
      <c r="C9" s="69" t="s">
        <v>118</v>
      </c>
      <c r="D9" s="70"/>
      <c r="E9" s="144">
        <v>2</v>
      </c>
      <c r="F9" s="72" t="s">
        <v>28</v>
      </c>
      <c r="G9" s="68"/>
      <c r="H9" s="63"/>
      <c r="I9" s="63"/>
      <c r="J9" s="73"/>
      <c r="K9" s="64"/>
      <c r="N9" s="51" t="s">
        <v>65</v>
      </c>
      <c r="O9" s="50" t="s">
        <v>92</v>
      </c>
      <c r="P9" s="52" t="s">
        <v>95</v>
      </c>
      <c r="Q9" s="52" t="s">
        <v>98</v>
      </c>
      <c r="W9" s="1" t="s">
        <v>86</v>
      </c>
      <c r="X9" s="16">
        <f>INDEX(N10:N22,MATCH(X8,N10:N22,1))</f>
        <v>20</v>
      </c>
      <c r="Y9" s="16">
        <f>X9</f>
        <v>20</v>
      </c>
      <c r="Z9" s="16">
        <f t="shared" ref="Z9:Z10" si="0">Y9</f>
        <v>20</v>
      </c>
      <c r="AA9" s="16"/>
      <c r="AB9" s="16"/>
      <c r="AC9" s="16"/>
      <c r="AD9" s="18">
        <v>0.01</v>
      </c>
      <c r="AE9" s="19">
        <v>1.7914000000000001E-3</v>
      </c>
      <c r="AF9" s="22">
        <v>1.7918000000000001</v>
      </c>
      <c r="AG9" s="19">
        <v>3.7414000000000001</v>
      </c>
      <c r="AH9" s="20">
        <v>1.7918000000000001</v>
      </c>
      <c r="AI9" s="1">
        <f>AP9</f>
        <v>0.99984949999999995</v>
      </c>
      <c r="AJ9" s="1">
        <v>999.84949999999992</v>
      </c>
      <c r="AK9" s="21">
        <v>0.01</v>
      </c>
      <c r="AL9" s="17">
        <v>1.7914000000000001E-3</v>
      </c>
      <c r="AM9" s="22">
        <v>1.7918000000000001</v>
      </c>
      <c r="AO9" s="21">
        <v>0.1</v>
      </c>
      <c r="AP9" s="17">
        <v>0.99984949999999995</v>
      </c>
      <c r="AQ9" s="17">
        <v>999.85</v>
      </c>
      <c r="AR9" s="17">
        <v>1.94</v>
      </c>
      <c r="AS9" s="17">
        <v>62.418599999999998</v>
      </c>
      <c r="AT9" s="17">
        <v>8.3440999999999992</v>
      </c>
      <c r="AU9" s="17">
        <v>9.8051999999999992</v>
      </c>
      <c r="AV9" s="17">
        <v>62.418999999999997</v>
      </c>
      <c r="AW9" s="22">
        <v>-0.68</v>
      </c>
    </row>
    <row r="10" spans="2:51" ht="15.75" customHeight="1" thickBot="1">
      <c r="B10" s="61"/>
      <c r="C10" s="69" t="s">
        <v>119</v>
      </c>
      <c r="D10" s="74"/>
      <c r="E10" s="75"/>
      <c r="F10" s="76"/>
      <c r="G10" s="68"/>
      <c r="H10" s="63"/>
      <c r="I10" s="63"/>
      <c r="J10" s="63"/>
      <c r="K10" s="64"/>
      <c r="N10" s="42">
        <v>0.01</v>
      </c>
      <c r="O10" s="45">
        <v>1.7914000000000001E-3</v>
      </c>
      <c r="P10" s="46">
        <v>1.7918000000000001</v>
      </c>
      <c r="Q10" s="46">
        <v>999.85</v>
      </c>
      <c r="W10" s="1" t="s">
        <v>87</v>
      </c>
      <c r="X10" s="16">
        <f>INDEX(N10:N22,MATCH(X8,N10:N22,1)+1)</f>
        <v>30</v>
      </c>
      <c r="Y10" s="16">
        <f>X10</f>
        <v>30</v>
      </c>
      <c r="Z10" s="16">
        <f t="shared" si="0"/>
        <v>30</v>
      </c>
      <c r="AA10" s="16"/>
      <c r="AB10" s="16"/>
      <c r="AC10" s="16"/>
      <c r="AD10" s="21">
        <v>10</v>
      </c>
      <c r="AE10" s="17">
        <v>1.3060000000000001E-3</v>
      </c>
      <c r="AF10" s="22">
        <v>1.3065</v>
      </c>
      <c r="AG10" s="17">
        <v>2.7275999999999998</v>
      </c>
      <c r="AH10" s="22">
        <v>1.3065</v>
      </c>
      <c r="AI10" s="1">
        <f>AP12</f>
        <v>0.99970000000000003</v>
      </c>
      <c r="AJ10" s="1">
        <v>999.7</v>
      </c>
      <c r="AK10" s="21">
        <v>10</v>
      </c>
      <c r="AL10" s="17">
        <v>1.3060000000000001E-3</v>
      </c>
      <c r="AM10" s="22">
        <v>1.3065</v>
      </c>
      <c r="AN10" s="1">
        <f>AQ9</f>
        <v>999.85</v>
      </c>
      <c r="AO10" s="21">
        <v>1</v>
      </c>
      <c r="AP10" s="17">
        <v>0.9999017</v>
      </c>
      <c r="AQ10" s="17">
        <v>999.9</v>
      </c>
      <c r="AR10" s="17">
        <v>1.9400999999999999</v>
      </c>
      <c r="AS10" s="17">
        <v>62.421799999999998</v>
      </c>
      <c r="AT10" s="17">
        <v>8.3445999999999998</v>
      </c>
      <c r="AU10" s="17">
        <v>9.8056999999999999</v>
      </c>
      <c r="AV10" s="17">
        <v>62.421999999999997</v>
      </c>
      <c r="AW10" s="22">
        <v>-0.5</v>
      </c>
    </row>
    <row r="11" spans="2:51" ht="15.75" customHeight="1" thickBot="1">
      <c r="B11" s="61"/>
      <c r="C11" s="156" t="s">
        <v>44</v>
      </c>
      <c r="D11" s="157"/>
      <c r="E11" s="157"/>
      <c r="F11" s="158"/>
      <c r="G11" s="68"/>
      <c r="H11" s="63"/>
      <c r="I11" s="63"/>
      <c r="J11" s="63"/>
      <c r="K11" s="64"/>
      <c r="N11" s="43">
        <v>5</v>
      </c>
      <c r="O11" s="46">
        <v>1.5181999999999999E-3</v>
      </c>
      <c r="P11" s="46">
        <v>1.5182</v>
      </c>
      <c r="Q11" s="46">
        <v>999.95</v>
      </c>
      <c r="W11" s="1" t="s">
        <v>88</v>
      </c>
      <c r="X11" s="16">
        <f>INDEX(O10:O22,MATCH(X8,N10:N22,1))</f>
        <v>1.0016000000000001E-3</v>
      </c>
      <c r="Y11" s="16">
        <f>INDEX(P10:P22,MATCH(Y8,N10:N22,1))</f>
        <v>1.0035000000000001</v>
      </c>
      <c r="Z11" s="16">
        <f>INDEX(Q10:Q22,MATCH(Z8,N10:N22,1))</f>
        <v>998.21</v>
      </c>
      <c r="AA11" s="16"/>
      <c r="AB11" s="16"/>
      <c r="AC11" s="16"/>
      <c r="AD11" s="21">
        <v>20</v>
      </c>
      <c r="AE11" s="17">
        <v>1.0016000000000001E-3</v>
      </c>
      <c r="AF11" s="22">
        <v>1.0035000000000001</v>
      </c>
      <c r="AG11" s="17">
        <v>2.0918999999999999</v>
      </c>
      <c r="AH11" s="22">
        <v>1.0035000000000001</v>
      </c>
      <c r="AI11" s="1">
        <f>AP14</f>
        <v>0.9982067</v>
      </c>
      <c r="AJ11" s="1">
        <v>998.20669999999996</v>
      </c>
      <c r="AK11" s="21">
        <v>20</v>
      </c>
      <c r="AL11" s="17">
        <v>1.0016000000000001E-3</v>
      </c>
      <c r="AM11" s="22">
        <v>1.0035000000000001</v>
      </c>
      <c r="AN11" s="1">
        <v>999.95</v>
      </c>
      <c r="AO11" s="21">
        <v>4</v>
      </c>
      <c r="AP11" s="17">
        <v>0.9999749</v>
      </c>
      <c r="AQ11" s="17">
        <v>999.97</v>
      </c>
      <c r="AR11" s="17">
        <v>1.9402999999999999</v>
      </c>
      <c r="AS11" s="17">
        <v>62.426400000000001</v>
      </c>
      <c r="AT11" s="17">
        <v>8.3452000000000002</v>
      </c>
      <c r="AU11" s="17">
        <v>9.8064</v>
      </c>
      <c r="AV11" s="17">
        <v>62.426000000000002</v>
      </c>
      <c r="AW11" s="22">
        <v>3.0000000000000001E-3</v>
      </c>
      <c r="AY11" s="1">
        <f>AQ11-AQ10</f>
        <v>7.0000000000050022E-2</v>
      </c>
    </row>
    <row r="12" spans="2:51" ht="15.75" customHeight="1" thickBot="1">
      <c r="B12" s="61"/>
      <c r="C12" s="69" t="s">
        <v>120</v>
      </c>
      <c r="D12" s="70"/>
      <c r="E12" s="71">
        <f>VLOOKUP(C11,n!H4:I29,2,FALSE)</f>
        <v>1.4E-2</v>
      </c>
      <c r="F12" s="72"/>
      <c r="G12" s="68"/>
      <c r="H12" s="63"/>
      <c r="I12" s="63"/>
      <c r="J12" s="73"/>
      <c r="K12" s="64"/>
      <c r="N12" s="43">
        <v>10</v>
      </c>
      <c r="O12" s="46">
        <v>1.3060000000000001E-3</v>
      </c>
      <c r="P12" s="46">
        <v>1.3065</v>
      </c>
      <c r="Q12" s="46">
        <v>999.7</v>
      </c>
      <c r="W12" s="1" t="s">
        <v>89</v>
      </c>
      <c r="X12" s="16">
        <f>INDEX(O10:O22,MATCH(X8,N10:N22,1)+1)</f>
        <v>7.9719999999999997E-4</v>
      </c>
      <c r="Y12" s="16">
        <f>INDEX(P10:P22,MATCH(Y8,N10:N22,1)+1)</f>
        <v>0.80069999999999997</v>
      </c>
      <c r="Z12" s="16">
        <f>INDEX(Q10:Q22,MATCH(Z8,N10:N22,1)+1)</f>
        <v>995.65</v>
      </c>
      <c r="AA12" s="16"/>
      <c r="AB12" s="16"/>
      <c r="AC12" s="16"/>
      <c r="AD12" s="21">
        <v>25</v>
      </c>
      <c r="AE12" s="17">
        <v>8.8999999999999995E-4</v>
      </c>
      <c r="AF12" s="22">
        <v>0.89270000000000005</v>
      </c>
      <c r="AG12" s="17">
        <v>1.8589</v>
      </c>
      <c r="AH12" s="22">
        <v>0.89270000000000005</v>
      </c>
      <c r="AI12" s="1">
        <f>AP15</f>
        <v>0.99704700000000002</v>
      </c>
      <c r="AJ12" s="1">
        <v>997.04700000000003</v>
      </c>
      <c r="AK12" s="21">
        <v>25</v>
      </c>
      <c r="AL12" s="17">
        <v>8.8999999999999995E-4</v>
      </c>
      <c r="AM12" s="22">
        <v>0.89270000000000005</v>
      </c>
      <c r="AN12" s="1">
        <f>AQ12</f>
        <v>999.7</v>
      </c>
      <c r="AO12" s="21">
        <v>10</v>
      </c>
      <c r="AP12" s="17">
        <v>0.99970000000000003</v>
      </c>
      <c r="AQ12" s="17">
        <v>999.7</v>
      </c>
      <c r="AR12" s="17">
        <v>1.9397</v>
      </c>
      <c r="AS12" s="17">
        <v>62.409399999999998</v>
      </c>
      <c r="AT12" s="17">
        <v>8.3429000000000002</v>
      </c>
      <c r="AU12" s="17">
        <v>9.8036999999999992</v>
      </c>
      <c r="AV12" s="17">
        <v>62.408999999999999</v>
      </c>
      <c r="AW12" s="22">
        <v>0.88</v>
      </c>
      <c r="AY12" s="1">
        <f>AY11/3</f>
        <v>2.3333333333350009E-2</v>
      </c>
    </row>
    <row r="13" spans="2:51" ht="15.75" customHeight="1" thickBot="1">
      <c r="B13" s="61"/>
      <c r="C13" s="107" t="s">
        <v>128</v>
      </c>
      <c r="D13" s="108"/>
      <c r="E13" s="139">
        <v>0.75</v>
      </c>
      <c r="F13" s="109" t="s">
        <v>127</v>
      </c>
      <c r="G13" s="68"/>
      <c r="H13" s="63"/>
      <c r="I13" s="63"/>
      <c r="J13" s="73"/>
      <c r="K13" s="64"/>
      <c r="N13" s="43">
        <v>20</v>
      </c>
      <c r="O13" s="46">
        <v>1.0016000000000001E-3</v>
      </c>
      <c r="P13" s="46">
        <v>1.0035000000000001</v>
      </c>
      <c r="Q13" s="46">
        <v>998.21</v>
      </c>
      <c r="X13" s="16">
        <f>FORECAST(X8,X11:X12,X9:X10)</f>
        <v>8.9940000000000007E-4</v>
      </c>
      <c r="Y13" s="16">
        <f>FORECAST(Y8,Y11:Y12,Y9:Y10)</f>
        <v>0.90210000000000001</v>
      </c>
      <c r="Z13" s="16">
        <f>FORECAST(Z8,Z11:Z12,Z9:Z10)</f>
        <v>996.93000000000006</v>
      </c>
      <c r="AA13" s="16"/>
      <c r="AB13" s="16"/>
      <c r="AC13" s="16"/>
      <c r="AD13" s="21">
        <v>30</v>
      </c>
      <c r="AE13" s="17">
        <v>7.9719999999999997E-4</v>
      </c>
      <c r="AF13" s="22">
        <v>0.80069999999999997</v>
      </c>
      <c r="AG13" s="17">
        <v>1.665</v>
      </c>
      <c r="AH13" s="22">
        <v>0.80069999999999997</v>
      </c>
      <c r="AI13" s="1">
        <f>AP16</f>
        <v>0.9956488</v>
      </c>
      <c r="AJ13" s="1">
        <v>995.64880000000005</v>
      </c>
      <c r="AK13" s="21">
        <v>30</v>
      </c>
      <c r="AL13" s="17">
        <v>7.9719999999999997E-4</v>
      </c>
      <c r="AM13" s="22">
        <v>0.80069999999999997</v>
      </c>
      <c r="AN13" s="1">
        <f>AQ14</f>
        <v>998.21</v>
      </c>
      <c r="AO13" s="21">
        <v>15</v>
      </c>
      <c r="AP13" s="17">
        <v>0.99910259999999995</v>
      </c>
      <c r="AQ13" s="17">
        <v>999.1</v>
      </c>
      <c r="AR13" s="17">
        <v>1.9386000000000001</v>
      </c>
      <c r="AS13" s="17">
        <v>62.371899999999997</v>
      </c>
      <c r="AT13" s="17">
        <v>8.3378999999999994</v>
      </c>
      <c r="AU13" s="17">
        <v>9.7978000000000005</v>
      </c>
      <c r="AV13" s="17">
        <v>62.372</v>
      </c>
      <c r="AW13" s="22">
        <v>1.51</v>
      </c>
      <c r="AY13" s="1">
        <f>AN11-AY12</f>
        <v>999.92666666666673</v>
      </c>
    </row>
    <row r="14" spans="2:51" ht="15.75" customHeight="1" thickBot="1">
      <c r="B14" s="61"/>
      <c r="C14" s="63"/>
      <c r="D14" s="63"/>
      <c r="E14" s="63"/>
      <c r="F14" s="68"/>
      <c r="G14" s="68"/>
      <c r="H14" s="63"/>
      <c r="I14" s="63"/>
      <c r="J14" s="73"/>
      <c r="K14" s="64"/>
      <c r="N14" s="43">
        <v>30</v>
      </c>
      <c r="O14" s="46">
        <v>7.9719999999999997E-4</v>
      </c>
      <c r="P14" s="46">
        <v>0.80069999999999997</v>
      </c>
      <c r="Q14" s="46">
        <v>995.65</v>
      </c>
      <c r="AD14" s="21">
        <v>40</v>
      </c>
      <c r="AE14" s="17">
        <v>6.5269999999999998E-4</v>
      </c>
      <c r="AF14" s="22">
        <v>0.65790000000000004</v>
      </c>
      <c r="AG14" s="17">
        <v>1.3632</v>
      </c>
      <c r="AH14" s="22">
        <v>0.65790000000000004</v>
      </c>
      <c r="AI14" s="1">
        <f>AP18</f>
        <v>0.99221519999999996</v>
      </c>
      <c r="AJ14" s="1">
        <v>992.21519999999998</v>
      </c>
      <c r="AK14" s="21">
        <v>40</v>
      </c>
      <c r="AL14" s="17">
        <v>6.5269999999999998E-4</v>
      </c>
      <c r="AM14" s="22">
        <v>0.65790000000000004</v>
      </c>
      <c r="AN14" s="1">
        <f>AQ16</f>
        <v>995.65</v>
      </c>
      <c r="AO14" s="21">
        <v>20</v>
      </c>
      <c r="AP14" s="17">
        <v>0.9982067</v>
      </c>
      <c r="AQ14" s="17">
        <v>998.21</v>
      </c>
      <c r="AR14" s="17">
        <v>1.9368000000000001</v>
      </c>
      <c r="AS14" s="17">
        <v>62.316000000000003</v>
      </c>
      <c r="AT14" s="17">
        <v>8.3303999999999991</v>
      </c>
      <c r="AU14" s="17">
        <v>9.7890999999999995</v>
      </c>
      <c r="AV14" s="17">
        <v>62.316000000000003</v>
      </c>
      <c r="AW14" s="22">
        <v>2.0699999999999998</v>
      </c>
    </row>
    <row r="15" spans="2:51" ht="15.75" customHeight="1" thickBot="1">
      <c r="B15" s="61"/>
      <c r="C15" s="63"/>
      <c r="D15" s="63"/>
      <c r="E15" s="63"/>
      <c r="F15" s="68"/>
      <c r="G15" s="68"/>
      <c r="H15" s="63"/>
      <c r="I15" s="63"/>
      <c r="J15" s="73"/>
      <c r="K15" s="64"/>
      <c r="N15" s="43">
        <v>40</v>
      </c>
      <c r="O15" s="46">
        <v>6.5269999999999998E-4</v>
      </c>
      <c r="P15" s="46">
        <v>0.65790000000000004</v>
      </c>
      <c r="Q15" s="46">
        <v>992.22</v>
      </c>
      <c r="AD15" s="21">
        <v>50</v>
      </c>
      <c r="AE15" s="17">
        <v>5.465E-4</v>
      </c>
      <c r="AF15" s="22">
        <v>0.55310000000000004</v>
      </c>
      <c r="AG15" s="17">
        <v>1.1414</v>
      </c>
      <c r="AH15" s="22">
        <v>0.55310000000000004</v>
      </c>
      <c r="AI15" s="1">
        <f>AP20</f>
        <v>0.98804000000000003</v>
      </c>
      <c r="AJ15" s="1">
        <v>988.04000000000008</v>
      </c>
      <c r="AK15" s="21">
        <v>50</v>
      </c>
      <c r="AL15" s="17">
        <v>5.465E-4</v>
      </c>
      <c r="AM15" s="22">
        <v>0.55310000000000004</v>
      </c>
      <c r="AN15" s="1">
        <f>AQ18</f>
        <v>992.22</v>
      </c>
      <c r="AO15" s="21">
        <v>25</v>
      </c>
      <c r="AP15" s="17">
        <v>0.99704700000000002</v>
      </c>
      <c r="AQ15" s="17">
        <v>997.05</v>
      </c>
      <c r="AR15" s="17">
        <v>1.9346000000000001</v>
      </c>
      <c r="AS15" s="17">
        <v>62.243600000000001</v>
      </c>
      <c r="AT15" s="17">
        <v>8.3208000000000002</v>
      </c>
      <c r="AU15" s="17">
        <v>9.7776999999999994</v>
      </c>
      <c r="AV15" s="17">
        <v>62.244</v>
      </c>
      <c r="AW15" s="22">
        <v>2.57</v>
      </c>
    </row>
    <row r="16" spans="2:51" ht="15.75" customHeight="1" thickBot="1">
      <c r="B16" s="61"/>
      <c r="C16" s="63"/>
      <c r="D16" s="63"/>
      <c r="E16" s="63"/>
      <c r="F16" s="68"/>
      <c r="G16" s="68"/>
      <c r="H16" s="63"/>
      <c r="I16" s="63"/>
      <c r="J16" s="73"/>
      <c r="K16" s="64"/>
      <c r="N16" s="43">
        <v>50</v>
      </c>
      <c r="O16" s="46">
        <v>5.465E-4</v>
      </c>
      <c r="P16" s="46">
        <v>0.55310000000000004</v>
      </c>
      <c r="Q16" s="46">
        <v>988.04</v>
      </c>
      <c r="AD16" s="21">
        <v>60</v>
      </c>
      <c r="AE16" s="17">
        <v>4.66E-4</v>
      </c>
      <c r="AF16" s="22">
        <v>0.47399999999999998</v>
      </c>
      <c r="AG16" s="17">
        <v>0.97330000000000005</v>
      </c>
      <c r="AH16" s="22">
        <v>0.47399999999999998</v>
      </c>
      <c r="AI16" s="1">
        <f>AP22</f>
        <v>0.98319999999999996</v>
      </c>
      <c r="AJ16" s="1">
        <v>983.19999999999993</v>
      </c>
      <c r="AK16" s="21">
        <v>60</v>
      </c>
      <c r="AL16" s="17">
        <v>4.66E-4</v>
      </c>
      <c r="AM16" s="22">
        <v>0.47399999999999998</v>
      </c>
      <c r="AN16" s="1">
        <f>AQ20</f>
        <v>988.04</v>
      </c>
      <c r="AO16" s="21">
        <v>30</v>
      </c>
      <c r="AP16" s="17">
        <v>0.9956488</v>
      </c>
      <c r="AQ16" s="17">
        <v>995.65</v>
      </c>
      <c r="AR16" s="17">
        <v>1.9319</v>
      </c>
      <c r="AS16" s="17">
        <v>62.156300000000002</v>
      </c>
      <c r="AT16" s="17">
        <v>8.3091000000000008</v>
      </c>
      <c r="AU16" s="17">
        <v>9.7639999999999993</v>
      </c>
      <c r="AV16" s="17">
        <v>62.155999999999999</v>
      </c>
      <c r="AW16" s="22">
        <v>3.03</v>
      </c>
    </row>
    <row r="17" spans="2:49" ht="15.75" customHeight="1" thickBot="1">
      <c r="B17" s="61"/>
      <c r="C17" s="63"/>
      <c r="D17" s="63"/>
      <c r="E17" s="63"/>
      <c r="F17" s="68"/>
      <c r="G17" s="68"/>
      <c r="H17" s="63"/>
      <c r="I17" s="63"/>
      <c r="J17" s="73"/>
      <c r="K17" s="64"/>
      <c r="N17" s="43">
        <v>60</v>
      </c>
      <c r="O17" s="46">
        <v>4.66E-4</v>
      </c>
      <c r="P17" s="46">
        <v>0.47399999999999998</v>
      </c>
      <c r="Q17" s="46">
        <v>983.2</v>
      </c>
      <c r="W17" s="54" t="s">
        <v>126</v>
      </c>
      <c r="X17" s="53" t="s">
        <v>135</v>
      </c>
      <c r="Z17" s="53">
        <f>E13</f>
        <v>0.75</v>
      </c>
      <c r="AA17" s="53">
        <v>0</v>
      </c>
      <c r="AD17" s="21">
        <v>70</v>
      </c>
      <c r="AE17" s="17">
        <v>4.035E-4</v>
      </c>
      <c r="AF17" s="22">
        <v>0.41270000000000001</v>
      </c>
      <c r="AG17" s="17">
        <v>0.84279999999999999</v>
      </c>
      <c r="AH17" s="22">
        <v>0.41270000000000001</v>
      </c>
      <c r="AI17" s="1">
        <f>AP24</f>
        <v>0.97775999999999996</v>
      </c>
      <c r="AJ17" s="1">
        <v>977.76</v>
      </c>
      <c r="AK17" s="21">
        <v>70</v>
      </c>
      <c r="AL17" s="17">
        <v>4.035E-4</v>
      </c>
      <c r="AM17" s="22">
        <v>0.41270000000000001</v>
      </c>
      <c r="AN17" s="1">
        <f>AQ22</f>
        <v>983.2</v>
      </c>
      <c r="AO17" s="21">
        <v>35</v>
      </c>
      <c r="AP17" s="17">
        <v>0.99403260000000004</v>
      </c>
      <c r="AQ17" s="17">
        <v>994.03</v>
      </c>
      <c r="AR17" s="17">
        <v>1.9287000000000001</v>
      </c>
      <c r="AS17" s="17">
        <v>62.055399999999999</v>
      </c>
      <c r="AT17" s="17">
        <v>8.2956000000000003</v>
      </c>
      <c r="AU17" s="17">
        <v>9.7481000000000009</v>
      </c>
      <c r="AV17" s="17">
        <v>62.055</v>
      </c>
      <c r="AW17" s="22">
        <v>3.45</v>
      </c>
    </row>
    <row r="18" spans="2:49" ht="15.75" customHeight="1" thickBot="1">
      <c r="B18" s="61"/>
      <c r="C18" s="63"/>
      <c r="D18" s="63"/>
      <c r="E18" s="63"/>
      <c r="F18" s="63"/>
      <c r="G18" s="63"/>
      <c r="H18" s="63"/>
      <c r="I18" s="63"/>
      <c r="J18" s="73"/>
      <c r="K18" s="64"/>
      <c r="N18" s="43">
        <v>70</v>
      </c>
      <c r="O18" s="46">
        <v>4.035E-4</v>
      </c>
      <c r="P18" s="46">
        <v>0.41270000000000001</v>
      </c>
      <c r="Q18" s="46">
        <v>977.76</v>
      </c>
      <c r="W18" s="53">
        <v>0.01</v>
      </c>
      <c r="X18" s="53">
        <f>(1/$E$12)*(($E$20/$J$20)^(2/3))*(($W18/100)^(1/2))*$E$20*1000</f>
        <v>3867.1589373406405</v>
      </c>
      <c r="Z18" s="53">
        <f>Z17</f>
        <v>0.75</v>
      </c>
      <c r="AA18" s="56">
        <f>J22*1000</f>
        <v>33490.578802090284</v>
      </c>
      <c r="AD18" s="21">
        <v>80</v>
      </c>
      <c r="AE18" s="17">
        <v>3.5399999999999999E-4</v>
      </c>
      <c r="AF18" s="22">
        <v>0.36430000000000001</v>
      </c>
      <c r="AG18" s="17">
        <v>0.73939999999999995</v>
      </c>
      <c r="AH18" s="22">
        <v>0.36430000000000001</v>
      </c>
      <c r="AI18" s="1">
        <f>AP26</f>
        <v>0.97179000000000004</v>
      </c>
      <c r="AJ18" s="1">
        <v>971.79000000000008</v>
      </c>
      <c r="AK18" s="21">
        <v>80</v>
      </c>
      <c r="AL18" s="17">
        <v>3.5399999999999999E-4</v>
      </c>
      <c r="AM18" s="22">
        <v>0.36430000000000001</v>
      </c>
      <c r="AN18" s="1">
        <f>AQ24</f>
        <v>977.76</v>
      </c>
      <c r="AO18" s="21">
        <v>40</v>
      </c>
      <c r="AP18" s="17">
        <v>0.99221519999999996</v>
      </c>
      <c r="AQ18" s="17">
        <v>992.22</v>
      </c>
      <c r="AR18" s="17">
        <v>1.9252</v>
      </c>
      <c r="AS18" s="17">
        <v>61.942</v>
      </c>
      <c r="AT18" s="17">
        <v>8.2804000000000002</v>
      </c>
      <c r="AU18" s="17">
        <v>9.7302999999999997</v>
      </c>
      <c r="AV18" s="17">
        <v>61.942</v>
      </c>
      <c r="AW18" s="22">
        <v>3.84</v>
      </c>
    </row>
    <row r="19" spans="2:49" ht="15.75" customHeight="1" thickBot="1">
      <c r="B19" s="61"/>
      <c r="C19" s="90" t="s">
        <v>110</v>
      </c>
      <c r="D19" s="90"/>
      <c r="E19" s="63"/>
      <c r="F19" s="63"/>
      <c r="G19" s="63"/>
      <c r="H19" s="63"/>
      <c r="I19" s="63"/>
      <c r="J19" s="63"/>
      <c r="K19" s="64"/>
      <c r="N19" s="43">
        <v>80</v>
      </c>
      <c r="O19" s="46">
        <v>3.5399999999999999E-4</v>
      </c>
      <c r="P19" s="46">
        <v>0.36430000000000001</v>
      </c>
      <c r="Q19" s="46">
        <v>971.79</v>
      </c>
      <c r="W19" s="53">
        <v>0.05</v>
      </c>
      <c r="X19" s="53">
        <f>(1/$E$12)*(($E$20/$J$20)^(2/3))*(($W19/100)^(1/2))*$E$20*1000</f>
        <v>8647.230263689522</v>
      </c>
      <c r="Z19" s="53">
        <v>0</v>
      </c>
      <c r="AA19" s="56">
        <f>AA18</f>
        <v>33490.578802090284</v>
      </c>
      <c r="AD19" s="23">
        <v>90</v>
      </c>
      <c r="AE19" s="17">
        <v>3.1419999999999999E-4</v>
      </c>
      <c r="AF19" s="22">
        <v>0.32550000000000001</v>
      </c>
      <c r="AG19" s="17">
        <v>0.65620000000000001</v>
      </c>
      <c r="AH19" s="22">
        <v>0.32550000000000001</v>
      </c>
      <c r="AI19" s="1">
        <f>AP28</f>
        <v>0.96531</v>
      </c>
      <c r="AJ19" s="1">
        <v>965.31</v>
      </c>
      <c r="AK19" s="21">
        <v>90</v>
      </c>
      <c r="AL19" s="17">
        <v>3.1419999999999999E-4</v>
      </c>
      <c r="AM19" s="22">
        <v>0.32550000000000001</v>
      </c>
      <c r="AN19" s="1">
        <f>AQ26</f>
        <v>971.79</v>
      </c>
      <c r="AO19" s="21">
        <v>45</v>
      </c>
      <c r="AP19" s="17">
        <v>0.99021000000000003</v>
      </c>
      <c r="AQ19" s="17">
        <v>990.21</v>
      </c>
      <c r="AR19" s="17">
        <v>1.9213</v>
      </c>
      <c r="AS19" s="17">
        <v>61.816800000000001</v>
      </c>
      <c r="AT19" s="17">
        <v>8.2637</v>
      </c>
      <c r="AU19" s="17">
        <v>9.7105999999999995</v>
      </c>
      <c r="AV19" s="17">
        <v>61.817</v>
      </c>
      <c r="AW19" s="22">
        <v>4.2</v>
      </c>
    </row>
    <row r="20" spans="2:49" ht="15.75" customHeight="1" thickBot="1">
      <c r="B20" s="61"/>
      <c r="C20" s="145" t="s">
        <v>111</v>
      </c>
      <c r="D20" s="94"/>
      <c r="E20" s="93">
        <f>E8*E9</f>
        <v>6</v>
      </c>
      <c r="F20" s="94"/>
      <c r="G20" s="94" t="s">
        <v>112</v>
      </c>
      <c r="H20" s="94"/>
      <c r="I20" s="94"/>
      <c r="J20" s="111">
        <f>E8+2*E9</f>
        <v>7</v>
      </c>
      <c r="K20" s="64"/>
      <c r="N20" s="43">
        <v>90</v>
      </c>
      <c r="O20" s="46">
        <v>3.1419999999999999E-4</v>
      </c>
      <c r="P20" s="46">
        <v>0.32550000000000001</v>
      </c>
      <c r="Q20" s="46">
        <v>965.31</v>
      </c>
      <c r="W20" s="53">
        <v>0.1</v>
      </c>
      <c r="X20" s="53">
        <f t="shared" ref="X20:X38" si="1">(1/$E$12)*(($E$20/$J$20)^(2/3))*(($W20/100)^(1/2))*$E$20*1000</f>
        <v>12229.030315872795</v>
      </c>
      <c r="AD20" s="24">
        <v>100</v>
      </c>
      <c r="AE20" s="25">
        <v>2.8160000000000001E-4</v>
      </c>
      <c r="AF20" s="34">
        <v>0.29380000000000001</v>
      </c>
      <c r="AG20" s="25">
        <v>0.58809999999999996</v>
      </c>
      <c r="AH20" s="26">
        <v>0.29380000000000001</v>
      </c>
      <c r="AI20" s="1">
        <f>AP30</f>
        <v>0.95835000000000004</v>
      </c>
      <c r="AJ20" s="1">
        <v>958.35</v>
      </c>
      <c r="AK20" s="32">
        <v>100</v>
      </c>
      <c r="AL20" s="33">
        <v>2.8160000000000001E-4</v>
      </c>
      <c r="AM20" s="34">
        <v>0.29380000000000001</v>
      </c>
      <c r="AN20" s="1">
        <f>AQ28</f>
        <v>965.31</v>
      </c>
      <c r="AO20" s="21">
        <v>50</v>
      </c>
      <c r="AP20" s="17">
        <v>0.98804000000000003</v>
      </c>
      <c r="AQ20" s="17">
        <v>988.04</v>
      </c>
      <c r="AR20" s="17">
        <v>1.9171</v>
      </c>
      <c r="AS20" s="17">
        <v>61.6813</v>
      </c>
      <c r="AT20" s="17">
        <v>8.2455999999999996</v>
      </c>
      <c r="AU20" s="17">
        <v>9.6893999999999991</v>
      </c>
      <c r="AV20" s="17">
        <v>61.680999999999997</v>
      </c>
      <c r="AW20" s="22">
        <v>4.54</v>
      </c>
    </row>
    <row r="21" spans="2:49" ht="15.75" customHeight="1" thickTop="1" thickBot="1">
      <c r="B21" s="61"/>
      <c r="C21" s="146" t="s">
        <v>116</v>
      </c>
      <c r="D21" s="63"/>
      <c r="E21" s="97">
        <f>E8</f>
        <v>3</v>
      </c>
      <c r="F21" s="63"/>
      <c r="G21" s="63" t="s">
        <v>113</v>
      </c>
      <c r="H21" s="63"/>
      <c r="I21" s="63"/>
      <c r="J21" s="99">
        <f>E20/J20</f>
        <v>0.8571428571428571</v>
      </c>
      <c r="K21" s="64"/>
      <c r="N21" s="43">
        <v>100</v>
      </c>
      <c r="O21" s="46">
        <v>2.8160000000000001E-4</v>
      </c>
      <c r="P21" s="46">
        <v>0.29380000000000001</v>
      </c>
      <c r="Q21" s="46">
        <v>958.35</v>
      </c>
      <c r="W21" s="53">
        <v>0.2</v>
      </c>
      <c r="X21" s="53">
        <f t="shared" si="1"/>
        <v>17294.460527379044</v>
      </c>
      <c r="AD21" s="39">
        <v>110</v>
      </c>
      <c r="AE21" s="40">
        <v>2.5460000000000001E-4</v>
      </c>
      <c r="AF21" s="40">
        <v>0.26769999999999999</v>
      </c>
      <c r="AG21" s="40">
        <v>1.8451</v>
      </c>
      <c r="AH21" s="40">
        <v>59.365900000000003</v>
      </c>
      <c r="AI21" s="40">
        <v>7.9360999999999997</v>
      </c>
      <c r="AJ21" s="1">
        <v>950.95</v>
      </c>
      <c r="AK21" s="40">
        <v>59.366</v>
      </c>
      <c r="AL21" s="41">
        <v>8.01</v>
      </c>
      <c r="AN21" s="1">
        <f>AQ30</f>
        <v>958.35</v>
      </c>
      <c r="AO21" s="21">
        <v>55</v>
      </c>
      <c r="AP21" s="17">
        <v>0.98568999999999996</v>
      </c>
      <c r="AQ21" s="17">
        <v>985.69</v>
      </c>
      <c r="AR21" s="17">
        <v>1.9126000000000001</v>
      </c>
      <c r="AS21" s="17">
        <v>61.534599999999998</v>
      </c>
      <c r="AT21" s="17">
        <v>8.2260000000000009</v>
      </c>
      <c r="AU21" s="17">
        <v>9.6662999999999997</v>
      </c>
      <c r="AV21" s="17">
        <v>61.534999999999997</v>
      </c>
      <c r="AW21" s="22">
        <v>4.8600000000000003</v>
      </c>
    </row>
    <row r="22" spans="2:49" ht="15.75" customHeight="1" thickTop="1" thickBot="1">
      <c r="B22" s="61"/>
      <c r="C22" s="146" t="s">
        <v>117</v>
      </c>
      <c r="D22" s="63"/>
      <c r="E22" s="97">
        <f>IF(OR(E9=0,E20=0,J20=0),"",E9)</f>
        <v>2</v>
      </c>
      <c r="F22" s="63"/>
      <c r="G22" s="63" t="s">
        <v>114</v>
      </c>
      <c r="H22" s="63"/>
      <c r="I22" s="63"/>
      <c r="J22" s="99">
        <f>J23*E20</f>
        <v>33.490578802090283</v>
      </c>
      <c r="K22" s="64"/>
      <c r="N22" s="44">
        <v>110</v>
      </c>
      <c r="O22" s="47">
        <v>2.5460000000000001E-4</v>
      </c>
      <c r="P22" s="47">
        <v>0.26769999999999999</v>
      </c>
      <c r="Q22" s="47">
        <v>950.95</v>
      </c>
      <c r="W22" s="53">
        <v>0.3</v>
      </c>
      <c r="X22" s="53">
        <f t="shared" si="1"/>
        <v>21181.301834391757</v>
      </c>
      <c r="AN22" s="1">
        <v>950.95</v>
      </c>
      <c r="AO22" s="21">
        <v>60</v>
      </c>
      <c r="AP22" s="17">
        <v>0.98319999999999996</v>
      </c>
      <c r="AQ22" s="17">
        <v>983.2</v>
      </c>
      <c r="AR22" s="17">
        <v>1.9077</v>
      </c>
      <c r="AS22" s="17">
        <v>61.379199999999997</v>
      </c>
      <c r="AT22" s="17">
        <v>8.2051999999999996</v>
      </c>
      <c r="AU22" s="17">
        <v>9.6418999999999997</v>
      </c>
      <c r="AV22" s="17">
        <v>61.378999999999998</v>
      </c>
      <c r="AW22" s="22">
        <v>5.16</v>
      </c>
    </row>
    <row r="23" spans="2:49" ht="15.75" customHeight="1" thickBot="1">
      <c r="B23" s="61"/>
      <c r="C23" s="146" t="s">
        <v>123</v>
      </c>
      <c r="D23" s="63"/>
      <c r="E23" s="100">
        <f>Q24*J23*E20/(O24*J20)</f>
        <v>5303180.3305644821</v>
      </c>
      <c r="F23" s="63"/>
      <c r="G23" s="63" t="s">
        <v>115</v>
      </c>
      <c r="H23" s="63"/>
      <c r="I23" s="63"/>
      <c r="J23" s="99">
        <f>(1/$E$12)*(($E$20/$J$20)^(2/3))*(($E$13/100)^(1/2))</f>
        <v>5.5817631336817142</v>
      </c>
      <c r="K23" s="64"/>
      <c r="N23" s="55" t="s">
        <v>91</v>
      </c>
      <c r="O23" s="48" t="s">
        <v>100</v>
      </c>
      <c r="P23" s="48" t="s">
        <v>101</v>
      </c>
      <c r="Q23" s="48" t="s">
        <v>99</v>
      </c>
      <c r="W23" s="53">
        <v>0.4</v>
      </c>
      <c r="X23" s="53">
        <f t="shared" si="1"/>
        <v>24458.060631745589</v>
      </c>
      <c r="AO23" s="21">
        <v>65</v>
      </c>
      <c r="AP23" s="17">
        <v>0.98055000000000003</v>
      </c>
      <c r="AQ23" s="17">
        <v>980.55</v>
      </c>
      <c r="AR23" s="17">
        <v>1.9026000000000001</v>
      </c>
      <c r="AS23" s="17">
        <v>61.213700000000003</v>
      </c>
      <c r="AT23" s="17">
        <v>8.1830999999999996</v>
      </c>
      <c r="AU23" s="17">
        <v>9.6158999999999999</v>
      </c>
      <c r="AV23" s="17">
        <v>61.213999999999999</v>
      </c>
      <c r="AW23" s="22">
        <v>5.44</v>
      </c>
    </row>
    <row r="24" spans="2:49" ht="15.75" customHeight="1" thickBot="1">
      <c r="B24" s="61"/>
      <c r="C24" s="147" t="s">
        <v>124</v>
      </c>
      <c r="D24" s="102"/>
      <c r="E24" s="172" t="str">
        <f>IF(E23&lt;500,"Laminar",IF(E23&lt;=2000,"Transitional","Turbulent"))</f>
        <v>Turbulent</v>
      </c>
      <c r="F24" s="173"/>
      <c r="G24" s="102"/>
      <c r="H24" s="102"/>
      <c r="I24" s="102"/>
      <c r="J24" s="149" t="str">
        <f>W4</f>
        <v/>
      </c>
      <c r="K24" s="64"/>
      <c r="N24" s="142">
        <v>25</v>
      </c>
      <c r="O24" s="49">
        <f>X13</f>
        <v>8.9940000000000007E-4</v>
      </c>
      <c r="P24" s="49">
        <f>Y13</f>
        <v>0.90210000000000001</v>
      </c>
      <c r="Q24" s="49">
        <f>Z13</f>
        <v>996.93000000000006</v>
      </c>
      <c r="W24" s="53">
        <v>0.5</v>
      </c>
      <c r="X24" s="53">
        <f t="shared" si="1"/>
        <v>27344.943085197294</v>
      </c>
      <c r="AO24" s="21">
        <v>70</v>
      </c>
      <c r="AP24" s="17">
        <v>0.97775999999999996</v>
      </c>
      <c r="AQ24" s="17">
        <v>977.76</v>
      </c>
      <c r="AR24" s="17">
        <v>1.8972</v>
      </c>
      <c r="AS24" s="17">
        <v>61.0396</v>
      </c>
      <c r="AT24" s="17">
        <v>8.1598000000000006</v>
      </c>
      <c r="AU24" s="17">
        <v>9.5885999999999996</v>
      </c>
      <c r="AV24" s="17">
        <v>61.04</v>
      </c>
      <c r="AW24" s="22">
        <v>5.71</v>
      </c>
    </row>
    <row r="25" spans="2:49" ht="15.75" customHeight="1" thickBot="1">
      <c r="B25" s="61"/>
      <c r="C25" s="63"/>
      <c r="D25" s="63"/>
      <c r="E25" s="97"/>
      <c r="F25" s="63"/>
      <c r="G25" s="63"/>
      <c r="H25" s="63"/>
      <c r="I25" s="63"/>
      <c r="J25" s="63"/>
      <c r="K25" s="64"/>
      <c r="N25" s="168" t="s">
        <v>93</v>
      </c>
      <c r="O25" s="169"/>
      <c r="W25" s="53">
        <v>0.6</v>
      </c>
      <c r="X25" s="53">
        <f t="shared" si="1"/>
        <v>29954.884322914942</v>
      </c>
      <c r="AO25" s="21">
        <v>75</v>
      </c>
      <c r="AP25" s="17">
        <v>0.97484000000000004</v>
      </c>
      <c r="AQ25" s="17">
        <v>974.84</v>
      </c>
      <c r="AR25" s="17">
        <v>1.8915</v>
      </c>
      <c r="AS25" s="17">
        <v>60.857300000000002</v>
      </c>
      <c r="AT25" s="17">
        <v>8.1354000000000006</v>
      </c>
      <c r="AU25" s="17">
        <v>9.5599000000000007</v>
      </c>
      <c r="AV25" s="17">
        <v>60.856999999999999</v>
      </c>
      <c r="AW25" s="22">
        <v>5.97</v>
      </c>
    </row>
    <row r="26" spans="2:49" ht="15.75" customHeight="1" thickBot="1">
      <c r="B26" s="61"/>
      <c r="C26" s="63"/>
      <c r="D26" s="63"/>
      <c r="E26" s="97"/>
      <c r="F26" s="63"/>
      <c r="G26" s="63"/>
      <c r="H26" s="63"/>
      <c r="I26" s="63"/>
      <c r="J26" s="63"/>
      <c r="K26" s="64"/>
      <c r="N26" s="55">
        <f>N24</f>
        <v>25</v>
      </c>
      <c r="O26" s="48">
        <f>O24</f>
        <v>8.9940000000000007E-4</v>
      </c>
      <c r="W26" s="53">
        <v>0.7</v>
      </c>
      <c r="X26" s="53">
        <f t="shared" si="1"/>
        <v>32354.972991269071</v>
      </c>
      <c r="AO26" s="21">
        <v>80</v>
      </c>
      <c r="AP26" s="17">
        <v>0.97179000000000004</v>
      </c>
      <c r="AQ26" s="17">
        <v>971.79</v>
      </c>
      <c r="AR26" s="17">
        <v>1.8855999999999999</v>
      </c>
      <c r="AS26" s="17">
        <v>60.666899999999998</v>
      </c>
      <c r="AT26" s="17">
        <v>8.11</v>
      </c>
      <c r="AU26" s="17">
        <v>9.5299999999999994</v>
      </c>
      <c r="AV26" s="17">
        <v>60.667000000000002</v>
      </c>
      <c r="AW26" s="22">
        <v>6.21</v>
      </c>
    </row>
    <row r="27" spans="2:49" ht="15.75" customHeight="1" thickBot="1">
      <c r="B27" s="61"/>
      <c r="C27" s="63"/>
      <c r="D27" s="63"/>
      <c r="E27" s="97"/>
      <c r="F27" s="63"/>
      <c r="G27" s="63"/>
      <c r="H27" s="63"/>
      <c r="I27" s="63"/>
      <c r="J27" s="63"/>
      <c r="K27" s="64"/>
      <c r="W27" s="53">
        <v>0.8</v>
      </c>
      <c r="X27" s="53">
        <f t="shared" si="1"/>
        <v>34588.921054758088</v>
      </c>
      <c r="AO27" s="21">
        <v>85</v>
      </c>
      <c r="AP27" s="17">
        <v>0.96860999999999997</v>
      </c>
      <c r="AQ27" s="17">
        <v>968.61</v>
      </c>
      <c r="AR27" s="17">
        <v>1.8794</v>
      </c>
      <c r="AS27" s="17">
        <v>60.468299999999999</v>
      </c>
      <c r="AT27" s="17">
        <v>8.0833999999999993</v>
      </c>
      <c r="AU27" s="17">
        <v>9.4987999999999992</v>
      </c>
      <c r="AV27" s="17">
        <v>60.468000000000004</v>
      </c>
      <c r="AW27" s="22">
        <v>6.44</v>
      </c>
    </row>
    <row r="28" spans="2:49" ht="15.75" customHeight="1" thickBot="1">
      <c r="B28" s="61"/>
      <c r="C28" s="63"/>
      <c r="D28" s="63"/>
      <c r="E28" s="97"/>
      <c r="F28" s="63"/>
      <c r="G28" s="63"/>
      <c r="H28" s="63"/>
      <c r="I28" s="63"/>
      <c r="J28" s="63"/>
      <c r="K28" s="64"/>
      <c r="P28" s="1" t="s">
        <v>90</v>
      </c>
      <c r="W28" s="53">
        <v>0.9</v>
      </c>
      <c r="X28" s="53">
        <f t="shared" si="1"/>
        <v>36687.090947618388</v>
      </c>
      <c r="AO28" s="21">
        <v>90</v>
      </c>
      <c r="AP28" s="17">
        <v>0.96531</v>
      </c>
      <c r="AQ28" s="17">
        <v>965.31</v>
      </c>
      <c r="AR28" s="17">
        <v>1.873</v>
      </c>
      <c r="AS28" s="17">
        <v>60.262300000000003</v>
      </c>
      <c r="AT28" s="17">
        <v>8.0558999999999994</v>
      </c>
      <c r="AU28" s="17">
        <v>9.4664999999999999</v>
      </c>
      <c r="AV28" s="17">
        <v>60.262</v>
      </c>
      <c r="AW28" s="22">
        <v>6.66</v>
      </c>
    </row>
    <row r="29" spans="2:49" ht="15.75" customHeight="1" thickBot="1">
      <c r="B29" s="61"/>
      <c r="C29" s="63"/>
      <c r="D29" s="63"/>
      <c r="E29" s="97"/>
      <c r="F29" s="63"/>
      <c r="G29" s="63"/>
      <c r="H29" s="63"/>
      <c r="I29" s="63"/>
      <c r="J29" s="63"/>
      <c r="K29" s="64"/>
      <c r="W29" s="53">
        <v>1</v>
      </c>
      <c r="X29" s="53">
        <f t="shared" si="1"/>
        <v>38671.589373406408</v>
      </c>
      <c r="AO29" s="21">
        <v>95</v>
      </c>
      <c r="AP29" s="17">
        <v>0.96189000000000002</v>
      </c>
      <c r="AQ29" s="17">
        <v>961.89</v>
      </c>
      <c r="AR29" s="17">
        <v>1.8664000000000001</v>
      </c>
      <c r="AS29" s="17">
        <v>60.0488</v>
      </c>
      <c r="AT29" s="17">
        <v>8.0274000000000001</v>
      </c>
      <c r="AU29" s="17">
        <v>9.4329000000000001</v>
      </c>
      <c r="AV29" s="17">
        <v>60.048999999999999</v>
      </c>
      <c r="AW29" s="22">
        <v>6.87</v>
      </c>
    </row>
    <row r="30" spans="2:49" ht="15.75" customHeight="1" thickBot="1">
      <c r="B30" s="61"/>
      <c r="C30" s="63"/>
      <c r="D30" s="63"/>
      <c r="E30" s="97"/>
      <c r="F30" s="63"/>
      <c r="G30" s="63"/>
      <c r="H30" s="63"/>
      <c r="I30" s="63"/>
      <c r="J30" s="63"/>
      <c r="K30" s="64"/>
      <c r="W30" s="53">
        <v>2</v>
      </c>
      <c r="X30" s="53">
        <f t="shared" si="1"/>
        <v>54689.886170394588</v>
      </c>
      <c r="AO30" s="32">
        <v>100</v>
      </c>
      <c r="AP30" s="33">
        <v>0.95835000000000004</v>
      </c>
      <c r="AQ30" s="33">
        <v>958.35</v>
      </c>
      <c r="AR30" s="33">
        <v>1.8594999999999999</v>
      </c>
      <c r="AS30" s="33">
        <v>59.827800000000003</v>
      </c>
      <c r="AT30" s="33">
        <v>7.9977999999999998</v>
      </c>
      <c r="AU30" s="33">
        <v>9.3981999999999992</v>
      </c>
      <c r="AV30" s="33">
        <v>59.828000000000003</v>
      </c>
      <c r="AW30" s="34">
        <v>7.03</v>
      </c>
    </row>
    <row r="31" spans="2:49" ht="15.75" customHeight="1" thickTop="1">
      <c r="B31" s="61"/>
      <c r="C31" s="63"/>
      <c r="D31" s="63"/>
      <c r="E31" s="97"/>
      <c r="F31" s="63"/>
      <c r="G31" s="63"/>
      <c r="H31" s="63"/>
      <c r="I31" s="63"/>
      <c r="J31" s="63"/>
      <c r="K31" s="64"/>
      <c r="W31" s="53">
        <v>3</v>
      </c>
      <c r="X31" s="53">
        <f t="shared" si="1"/>
        <v>66981.157604180567</v>
      </c>
    </row>
    <row r="32" spans="2:49" ht="15.75" customHeight="1">
      <c r="B32" s="61"/>
      <c r="C32" s="63"/>
      <c r="D32" s="63"/>
      <c r="E32" s="97"/>
      <c r="F32" s="63"/>
      <c r="G32" s="63"/>
      <c r="H32" s="63"/>
      <c r="I32" s="63"/>
      <c r="J32" s="63"/>
      <c r="K32" s="64"/>
      <c r="W32" s="53">
        <v>4</v>
      </c>
      <c r="X32" s="53">
        <f t="shared" si="1"/>
        <v>77343.178746812817</v>
      </c>
    </row>
    <row r="33" spans="2:24" ht="15.75" customHeight="1">
      <c r="B33" s="61"/>
      <c r="C33" s="63"/>
      <c r="D33" s="63"/>
      <c r="E33" s="97"/>
      <c r="F33" s="63"/>
      <c r="G33" s="63"/>
      <c r="H33" s="63"/>
      <c r="I33" s="63"/>
      <c r="J33" s="63"/>
      <c r="K33" s="64"/>
      <c r="W33" s="53">
        <v>5</v>
      </c>
      <c r="X33" s="53">
        <f t="shared" si="1"/>
        <v>86472.302636895212</v>
      </c>
    </row>
    <row r="34" spans="2:24" ht="15.75" customHeight="1">
      <c r="B34" s="61"/>
      <c r="C34" s="63"/>
      <c r="D34" s="63"/>
      <c r="E34" s="97"/>
      <c r="F34" s="63"/>
      <c r="G34" s="63"/>
      <c r="H34" s="63"/>
      <c r="I34" s="63"/>
      <c r="J34" s="63"/>
      <c r="K34" s="64"/>
      <c r="W34" s="53">
        <v>6</v>
      </c>
      <c r="X34" s="53">
        <f t="shared" si="1"/>
        <v>94725.661507281926</v>
      </c>
    </row>
    <row r="35" spans="2:24" ht="15.75" customHeight="1">
      <c r="B35" s="61"/>
      <c r="C35" s="63"/>
      <c r="D35" s="63"/>
      <c r="E35" s="97"/>
      <c r="F35" s="63"/>
      <c r="G35" s="63"/>
      <c r="H35" s="63"/>
      <c r="I35" s="63"/>
      <c r="J35" s="63"/>
      <c r="K35" s="64"/>
      <c r="W35" s="53">
        <v>7</v>
      </c>
      <c r="X35" s="53">
        <f t="shared" si="1"/>
        <v>102315.40828564149</v>
      </c>
    </row>
    <row r="36" spans="2:24" ht="15.75" customHeight="1">
      <c r="B36" s="61"/>
      <c r="C36" s="63"/>
      <c r="D36" s="63"/>
      <c r="E36" s="97"/>
      <c r="F36" s="63"/>
      <c r="G36" s="63"/>
      <c r="H36" s="63"/>
      <c r="I36" s="63"/>
      <c r="J36" s="63"/>
      <c r="K36" s="64"/>
      <c r="W36" s="53">
        <v>8</v>
      </c>
      <c r="X36" s="53">
        <f t="shared" si="1"/>
        <v>109379.77234078918</v>
      </c>
    </row>
    <row r="37" spans="2:24" ht="15.75" customHeight="1">
      <c r="B37" s="61"/>
      <c r="C37" s="103"/>
      <c r="D37" s="103"/>
      <c r="E37" s="63"/>
      <c r="F37" s="63"/>
      <c r="G37" s="63"/>
      <c r="H37" s="63"/>
      <c r="I37" s="63"/>
      <c r="J37" s="63"/>
      <c r="K37" s="64"/>
      <c r="W37" s="53">
        <v>9</v>
      </c>
      <c r="X37" s="53">
        <f t="shared" si="1"/>
        <v>116014.7681202192</v>
      </c>
    </row>
    <row r="38" spans="2:24" ht="15.75" customHeight="1">
      <c r="B38" s="61"/>
      <c r="C38" s="103"/>
      <c r="D38" s="103"/>
      <c r="E38" s="63"/>
      <c r="F38" s="63"/>
      <c r="G38" s="63"/>
      <c r="H38" s="63"/>
      <c r="I38" s="63"/>
      <c r="J38" s="63"/>
      <c r="K38" s="64"/>
      <c r="W38" s="53">
        <v>10</v>
      </c>
      <c r="X38" s="53">
        <f t="shared" si="1"/>
        <v>122290.30315872795</v>
      </c>
    </row>
    <row r="39" spans="2:24" ht="15.75" customHeight="1">
      <c r="B39" s="61"/>
      <c r="C39" s="103"/>
      <c r="D39" s="103"/>
      <c r="E39" s="63"/>
      <c r="F39" s="63"/>
      <c r="G39" s="63"/>
      <c r="H39" s="63"/>
      <c r="I39" s="63"/>
      <c r="J39" s="63"/>
      <c r="K39" s="64"/>
      <c r="M39" s="148" t="s">
        <v>94</v>
      </c>
      <c r="N39" s="1" t="s">
        <v>102</v>
      </c>
    </row>
    <row r="40" spans="2:24" ht="15.75" customHeight="1">
      <c r="B40" s="61"/>
      <c r="C40" s="103"/>
      <c r="D40" s="103"/>
      <c r="E40" s="63"/>
      <c r="F40" s="63"/>
      <c r="G40" s="63"/>
      <c r="H40" s="63"/>
      <c r="I40" s="63"/>
      <c r="J40" s="63"/>
      <c r="K40" s="64"/>
    </row>
    <row r="41" spans="2:24">
      <c r="B41" s="61"/>
      <c r="C41" s="103"/>
      <c r="D41" s="103"/>
      <c r="E41" s="63"/>
      <c r="F41" s="63"/>
      <c r="G41" s="63"/>
      <c r="H41" s="63"/>
      <c r="I41" s="63"/>
      <c r="J41" s="63"/>
      <c r="K41" s="64"/>
    </row>
    <row r="42" spans="2:24">
      <c r="B42" s="61"/>
      <c r="C42" s="103"/>
      <c r="D42" s="103"/>
      <c r="E42" s="63"/>
      <c r="F42" s="63"/>
      <c r="G42" s="63"/>
      <c r="H42" s="63"/>
      <c r="I42" s="63"/>
      <c r="J42" s="63"/>
      <c r="K42" s="64"/>
    </row>
    <row r="43" spans="2:24">
      <c r="B43" s="61"/>
      <c r="C43" s="103"/>
      <c r="D43" s="103"/>
      <c r="E43" s="63"/>
      <c r="F43" s="63"/>
      <c r="G43" s="63"/>
      <c r="H43" s="63"/>
      <c r="I43" s="63"/>
      <c r="J43" s="63"/>
      <c r="K43" s="64"/>
    </row>
    <row r="44" spans="2:24" ht="15.75" thickBot="1">
      <c r="B44" s="104"/>
      <c r="C44" s="105"/>
      <c r="D44" s="105"/>
      <c r="E44" s="105"/>
      <c r="F44" s="105"/>
      <c r="G44" s="105"/>
      <c r="H44" s="105"/>
      <c r="I44" s="105"/>
      <c r="J44" s="105"/>
      <c r="K44" s="106"/>
    </row>
    <row r="45" spans="2:24" ht="15.75" thickTop="1"/>
  </sheetData>
  <dataConsolidate/>
  <mergeCells count="9">
    <mergeCell ref="I3:K3"/>
    <mergeCell ref="I5:K5"/>
    <mergeCell ref="E24:F24"/>
    <mergeCell ref="N25:O25"/>
    <mergeCell ref="AP7:AT7"/>
    <mergeCell ref="AU7:AV7"/>
    <mergeCell ref="N8:P8"/>
    <mergeCell ref="C11:F11"/>
    <mergeCell ref="G5:H5"/>
  </mergeCells>
  <conditionalFormatting sqref="E24">
    <cfRule type="containsText" dxfId="1" priority="1" operator="containsText" text="Turbulent">
      <formula>NOT(ISERROR(SEARCH("Turbulent",E24)))</formula>
    </cfRule>
  </conditionalFormatting>
  <dataValidations count="1">
    <dataValidation type="decimal" allowBlank="1" showErrorMessage="1" errorTitle="ป้อนค่าใหม่" error="ค่า Temp ต้องอยู่ระหว่าง 0.01 - 100 °C" sqref="N24" xr:uid="{43D2BC07-EC0C-48A2-B625-F49D6A99BE36}">
      <formula1>N10</formula1>
      <formula2>N21</formula2>
    </dataValidation>
  </dataValidations>
  <pageMargins left="0.75" right="0.25"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D9D9D73-CADE-4A4C-B913-9EC60A74CA8B}">
          <x14:formula1>
            <xm:f>n!$H$4:$H$29</xm:f>
          </x14:formula1>
          <xm:sqref>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B80EA-4777-4CD0-849E-A6A495B09ED4}">
  <dimension ref="B1:AY45"/>
  <sheetViews>
    <sheetView topLeftCell="A40" zoomScaleNormal="100" workbookViewId="0">
      <selection activeCell="B2" sqref="B2:K44"/>
    </sheetView>
  </sheetViews>
  <sheetFormatPr defaultRowHeight="15"/>
  <cols>
    <col min="1" max="1" width="2.5703125" style="1" customWidth="1"/>
    <col min="2" max="2" width="2.85546875" style="1" customWidth="1"/>
    <col min="3" max="3" width="19.28515625" style="1" customWidth="1"/>
    <col min="4" max="4" width="15.7109375" style="1" customWidth="1"/>
    <col min="5" max="5" width="10.7109375" style="1" customWidth="1"/>
    <col min="6" max="6" width="8.140625" style="1" customWidth="1"/>
    <col min="7" max="7" width="9.140625" style="1" customWidth="1"/>
    <col min="8" max="8" width="5.140625" style="1" customWidth="1"/>
    <col min="9" max="9" width="10" style="1" customWidth="1"/>
    <col min="10" max="10" width="10.7109375" style="1" customWidth="1"/>
    <col min="11" max="11" width="1.7109375" style="1" customWidth="1"/>
    <col min="12" max="13" width="9.140625" style="1"/>
    <col min="14" max="14" width="22.42578125" style="1" bestFit="1" customWidth="1"/>
    <col min="15" max="15" width="24.7109375" style="1" bestFit="1" customWidth="1"/>
    <col min="16" max="16" width="23" style="1" customWidth="1"/>
    <col min="17" max="17" width="15.42578125" style="1" bestFit="1" customWidth="1"/>
    <col min="18" max="18" width="11.7109375" style="1" customWidth="1"/>
    <col min="19" max="19" width="11.85546875" style="1" customWidth="1"/>
    <col min="20" max="20" width="8" style="1" customWidth="1"/>
    <col min="21" max="23" width="9.140625" style="1" customWidth="1"/>
    <col min="24" max="24" width="13.85546875" style="1" customWidth="1"/>
    <col min="25" max="25" width="12.140625" style="1" customWidth="1"/>
    <col min="26" max="26" width="13" style="1" customWidth="1"/>
    <col min="27" max="27" width="12.42578125" style="1" bestFit="1" customWidth="1"/>
    <col min="28" max="30" width="9.140625" style="1" customWidth="1"/>
    <col min="31" max="31" width="11.140625" style="1" customWidth="1"/>
    <col min="32" max="32" width="26.28515625" style="1" customWidth="1"/>
    <col min="33" max="37" width="9.140625" style="1" customWidth="1"/>
    <col min="38" max="38" width="9.42578125" style="1" customWidth="1"/>
    <col min="39" max="39" width="9.140625" style="1" customWidth="1"/>
    <col min="40" max="40" width="19.5703125" style="1" customWidth="1"/>
    <col min="41" max="16384" width="9.140625" style="1"/>
  </cols>
  <sheetData>
    <row r="1" spans="2:51" ht="15.75" thickBot="1"/>
    <row r="2" spans="2:51" ht="15.75" thickTop="1">
      <c r="B2" s="77" t="s">
        <v>103</v>
      </c>
      <c r="C2" s="78"/>
      <c r="D2" s="133" t="s">
        <v>138</v>
      </c>
      <c r="E2" s="133"/>
      <c r="F2" s="133"/>
      <c r="G2" s="133"/>
      <c r="H2" s="134"/>
      <c r="I2" s="80" t="s">
        <v>108</v>
      </c>
      <c r="J2" s="79"/>
      <c r="K2" s="81"/>
    </row>
    <row r="3" spans="2:51">
      <c r="B3" s="82" t="s">
        <v>104</v>
      </c>
      <c r="C3" s="83"/>
      <c r="D3" s="135" t="s">
        <v>107</v>
      </c>
      <c r="E3" s="135"/>
      <c r="F3" s="135"/>
      <c r="G3" s="135"/>
      <c r="H3" s="136"/>
      <c r="I3" s="161"/>
      <c r="J3" s="162"/>
      <c r="K3" s="163"/>
    </row>
    <row r="4" spans="2:51">
      <c r="B4" s="82"/>
      <c r="C4" s="83"/>
      <c r="D4" s="135"/>
      <c r="E4" s="135"/>
      <c r="F4" s="135"/>
      <c r="G4" s="135"/>
      <c r="H4" s="136"/>
      <c r="I4" s="84" t="s">
        <v>109</v>
      </c>
      <c r="J4" s="85"/>
      <c r="K4" s="86"/>
      <c r="W4" s="1" t="str">
        <f>IF(J23&lt;0.7,"ความเร็วต่ำเกินไป",IF(J23&lt;=6,"","ความเร็วสูงเกินไป"))</f>
        <v>ความเร็วสูงเกินไป</v>
      </c>
    </row>
    <row r="5" spans="2:51" ht="15.75" thickBot="1">
      <c r="B5" s="87" t="s">
        <v>105</v>
      </c>
      <c r="C5" s="88"/>
      <c r="D5" s="137" t="s">
        <v>142</v>
      </c>
      <c r="E5" s="138"/>
      <c r="F5" s="89" t="s">
        <v>106</v>
      </c>
      <c r="G5" s="159">
        <f ca="1">NOW()-1</f>
        <v>45449.809083217595</v>
      </c>
      <c r="H5" s="160"/>
      <c r="I5" s="164"/>
      <c r="J5" s="165"/>
      <c r="K5" s="166"/>
    </row>
    <row r="6" spans="2:51" ht="15.75" customHeight="1" thickTop="1" thickBot="1">
      <c r="B6" s="57"/>
      <c r="C6" s="58" t="s">
        <v>64</v>
      </c>
      <c r="D6" s="58"/>
      <c r="E6" s="59"/>
      <c r="F6" s="59"/>
      <c r="G6" s="59"/>
      <c r="H6" s="59"/>
      <c r="I6" s="59"/>
      <c r="J6" s="59"/>
      <c r="K6" s="60"/>
    </row>
    <row r="7" spans="2:51" ht="15.75" customHeight="1" thickTop="1" thickBot="1">
      <c r="B7" s="61"/>
      <c r="C7" s="62"/>
      <c r="D7" s="62"/>
      <c r="E7" s="62"/>
      <c r="F7" s="63"/>
      <c r="G7" s="63"/>
      <c r="H7" s="63"/>
      <c r="I7" s="63"/>
      <c r="J7" s="63"/>
      <c r="K7" s="64"/>
      <c r="M7" s="1" t="s">
        <v>102</v>
      </c>
      <c r="X7" s="16" t="s">
        <v>96</v>
      </c>
      <c r="Y7" s="16" t="s">
        <v>97</v>
      </c>
      <c r="Z7" s="16" t="s">
        <v>84</v>
      </c>
      <c r="AA7" s="16"/>
      <c r="AB7" s="16"/>
      <c r="AC7" s="16"/>
      <c r="AD7" s="28" t="s">
        <v>68</v>
      </c>
      <c r="AE7" s="35" t="s">
        <v>67</v>
      </c>
      <c r="AF7" s="29" t="s">
        <v>69</v>
      </c>
      <c r="AI7" s="1" t="s">
        <v>84</v>
      </c>
      <c r="AK7" s="28" t="s">
        <v>68</v>
      </c>
      <c r="AL7" s="35" t="s">
        <v>67</v>
      </c>
      <c r="AM7" s="29" t="s">
        <v>69</v>
      </c>
      <c r="AO7" s="28" t="s">
        <v>68</v>
      </c>
      <c r="AP7" s="150" t="s">
        <v>73</v>
      </c>
      <c r="AQ7" s="150"/>
      <c r="AR7" s="150"/>
      <c r="AS7" s="150"/>
      <c r="AT7" s="150"/>
      <c r="AU7" s="151" t="s">
        <v>74</v>
      </c>
      <c r="AV7" s="152"/>
      <c r="AW7" s="29" t="s">
        <v>75</v>
      </c>
    </row>
    <row r="8" spans="2:51" ht="15.75" customHeight="1" thickBot="1">
      <c r="B8" s="61"/>
      <c r="C8" s="69" t="s">
        <v>121</v>
      </c>
      <c r="D8" s="70"/>
      <c r="E8" s="144">
        <v>0.6</v>
      </c>
      <c r="F8" s="72"/>
      <c r="G8" s="68"/>
      <c r="H8" s="63"/>
      <c r="I8" s="63"/>
      <c r="J8" s="63"/>
      <c r="K8" s="64"/>
      <c r="N8" s="153" t="s">
        <v>66</v>
      </c>
      <c r="O8" s="154"/>
      <c r="P8" s="155"/>
      <c r="W8" s="1" t="s">
        <v>85</v>
      </c>
      <c r="X8" s="16">
        <f>N24</f>
        <v>25</v>
      </c>
      <c r="Y8" s="16">
        <f>N24</f>
        <v>25</v>
      </c>
      <c r="Z8" s="16">
        <f>Y8</f>
        <v>25</v>
      </c>
      <c r="AA8" s="16"/>
      <c r="AB8" s="16"/>
      <c r="AC8" s="16"/>
      <c r="AD8" s="30" t="s">
        <v>70</v>
      </c>
      <c r="AE8" s="27" t="s">
        <v>71</v>
      </c>
      <c r="AF8" s="31" t="s">
        <v>72</v>
      </c>
      <c r="AI8" s="36" t="s">
        <v>76</v>
      </c>
      <c r="AJ8" s="36" t="s">
        <v>77</v>
      </c>
      <c r="AK8" s="30" t="s">
        <v>70</v>
      </c>
      <c r="AL8" s="27" t="s">
        <v>71</v>
      </c>
      <c r="AM8" s="31" t="s">
        <v>72</v>
      </c>
      <c r="AO8" s="37" t="s">
        <v>70</v>
      </c>
      <c r="AP8" s="36" t="s">
        <v>76</v>
      </c>
      <c r="AQ8" s="36" t="s">
        <v>77</v>
      </c>
      <c r="AR8" s="36" t="s">
        <v>78</v>
      </c>
      <c r="AS8" s="36" t="s">
        <v>79</v>
      </c>
      <c r="AT8" s="36" t="s">
        <v>80</v>
      </c>
      <c r="AU8" s="36" t="s">
        <v>81</v>
      </c>
      <c r="AV8" s="36" t="s">
        <v>82</v>
      </c>
      <c r="AW8" s="38" t="s">
        <v>83</v>
      </c>
    </row>
    <row r="9" spans="2:51" ht="15.75" customHeight="1" thickTop="1" thickBot="1">
      <c r="B9" s="61"/>
      <c r="C9" s="69" t="s">
        <v>118</v>
      </c>
      <c r="D9" s="70"/>
      <c r="E9" s="144">
        <v>2</v>
      </c>
      <c r="F9" s="72" t="s">
        <v>28</v>
      </c>
      <c r="G9" s="68"/>
      <c r="H9" s="63"/>
      <c r="I9" s="63"/>
      <c r="J9" s="73"/>
      <c r="K9" s="64"/>
      <c r="N9" s="51" t="s">
        <v>65</v>
      </c>
      <c r="O9" s="50" t="s">
        <v>92</v>
      </c>
      <c r="P9" s="52" t="s">
        <v>95</v>
      </c>
      <c r="Q9" s="52" t="s">
        <v>98</v>
      </c>
      <c r="W9" s="1" t="s">
        <v>86</v>
      </c>
      <c r="X9" s="16">
        <f>INDEX(N10:N22,MATCH(X8,N10:N22,1))</f>
        <v>20</v>
      </c>
      <c r="Y9" s="16">
        <f>X9</f>
        <v>20</v>
      </c>
      <c r="Z9" s="16">
        <f t="shared" ref="Z9:Z10" si="0">Y9</f>
        <v>20</v>
      </c>
      <c r="AA9" s="16"/>
      <c r="AB9" s="16"/>
      <c r="AC9" s="16"/>
      <c r="AD9" s="18">
        <v>0.01</v>
      </c>
      <c r="AE9" s="19">
        <v>1.7914000000000001E-3</v>
      </c>
      <c r="AF9" s="22">
        <v>1.7918000000000001</v>
      </c>
      <c r="AG9" s="19">
        <v>3.7414000000000001</v>
      </c>
      <c r="AH9" s="20">
        <v>1.7918000000000001</v>
      </c>
      <c r="AI9" s="1">
        <f>AP9</f>
        <v>0.99984949999999995</v>
      </c>
      <c r="AJ9" s="1">
        <v>999.84949999999992</v>
      </c>
      <c r="AK9" s="21">
        <v>0.01</v>
      </c>
      <c r="AL9" s="17">
        <v>1.7914000000000001E-3</v>
      </c>
      <c r="AM9" s="22">
        <v>1.7918000000000001</v>
      </c>
      <c r="AO9" s="21">
        <v>0.1</v>
      </c>
      <c r="AP9" s="17">
        <v>0.99984949999999995</v>
      </c>
      <c r="AQ9" s="17">
        <v>999.85</v>
      </c>
      <c r="AR9" s="17">
        <v>1.94</v>
      </c>
      <c r="AS9" s="17">
        <v>62.418599999999998</v>
      </c>
      <c r="AT9" s="17">
        <v>8.3440999999999992</v>
      </c>
      <c r="AU9" s="17">
        <v>9.8051999999999992</v>
      </c>
      <c r="AV9" s="17">
        <v>62.418999999999997</v>
      </c>
      <c r="AW9" s="22">
        <v>-0.68</v>
      </c>
    </row>
    <row r="10" spans="2:51" ht="15.75" customHeight="1" thickBot="1">
      <c r="B10" s="61"/>
      <c r="C10" s="69" t="s">
        <v>119</v>
      </c>
      <c r="D10" s="74"/>
      <c r="E10" s="75"/>
      <c r="F10" s="76"/>
      <c r="G10" s="68"/>
      <c r="H10" s="63"/>
      <c r="I10" s="63"/>
      <c r="J10" s="63"/>
      <c r="K10" s="64"/>
      <c r="N10" s="42">
        <v>0.01</v>
      </c>
      <c r="O10" s="45">
        <v>1.7914000000000001E-3</v>
      </c>
      <c r="P10" s="46">
        <v>1.7918000000000001</v>
      </c>
      <c r="Q10" s="46">
        <v>999.85</v>
      </c>
      <c r="W10" s="1" t="s">
        <v>87</v>
      </c>
      <c r="X10" s="16">
        <f>INDEX(N10:N22,MATCH(X8,N10:N22,1)+1)</f>
        <v>30</v>
      </c>
      <c r="Y10" s="16">
        <f>X10</f>
        <v>30</v>
      </c>
      <c r="Z10" s="16">
        <f t="shared" si="0"/>
        <v>30</v>
      </c>
      <c r="AA10" s="16"/>
      <c r="AB10" s="16"/>
      <c r="AC10" s="16"/>
      <c r="AD10" s="21">
        <v>10</v>
      </c>
      <c r="AE10" s="17">
        <v>1.3060000000000001E-3</v>
      </c>
      <c r="AF10" s="22">
        <v>1.3065</v>
      </c>
      <c r="AG10" s="17">
        <v>2.7275999999999998</v>
      </c>
      <c r="AH10" s="22">
        <v>1.3065</v>
      </c>
      <c r="AI10" s="1">
        <f>AP12</f>
        <v>0.99970000000000003</v>
      </c>
      <c r="AJ10" s="1">
        <v>999.7</v>
      </c>
      <c r="AK10" s="21">
        <v>10</v>
      </c>
      <c r="AL10" s="17">
        <v>1.3060000000000001E-3</v>
      </c>
      <c r="AM10" s="22">
        <v>1.3065</v>
      </c>
      <c r="AN10" s="1">
        <f>AQ9</f>
        <v>999.85</v>
      </c>
      <c r="AO10" s="21">
        <v>1</v>
      </c>
      <c r="AP10" s="17">
        <v>0.9999017</v>
      </c>
      <c r="AQ10" s="17">
        <v>999.9</v>
      </c>
      <c r="AR10" s="17">
        <v>1.9400999999999999</v>
      </c>
      <c r="AS10" s="17">
        <v>62.421799999999998</v>
      </c>
      <c r="AT10" s="17">
        <v>8.3445999999999998</v>
      </c>
      <c r="AU10" s="17">
        <v>9.8056999999999999</v>
      </c>
      <c r="AV10" s="17">
        <v>62.421999999999997</v>
      </c>
      <c r="AW10" s="22">
        <v>-0.5</v>
      </c>
    </row>
    <row r="11" spans="2:51" ht="15.75" customHeight="1" thickBot="1">
      <c r="B11" s="61"/>
      <c r="C11" s="156" t="s">
        <v>44</v>
      </c>
      <c r="D11" s="157"/>
      <c r="E11" s="157"/>
      <c r="F11" s="158"/>
      <c r="G11" s="68"/>
      <c r="H11" s="63"/>
      <c r="I11" s="63"/>
      <c r="J11" s="63"/>
      <c r="K11" s="64"/>
      <c r="N11" s="43">
        <v>5</v>
      </c>
      <c r="O11" s="46">
        <v>1.5181999999999999E-3</v>
      </c>
      <c r="P11" s="46">
        <v>1.5182</v>
      </c>
      <c r="Q11" s="46">
        <v>999.95</v>
      </c>
      <c r="W11" s="1" t="s">
        <v>88</v>
      </c>
      <c r="X11" s="16">
        <f>INDEX(O10:O22,MATCH(X8,N10:N22,1))</f>
        <v>1.0016000000000001E-3</v>
      </c>
      <c r="Y11" s="16">
        <f>INDEX(P10:P22,MATCH(Y8,N10:N22,1))</f>
        <v>1.0035000000000001</v>
      </c>
      <c r="Z11" s="16">
        <f>INDEX(Q10:Q22,MATCH(Z8,N10:N22,1))</f>
        <v>998.21</v>
      </c>
      <c r="AA11" s="16"/>
      <c r="AB11" s="16"/>
      <c r="AC11" s="16"/>
      <c r="AD11" s="21">
        <v>20</v>
      </c>
      <c r="AE11" s="17">
        <v>1.0016000000000001E-3</v>
      </c>
      <c r="AF11" s="22">
        <v>1.0035000000000001</v>
      </c>
      <c r="AG11" s="17">
        <v>2.0918999999999999</v>
      </c>
      <c r="AH11" s="22">
        <v>1.0035000000000001</v>
      </c>
      <c r="AI11" s="1">
        <f>AP14</f>
        <v>0.9982067</v>
      </c>
      <c r="AJ11" s="1">
        <v>998.20669999999996</v>
      </c>
      <c r="AK11" s="21">
        <v>20</v>
      </c>
      <c r="AL11" s="17">
        <v>1.0016000000000001E-3</v>
      </c>
      <c r="AM11" s="22">
        <v>1.0035000000000001</v>
      </c>
      <c r="AN11" s="1">
        <v>999.95</v>
      </c>
      <c r="AO11" s="21">
        <v>4</v>
      </c>
      <c r="AP11" s="17">
        <v>0.9999749</v>
      </c>
      <c r="AQ11" s="17">
        <v>999.97</v>
      </c>
      <c r="AR11" s="17">
        <v>1.9402999999999999</v>
      </c>
      <c r="AS11" s="17">
        <v>62.426400000000001</v>
      </c>
      <c r="AT11" s="17">
        <v>8.3452000000000002</v>
      </c>
      <c r="AU11" s="17">
        <v>9.8064</v>
      </c>
      <c r="AV11" s="17">
        <v>62.426000000000002</v>
      </c>
      <c r="AW11" s="22">
        <v>3.0000000000000001E-3</v>
      </c>
      <c r="AY11" s="1">
        <f>AQ11-AQ10</f>
        <v>7.0000000000050022E-2</v>
      </c>
    </row>
    <row r="12" spans="2:51" ht="15.75" customHeight="1" thickBot="1">
      <c r="B12" s="61"/>
      <c r="C12" s="69" t="s">
        <v>120</v>
      </c>
      <c r="D12" s="70"/>
      <c r="E12" s="71">
        <f>VLOOKUP(C11,n!H4:I29,2,FALSE)</f>
        <v>1.4E-2</v>
      </c>
      <c r="F12" s="72"/>
      <c r="G12" s="68"/>
      <c r="H12" s="63"/>
      <c r="I12" s="63"/>
      <c r="J12" s="73"/>
      <c r="K12" s="64"/>
      <c r="N12" s="43">
        <v>10</v>
      </c>
      <c r="O12" s="46">
        <v>1.3060000000000001E-3</v>
      </c>
      <c r="P12" s="46">
        <v>1.3065</v>
      </c>
      <c r="Q12" s="46">
        <v>999.7</v>
      </c>
      <c r="W12" s="1" t="s">
        <v>89</v>
      </c>
      <c r="X12" s="16">
        <f>INDEX(O10:O22,MATCH(X8,N10:N22,1)+1)</f>
        <v>7.9719999999999997E-4</v>
      </c>
      <c r="Y12" s="16">
        <f>INDEX(P10:P22,MATCH(Y8,N10:N22,1)+1)</f>
        <v>0.80069999999999997</v>
      </c>
      <c r="Z12" s="16">
        <f>INDEX(Q10:Q22,MATCH(Z8,N10:N22,1)+1)</f>
        <v>995.65</v>
      </c>
      <c r="AA12" s="16"/>
      <c r="AB12" s="16"/>
      <c r="AC12" s="16"/>
      <c r="AD12" s="21">
        <v>25</v>
      </c>
      <c r="AE12" s="17">
        <v>8.8999999999999995E-4</v>
      </c>
      <c r="AF12" s="22">
        <v>0.89270000000000005</v>
      </c>
      <c r="AG12" s="17">
        <v>1.8589</v>
      </c>
      <c r="AH12" s="22">
        <v>0.89270000000000005</v>
      </c>
      <c r="AI12" s="1">
        <f>AP15</f>
        <v>0.99704700000000002</v>
      </c>
      <c r="AJ12" s="1">
        <v>997.04700000000003</v>
      </c>
      <c r="AK12" s="21">
        <v>25</v>
      </c>
      <c r="AL12" s="17">
        <v>8.8999999999999995E-4</v>
      </c>
      <c r="AM12" s="22">
        <v>0.89270000000000005</v>
      </c>
      <c r="AN12" s="1">
        <f>AQ12</f>
        <v>999.7</v>
      </c>
      <c r="AO12" s="21">
        <v>10</v>
      </c>
      <c r="AP12" s="17">
        <v>0.99970000000000003</v>
      </c>
      <c r="AQ12" s="17">
        <v>999.7</v>
      </c>
      <c r="AR12" s="17">
        <v>1.9397</v>
      </c>
      <c r="AS12" s="17">
        <v>62.409399999999998</v>
      </c>
      <c r="AT12" s="17">
        <v>8.3429000000000002</v>
      </c>
      <c r="AU12" s="17">
        <v>9.8036999999999992</v>
      </c>
      <c r="AV12" s="17">
        <v>62.408999999999999</v>
      </c>
      <c r="AW12" s="22">
        <v>0.88</v>
      </c>
      <c r="AY12" s="1">
        <f>AY11/3</f>
        <v>2.3333333333350009E-2</v>
      </c>
    </row>
    <row r="13" spans="2:51" ht="15.75" customHeight="1" thickBot="1">
      <c r="B13" s="61"/>
      <c r="C13" s="107" t="s">
        <v>129</v>
      </c>
      <c r="D13" s="108"/>
      <c r="E13" s="139">
        <v>3</v>
      </c>
      <c r="F13" s="109" t="s">
        <v>127</v>
      </c>
      <c r="G13" s="68"/>
      <c r="H13" s="63"/>
      <c r="I13" s="63"/>
      <c r="J13" s="73"/>
      <c r="K13" s="64"/>
      <c r="N13" s="43">
        <v>20</v>
      </c>
      <c r="O13" s="46">
        <v>1.0016000000000001E-3</v>
      </c>
      <c r="P13" s="46">
        <v>1.0035000000000001</v>
      </c>
      <c r="Q13" s="46">
        <v>998.21</v>
      </c>
      <c r="X13" s="16">
        <f>FORECAST(X8,X11:X12,X9:X10)</f>
        <v>8.9940000000000007E-4</v>
      </c>
      <c r="Y13" s="16">
        <f>FORECAST(Y8,Y11:Y12,Y9:Y10)</f>
        <v>0.90210000000000001</v>
      </c>
      <c r="Z13" s="16">
        <f>FORECAST(Z8,Z11:Z12,Z9:Z10)</f>
        <v>996.93000000000006</v>
      </c>
      <c r="AA13" s="16"/>
      <c r="AB13" s="16"/>
      <c r="AC13" s="16"/>
      <c r="AD13" s="21">
        <v>30</v>
      </c>
      <c r="AE13" s="17">
        <v>7.9719999999999997E-4</v>
      </c>
      <c r="AF13" s="22">
        <v>0.80069999999999997</v>
      </c>
      <c r="AG13" s="17">
        <v>1.665</v>
      </c>
      <c r="AH13" s="22">
        <v>0.80069999999999997</v>
      </c>
      <c r="AI13" s="1">
        <f>AP16</f>
        <v>0.9956488</v>
      </c>
      <c r="AJ13" s="1">
        <v>995.64880000000005</v>
      </c>
      <c r="AK13" s="21">
        <v>30</v>
      </c>
      <c r="AL13" s="17">
        <v>7.9719999999999997E-4</v>
      </c>
      <c r="AM13" s="22">
        <v>0.80069999999999997</v>
      </c>
      <c r="AN13" s="1">
        <f>AQ14</f>
        <v>998.21</v>
      </c>
      <c r="AO13" s="21">
        <v>15</v>
      </c>
      <c r="AP13" s="17">
        <v>0.99910259999999995</v>
      </c>
      <c r="AQ13" s="17">
        <v>999.1</v>
      </c>
      <c r="AR13" s="17">
        <v>1.9386000000000001</v>
      </c>
      <c r="AS13" s="17">
        <v>62.371899999999997</v>
      </c>
      <c r="AT13" s="17">
        <v>8.3378999999999994</v>
      </c>
      <c r="AU13" s="17">
        <v>9.7978000000000005</v>
      </c>
      <c r="AV13" s="17">
        <v>62.372</v>
      </c>
      <c r="AW13" s="22">
        <v>1.51</v>
      </c>
      <c r="AY13" s="1">
        <f>AN11-AY12</f>
        <v>999.92666666666673</v>
      </c>
    </row>
    <row r="14" spans="2:51" ht="15.75" customHeight="1" thickBot="1">
      <c r="B14" s="61"/>
      <c r="C14" s="63"/>
      <c r="D14" s="63"/>
      <c r="E14" s="63"/>
      <c r="F14" s="68"/>
      <c r="G14" s="68"/>
      <c r="H14" s="63"/>
      <c r="I14" s="63"/>
      <c r="J14" s="73"/>
      <c r="K14" s="64"/>
      <c r="N14" s="43">
        <v>30</v>
      </c>
      <c r="O14" s="46">
        <v>7.9719999999999997E-4</v>
      </c>
      <c r="P14" s="46">
        <v>0.80069999999999997</v>
      </c>
      <c r="Q14" s="46">
        <v>995.65</v>
      </c>
      <c r="AD14" s="21">
        <v>40</v>
      </c>
      <c r="AE14" s="17">
        <v>6.5269999999999998E-4</v>
      </c>
      <c r="AF14" s="22">
        <v>0.65790000000000004</v>
      </c>
      <c r="AG14" s="17">
        <v>1.3632</v>
      </c>
      <c r="AH14" s="22">
        <v>0.65790000000000004</v>
      </c>
      <c r="AI14" s="1">
        <f>AP18</f>
        <v>0.99221519999999996</v>
      </c>
      <c r="AJ14" s="1">
        <v>992.21519999999998</v>
      </c>
      <c r="AK14" s="21">
        <v>40</v>
      </c>
      <c r="AL14" s="17">
        <v>6.5269999999999998E-4</v>
      </c>
      <c r="AM14" s="22">
        <v>0.65790000000000004</v>
      </c>
      <c r="AN14" s="1">
        <f>AQ16</f>
        <v>995.65</v>
      </c>
      <c r="AO14" s="21">
        <v>20</v>
      </c>
      <c r="AP14" s="17">
        <v>0.9982067</v>
      </c>
      <c r="AQ14" s="17">
        <v>998.21</v>
      </c>
      <c r="AR14" s="17">
        <v>1.9368000000000001</v>
      </c>
      <c r="AS14" s="17">
        <v>62.316000000000003</v>
      </c>
      <c r="AT14" s="17">
        <v>8.3303999999999991</v>
      </c>
      <c r="AU14" s="17">
        <v>9.7890999999999995</v>
      </c>
      <c r="AV14" s="17">
        <v>62.316000000000003</v>
      </c>
      <c r="AW14" s="22">
        <v>2.0699999999999998</v>
      </c>
    </row>
    <row r="15" spans="2:51" ht="15.75" customHeight="1" thickBot="1">
      <c r="B15" s="61"/>
      <c r="C15" s="63"/>
      <c r="D15" s="63"/>
      <c r="E15" s="63"/>
      <c r="F15" s="68"/>
      <c r="G15" s="68"/>
      <c r="H15" s="63"/>
      <c r="I15" s="63"/>
      <c r="J15" s="73"/>
      <c r="K15" s="64"/>
      <c r="N15" s="43">
        <v>40</v>
      </c>
      <c r="O15" s="46">
        <v>6.5269999999999998E-4</v>
      </c>
      <c r="P15" s="46">
        <v>0.65790000000000004</v>
      </c>
      <c r="Q15" s="46">
        <v>992.22</v>
      </c>
      <c r="AD15" s="21">
        <v>50</v>
      </c>
      <c r="AE15" s="17">
        <v>5.465E-4</v>
      </c>
      <c r="AF15" s="22">
        <v>0.55310000000000004</v>
      </c>
      <c r="AG15" s="17">
        <v>1.1414</v>
      </c>
      <c r="AH15" s="22">
        <v>0.55310000000000004</v>
      </c>
      <c r="AI15" s="1">
        <f>AP20</f>
        <v>0.98804000000000003</v>
      </c>
      <c r="AJ15" s="1">
        <v>988.04000000000008</v>
      </c>
      <c r="AK15" s="21">
        <v>50</v>
      </c>
      <c r="AL15" s="17">
        <v>5.465E-4</v>
      </c>
      <c r="AM15" s="22">
        <v>0.55310000000000004</v>
      </c>
      <c r="AN15" s="1">
        <f>AQ18</f>
        <v>992.22</v>
      </c>
      <c r="AO15" s="21">
        <v>25</v>
      </c>
      <c r="AP15" s="17">
        <v>0.99704700000000002</v>
      </c>
      <c r="AQ15" s="17">
        <v>997.05</v>
      </c>
      <c r="AR15" s="17">
        <v>1.9346000000000001</v>
      </c>
      <c r="AS15" s="17">
        <v>62.243600000000001</v>
      </c>
      <c r="AT15" s="17">
        <v>8.3208000000000002</v>
      </c>
      <c r="AU15" s="17">
        <v>9.7776999999999994</v>
      </c>
      <c r="AV15" s="17">
        <v>62.244</v>
      </c>
      <c r="AW15" s="22">
        <v>2.57</v>
      </c>
    </row>
    <row r="16" spans="2:51" ht="15.75" customHeight="1" thickBot="1">
      <c r="B16" s="61"/>
      <c r="C16" s="63"/>
      <c r="D16" s="63"/>
      <c r="E16" s="63"/>
      <c r="F16" s="68"/>
      <c r="G16" s="68"/>
      <c r="H16" s="63"/>
      <c r="I16" s="63"/>
      <c r="J16" s="73"/>
      <c r="K16" s="64"/>
      <c r="N16" s="43">
        <v>50</v>
      </c>
      <c r="O16" s="46">
        <v>5.465E-4</v>
      </c>
      <c r="P16" s="46">
        <v>0.55310000000000004</v>
      </c>
      <c r="Q16" s="46">
        <v>988.04</v>
      </c>
      <c r="AD16" s="21">
        <v>60</v>
      </c>
      <c r="AE16" s="17">
        <v>4.66E-4</v>
      </c>
      <c r="AF16" s="22">
        <v>0.47399999999999998</v>
      </c>
      <c r="AG16" s="17">
        <v>0.97330000000000005</v>
      </c>
      <c r="AH16" s="22">
        <v>0.47399999999999998</v>
      </c>
      <c r="AI16" s="1">
        <f>AP22</f>
        <v>0.98319999999999996</v>
      </c>
      <c r="AJ16" s="1">
        <v>983.19999999999993</v>
      </c>
      <c r="AK16" s="21">
        <v>60</v>
      </c>
      <c r="AL16" s="17">
        <v>4.66E-4</v>
      </c>
      <c r="AM16" s="22">
        <v>0.47399999999999998</v>
      </c>
      <c r="AN16" s="1">
        <f>AQ20</f>
        <v>988.04</v>
      </c>
      <c r="AO16" s="21">
        <v>30</v>
      </c>
      <c r="AP16" s="17">
        <v>0.9956488</v>
      </c>
      <c r="AQ16" s="17">
        <v>995.65</v>
      </c>
      <c r="AR16" s="17">
        <v>1.9319</v>
      </c>
      <c r="AS16" s="17">
        <v>62.156300000000002</v>
      </c>
      <c r="AT16" s="17">
        <v>8.3091000000000008</v>
      </c>
      <c r="AU16" s="17">
        <v>9.7639999999999993</v>
      </c>
      <c r="AV16" s="17">
        <v>62.155999999999999</v>
      </c>
      <c r="AW16" s="22">
        <v>3.03</v>
      </c>
    </row>
    <row r="17" spans="2:49" ht="15.75" customHeight="1" thickBot="1">
      <c r="B17" s="61"/>
      <c r="C17" s="63"/>
      <c r="D17" s="63"/>
      <c r="E17" s="63"/>
      <c r="F17" s="68"/>
      <c r="G17" s="68"/>
      <c r="H17" s="63"/>
      <c r="I17" s="63"/>
      <c r="J17" s="73"/>
      <c r="K17" s="64"/>
      <c r="N17" s="43">
        <v>60</v>
      </c>
      <c r="O17" s="46">
        <v>4.66E-4</v>
      </c>
      <c r="P17" s="46">
        <v>0.47399999999999998</v>
      </c>
      <c r="Q17" s="46">
        <v>983.2</v>
      </c>
      <c r="W17" s="54" t="s">
        <v>126</v>
      </c>
      <c r="X17" s="53" t="s">
        <v>137</v>
      </c>
      <c r="Z17" s="53">
        <f>E13</f>
        <v>3</v>
      </c>
      <c r="AA17" s="53">
        <v>0</v>
      </c>
      <c r="AD17" s="21">
        <v>70</v>
      </c>
      <c r="AE17" s="17">
        <v>4.035E-4</v>
      </c>
      <c r="AF17" s="22">
        <v>0.41270000000000001</v>
      </c>
      <c r="AG17" s="17">
        <v>0.84279999999999999</v>
      </c>
      <c r="AH17" s="22">
        <v>0.41270000000000001</v>
      </c>
      <c r="AI17" s="1">
        <f>AP24</f>
        <v>0.97775999999999996</v>
      </c>
      <c r="AJ17" s="1">
        <v>977.76</v>
      </c>
      <c r="AK17" s="21">
        <v>70</v>
      </c>
      <c r="AL17" s="17">
        <v>4.035E-4</v>
      </c>
      <c r="AM17" s="22">
        <v>0.41270000000000001</v>
      </c>
      <c r="AN17" s="1">
        <f>AQ22</f>
        <v>983.2</v>
      </c>
      <c r="AO17" s="21">
        <v>35</v>
      </c>
      <c r="AP17" s="17">
        <v>0.99403260000000004</v>
      </c>
      <c r="AQ17" s="17">
        <v>994.03</v>
      </c>
      <c r="AR17" s="17">
        <v>1.9287000000000001</v>
      </c>
      <c r="AS17" s="17">
        <v>62.055399999999999</v>
      </c>
      <c r="AT17" s="17">
        <v>8.2956000000000003</v>
      </c>
      <c r="AU17" s="17">
        <v>9.7481000000000009</v>
      </c>
      <c r="AV17" s="17">
        <v>62.055</v>
      </c>
      <c r="AW17" s="22">
        <v>3.45</v>
      </c>
    </row>
    <row r="18" spans="2:49" ht="15.75" customHeight="1" thickBot="1">
      <c r="B18" s="61"/>
      <c r="C18" s="63"/>
      <c r="D18" s="63"/>
      <c r="E18" s="63"/>
      <c r="F18" s="63"/>
      <c r="G18" s="63"/>
      <c r="H18" s="63"/>
      <c r="I18" s="63"/>
      <c r="J18" s="73"/>
      <c r="K18" s="64"/>
      <c r="N18" s="43">
        <v>70</v>
      </c>
      <c r="O18" s="46">
        <v>4.035E-4</v>
      </c>
      <c r="P18" s="46">
        <v>0.41270000000000001</v>
      </c>
      <c r="Q18" s="46">
        <v>977.76</v>
      </c>
      <c r="W18" s="53">
        <v>0.01</v>
      </c>
      <c r="X18" s="53">
        <f t="shared" ref="X18:X38" si="1">(1/$E$12)*(($E$20/$J$20)^(2/3))*(($W18/100)^(1/2))*$E$20*1000</f>
        <v>1100.705331721708</v>
      </c>
      <c r="Z18" s="53">
        <f>Z17</f>
        <v>3</v>
      </c>
      <c r="AA18" s="56">
        <f>J22*1000</f>
        <v>19064.775587039538</v>
      </c>
      <c r="AD18" s="21">
        <v>80</v>
      </c>
      <c r="AE18" s="17">
        <v>3.5399999999999999E-4</v>
      </c>
      <c r="AF18" s="22">
        <v>0.36430000000000001</v>
      </c>
      <c r="AG18" s="17">
        <v>0.73939999999999995</v>
      </c>
      <c r="AH18" s="22">
        <v>0.36430000000000001</v>
      </c>
      <c r="AI18" s="1">
        <f>AP26</f>
        <v>0.97179000000000004</v>
      </c>
      <c r="AJ18" s="1">
        <v>971.79000000000008</v>
      </c>
      <c r="AK18" s="21">
        <v>80</v>
      </c>
      <c r="AL18" s="17">
        <v>3.5399999999999999E-4</v>
      </c>
      <c r="AM18" s="22">
        <v>0.36430000000000001</v>
      </c>
      <c r="AN18" s="1">
        <f>AQ24</f>
        <v>977.76</v>
      </c>
      <c r="AO18" s="21">
        <v>40</v>
      </c>
      <c r="AP18" s="17">
        <v>0.99221519999999996</v>
      </c>
      <c r="AQ18" s="17">
        <v>992.22</v>
      </c>
      <c r="AR18" s="17">
        <v>1.9252</v>
      </c>
      <c r="AS18" s="17">
        <v>61.942</v>
      </c>
      <c r="AT18" s="17">
        <v>8.2804000000000002</v>
      </c>
      <c r="AU18" s="17">
        <v>9.7302999999999997</v>
      </c>
      <c r="AV18" s="17">
        <v>61.942</v>
      </c>
      <c r="AW18" s="22">
        <v>3.84</v>
      </c>
    </row>
    <row r="19" spans="2:49" ht="15.75" customHeight="1" thickBot="1">
      <c r="B19" s="61"/>
      <c r="C19" s="90" t="s">
        <v>110</v>
      </c>
      <c r="D19" s="90"/>
      <c r="E19" s="63"/>
      <c r="F19" s="63"/>
      <c r="G19" s="63"/>
      <c r="H19" s="63"/>
      <c r="I19" s="63"/>
      <c r="J19" s="63"/>
      <c r="K19" s="64"/>
      <c r="N19" s="43">
        <v>80</v>
      </c>
      <c r="O19" s="46">
        <v>3.5399999999999999E-4</v>
      </c>
      <c r="P19" s="46">
        <v>0.36430000000000001</v>
      </c>
      <c r="Q19" s="46">
        <v>971.79</v>
      </c>
      <c r="W19" s="53">
        <v>0.05</v>
      </c>
      <c r="X19" s="53">
        <f t="shared" si="1"/>
        <v>2461.2519449261954</v>
      </c>
      <c r="Z19" s="53">
        <v>0</v>
      </c>
      <c r="AA19" s="56">
        <f>AA18</f>
        <v>19064.775587039538</v>
      </c>
      <c r="AD19" s="23">
        <v>90</v>
      </c>
      <c r="AE19" s="17">
        <v>3.1419999999999999E-4</v>
      </c>
      <c r="AF19" s="22">
        <v>0.32550000000000001</v>
      </c>
      <c r="AG19" s="17">
        <v>0.65620000000000001</v>
      </c>
      <c r="AH19" s="22">
        <v>0.32550000000000001</v>
      </c>
      <c r="AI19" s="1">
        <f>AP28</f>
        <v>0.96531</v>
      </c>
      <c r="AJ19" s="1">
        <v>965.31</v>
      </c>
      <c r="AK19" s="21">
        <v>90</v>
      </c>
      <c r="AL19" s="17">
        <v>3.1419999999999999E-4</v>
      </c>
      <c r="AM19" s="22">
        <v>0.32550000000000001</v>
      </c>
      <c r="AN19" s="1">
        <f>AQ26</f>
        <v>971.79</v>
      </c>
      <c r="AO19" s="21">
        <v>45</v>
      </c>
      <c r="AP19" s="17">
        <v>0.99021000000000003</v>
      </c>
      <c r="AQ19" s="17">
        <v>990.21</v>
      </c>
      <c r="AR19" s="17">
        <v>1.9213</v>
      </c>
      <c r="AS19" s="17">
        <v>61.816800000000001</v>
      </c>
      <c r="AT19" s="17">
        <v>8.2637</v>
      </c>
      <c r="AU19" s="17">
        <v>9.7105999999999995</v>
      </c>
      <c r="AV19" s="17">
        <v>61.817</v>
      </c>
      <c r="AW19" s="22">
        <v>4.2</v>
      </c>
    </row>
    <row r="20" spans="2:49" ht="15.75" customHeight="1" thickBot="1">
      <c r="B20" s="61"/>
      <c r="C20" s="91" t="s">
        <v>111</v>
      </c>
      <c r="D20" s="94"/>
      <c r="E20" s="93">
        <f>(E8*E9)*E9</f>
        <v>2.4</v>
      </c>
      <c r="F20" s="94"/>
      <c r="G20" s="110" t="s">
        <v>112</v>
      </c>
      <c r="H20" s="94"/>
      <c r="I20" s="94"/>
      <c r="J20" s="111">
        <f>2*E9*SQRT(1+E8^2)</f>
        <v>4.6647615158762399</v>
      </c>
      <c r="K20" s="64"/>
      <c r="N20" s="43">
        <v>90</v>
      </c>
      <c r="O20" s="46">
        <v>3.1419999999999999E-4</v>
      </c>
      <c r="P20" s="46">
        <v>0.32550000000000001</v>
      </c>
      <c r="Q20" s="46">
        <v>965.31</v>
      </c>
      <c r="W20" s="53">
        <v>0.1</v>
      </c>
      <c r="X20" s="53">
        <f t="shared" si="1"/>
        <v>3480.735880931783</v>
      </c>
      <c r="AD20" s="24">
        <v>100</v>
      </c>
      <c r="AE20" s="25">
        <v>2.8160000000000001E-4</v>
      </c>
      <c r="AF20" s="34">
        <v>0.29380000000000001</v>
      </c>
      <c r="AG20" s="25">
        <v>0.58809999999999996</v>
      </c>
      <c r="AH20" s="26">
        <v>0.29380000000000001</v>
      </c>
      <c r="AI20" s="1">
        <f>AP30</f>
        <v>0.95835000000000004</v>
      </c>
      <c r="AJ20" s="1">
        <v>958.35</v>
      </c>
      <c r="AK20" s="32">
        <v>100</v>
      </c>
      <c r="AL20" s="33">
        <v>2.8160000000000001E-4</v>
      </c>
      <c r="AM20" s="34">
        <v>0.29380000000000001</v>
      </c>
      <c r="AN20" s="1">
        <f>AQ28</f>
        <v>965.31</v>
      </c>
      <c r="AO20" s="21">
        <v>50</v>
      </c>
      <c r="AP20" s="17">
        <v>0.98804000000000003</v>
      </c>
      <c r="AQ20" s="17">
        <v>988.04</v>
      </c>
      <c r="AR20" s="17">
        <v>1.9171</v>
      </c>
      <c r="AS20" s="17">
        <v>61.6813</v>
      </c>
      <c r="AT20" s="17">
        <v>8.2455999999999996</v>
      </c>
      <c r="AU20" s="17">
        <v>9.6893999999999991</v>
      </c>
      <c r="AV20" s="17">
        <v>61.680999999999997</v>
      </c>
      <c r="AW20" s="22">
        <v>4.54</v>
      </c>
    </row>
    <row r="21" spans="2:49" ht="15.75" customHeight="1" thickTop="1" thickBot="1">
      <c r="B21" s="61"/>
      <c r="C21" s="96" t="s">
        <v>116</v>
      </c>
      <c r="D21" s="63"/>
      <c r="E21" s="97">
        <f>2*E8*E9</f>
        <v>2.4</v>
      </c>
      <c r="F21" s="63"/>
      <c r="G21" s="98" t="s">
        <v>113</v>
      </c>
      <c r="H21" s="63"/>
      <c r="I21" s="63"/>
      <c r="J21" s="99">
        <f>E20/J20</f>
        <v>0.51449575542752657</v>
      </c>
      <c r="K21" s="64"/>
      <c r="N21" s="43">
        <v>100</v>
      </c>
      <c r="O21" s="46">
        <v>2.8160000000000001E-4</v>
      </c>
      <c r="P21" s="46">
        <v>0.29380000000000001</v>
      </c>
      <c r="Q21" s="46">
        <v>958.35</v>
      </c>
      <c r="W21" s="53">
        <v>0.2</v>
      </c>
      <c r="X21" s="53">
        <f t="shared" si="1"/>
        <v>4922.5038898523908</v>
      </c>
      <c r="AD21" s="39">
        <v>110</v>
      </c>
      <c r="AE21" s="40">
        <v>2.5460000000000001E-4</v>
      </c>
      <c r="AF21" s="40">
        <v>0.26769999999999999</v>
      </c>
      <c r="AG21" s="40">
        <v>1.8451</v>
      </c>
      <c r="AH21" s="40">
        <v>59.365900000000003</v>
      </c>
      <c r="AI21" s="40">
        <v>7.9360999999999997</v>
      </c>
      <c r="AJ21" s="1">
        <v>950.95</v>
      </c>
      <c r="AK21" s="40">
        <v>59.366</v>
      </c>
      <c r="AL21" s="41">
        <v>8.01</v>
      </c>
      <c r="AN21" s="1">
        <f>AQ30</f>
        <v>958.35</v>
      </c>
      <c r="AO21" s="21">
        <v>55</v>
      </c>
      <c r="AP21" s="17">
        <v>0.98568999999999996</v>
      </c>
      <c r="AQ21" s="17">
        <v>985.69</v>
      </c>
      <c r="AR21" s="17">
        <v>1.9126000000000001</v>
      </c>
      <c r="AS21" s="17">
        <v>61.534599999999998</v>
      </c>
      <c r="AT21" s="17">
        <v>8.2260000000000009</v>
      </c>
      <c r="AU21" s="17">
        <v>9.6662999999999997</v>
      </c>
      <c r="AV21" s="17">
        <v>61.534999999999997</v>
      </c>
      <c r="AW21" s="22">
        <v>4.8600000000000003</v>
      </c>
    </row>
    <row r="22" spans="2:49" ht="15.75" customHeight="1" thickTop="1" thickBot="1">
      <c r="B22" s="61"/>
      <c r="C22" s="96" t="s">
        <v>117</v>
      </c>
      <c r="D22" s="63"/>
      <c r="E22" s="97">
        <f>IF(OR(E9=0,E20=0,J20=0),"",E20/E21)</f>
        <v>1</v>
      </c>
      <c r="F22" s="63"/>
      <c r="G22" s="98" t="s">
        <v>114</v>
      </c>
      <c r="H22" s="63"/>
      <c r="I22" s="63"/>
      <c r="J22" s="99">
        <f>J23*E20</f>
        <v>19.064775587039538</v>
      </c>
      <c r="K22" s="64"/>
      <c r="N22" s="44">
        <v>110</v>
      </c>
      <c r="O22" s="47">
        <v>2.5460000000000001E-4</v>
      </c>
      <c r="P22" s="47">
        <v>0.26769999999999999</v>
      </c>
      <c r="Q22" s="47">
        <v>950.95</v>
      </c>
      <c r="W22" s="53">
        <v>0.3</v>
      </c>
      <c r="X22" s="53">
        <f t="shared" si="1"/>
        <v>6028.8113935018628</v>
      </c>
      <c r="AN22" s="1">
        <v>950.95</v>
      </c>
      <c r="AO22" s="21">
        <v>60</v>
      </c>
      <c r="AP22" s="17">
        <v>0.98319999999999996</v>
      </c>
      <c r="AQ22" s="17">
        <v>983.2</v>
      </c>
      <c r="AR22" s="17">
        <v>1.9077</v>
      </c>
      <c r="AS22" s="17">
        <v>61.379199999999997</v>
      </c>
      <c r="AT22" s="17">
        <v>8.2051999999999996</v>
      </c>
      <c r="AU22" s="17">
        <v>9.6418999999999997</v>
      </c>
      <c r="AV22" s="17">
        <v>61.378999999999998</v>
      </c>
      <c r="AW22" s="22">
        <v>5.16</v>
      </c>
    </row>
    <row r="23" spans="2:49" ht="15.75" customHeight="1" thickBot="1">
      <c r="B23" s="61"/>
      <c r="C23" s="96" t="s">
        <v>133</v>
      </c>
      <c r="D23" s="63"/>
      <c r="E23" s="100">
        <f>Q24*J23*E20/(O24*J20)</f>
        <v>4530165.1411722647</v>
      </c>
      <c r="F23" s="63"/>
      <c r="G23" s="98" t="s">
        <v>115</v>
      </c>
      <c r="H23" s="63"/>
      <c r="I23" s="63"/>
      <c r="J23" s="99">
        <f>(1/$E$12)*(($E$20/$J$20)^(2/3))*(($E$13/100)^(1/2))</f>
        <v>7.9436564945998072</v>
      </c>
      <c r="K23" s="64"/>
      <c r="N23" s="55" t="s">
        <v>91</v>
      </c>
      <c r="O23" s="48" t="s">
        <v>100</v>
      </c>
      <c r="P23" s="48" t="s">
        <v>101</v>
      </c>
      <c r="Q23" s="48" t="s">
        <v>99</v>
      </c>
      <c r="W23" s="53">
        <v>0.4</v>
      </c>
      <c r="X23" s="53">
        <f t="shared" si="1"/>
        <v>6961.4717618635659</v>
      </c>
      <c r="AO23" s="21">
        <v>65</v>
      </c>
      <c r="AP23" s="17">
        <v>0.98055000000000003</v>
      </c>
      <c r="AQ23" s="17">
        <v>980.55</v>
      </c>
      <c r="AR23" s="17">
        <v>1.9026000000000001</v>
      </c>
      <c r="AS23" s="17">
        <v>61.213700000000003</v>
      </c>
      <c r="AT23" s="17">
        <v>8.1830999999999996</v>
      </c>
      <c r="AU23" s="17">
        <v>9.6158999999999999</v>
      </c>
      <c r="AV23" s="17">
        <v>61.213999999999999</v>
      </c>
      <c r="AW23" s="22">
        <v>5.44</v>
      </c>
    </row>
    <row r="24" spans="2:49" ht="15.75" customHeight="1" thickBot="1">
      <c r="B24" s="61"/>
      <c r="C24" s="101" t="s">
        <v>124</v>
      </c>
      <c r="D24" s="102"/>
      <c r="E24" s="172" t="str">
        <f>IF(E23&lt;500,"Laminar",IF(E23&lt;=2000,"Transitional","Turbulent"))</f>
        <v>Turbulent</v>
      </c>
      <c r="F24" s="173"/>
      <c r="G24" s="102"/>
      <c r="H24" s="102"/>
      <c r="I24" s="102"/>
      <c r="J24" s="149" t="str">
        <f>W4</f>
        <v>ความเร็วสูงเกินไป</v>
      </c>
      <c r="K24" s="64"/>
      <c r="N24" s="142">
        <v>25</v>
      </c>
      <c r="O24" s="49">
        <f>X13</f>
        <v>8.9940000000000007E-4</v>
      </c>
      <c r="P24" s="49">
        <f>Y13</f>
        <v>0.90210000000000001</v>
      </c>
      <c r="Q24" s="49">
        <f>Z13</f>
        <v>996.93000000000006</v>
      </c>
      <c r="W24" s="53">
        <v>0.5</v>
      </c>
      <c r="X24" s="53">
        <f t="shared" si="1"/>
        <v>7783.1620414860809</v>
      </c>
      <c r="AO24" s="21">
        <v>70</v>
      </c>
      <c r="AP24" s="17">
        <v>0.97775999999999996</v>
      </c>
      <c r="AQ24" s="17">
        <v>977.76</v>
      </c>
      <c r="AR24" s="17">
        <v>1.8972</v>
      </c>
      <c r="AS24" s="17">
        <v>61.0396</v>
      </c>
      <c r="AT24" s="17">
        <v>8.1598000000000006</v>
      </c>
      <c r="AU24" s="17">
        <v>9.5885999999999996</v>
      </c>
      <c r="AV24" s="17">
        <v>61.04</v>
      </c>
      <c r="AW24" s="22">
        <v>5.71</v>
      </c>
    </row>
    <row r="25" spans="2:49" ht="15.75" customHeight="1" thickBot="1">
      <c r="B25" s="61"/>
      <c r="C25" s="63"/>
      <c r="D25" s="63"/>
      <c r="E25" s="97"/>
      <c r="F25" s="63"/>
      <c r="G25" s="63"/>
      <c r="H25" s="63"/>
      <c r="I25" s="63"/>
      <c r="J25" s="63"/>
      <c r="K25" s="64"/>
      <c r="N25" s="168" t="s">
        <v>93</v>
      </c>
      <c r="O25" s="169"/>
      <c r="W25" s="53">
        <v>0.6</v>
      </c>
      <c r="X25" s="53">
        <f t="shared" si="1"/>
        <v>8526.0268376797721</v>
      </c>
      <c r="AO25" s="21">
        <v>75</v>
      </c>
      <c r="AP25" s="17">
        <v>0.97484000000000004</v>
      </c>
      <c r="AQ25" s="17">
        <v>974.84</v>
      </c>
      <c r="AR25" s="17">
        <v>1.8915</v>
      </c>
      <c r="AS25" s="17">
        <v>60.857300000000002</v>
      </c>
      <c r="AT25" s="17">
        <v>8.1354000000000006</v>
      </c>
      <c r="AU25" s="17">
        <v>9.5599000000000007</v>
      </c>
      <c r="AV25" s="17">
        <v>60.856999999999999</v>
      </c>
      <c r="AW25" s="22">
        <v>5.97</v>
      </c>
    </row>
    <row r="26" spans="2:49" ht="15.75" customHeight="1" thickBot="1">
      <c r="B26" s="61"/>
      <c r="C26" s="63"/>
      <c r="D26" s="63"/>
      <c r="E26" s="97"/>
      <c r="F26" s="63"/>
      <c r="G26" s="63"/>
      <c r="H26" s="63"/>
      <c r="I26" s="63"/>
      <c r="J26" s="63"/>
      <c r="K26" s="64"/>
      <c r="N26" s="55">
        <f>N24</f>
        <v>25</v>
      </c>
      <c r="O26" s="48">
        <f>O24</f>
        <v>8.9940000000000007E-4</v>
      </c>
      <c r="W26" s="53">
        <v>0.7</v>
      </c>
      <c r="X26" s="53">
        <f t="shared" si="1"/>
        <v>9209.1615204448262</v>
      </c>
      <c r="AO26" s="21">
        <v>80</v>
      </c>
      <c r="AP26" s="17">
        <v>0.97179000000000004</v>
      </c>
      <c r="AQ26" s="17">
        <v>971.79</v>
      </c>
      <c r="AR26" s="17">
        <v>1.8855999999999999</v>
      </c>
      <c r="AS26" s="17">
        <v>60.666899999999998</v>
      </c>
      <c r="AT26" s="17">
        <v>8.11</v>
      </c>
      <c r="AU26" s="17">
        <v>9.5299999999999994</v>
      </c>
      <c r="AV26" s="17">
        <v>60.667000000000002</v>
      </c>
      <c r="AW26" s="22">
        <v>6.21</v>
      </c>
    </row>
    <row r="27" spans="2:49" ht="15.75" customHeight="1" thickBot="1">
      <c r="B27" s="61"/>
      <c r="C27" s="63"/>
      <c r="D27" s="63"/>
      <c r="E27" s="97"/>
      <c r="F27" s="63"/>
      <c r="G27" s="63"/>
      <c r="H27" s="63"/>
      <c r="I27" s="63"/>
      <c r="J27" s="63"/>
      <c r="K27" s="64"/>
      <c r="W27" s="53">
        <v>0.8</v>
      </c>
      <c r="X27" s="53">
        <f t="shared" si="1"/>
        <v>9845.0077797047816</v>
      </c>
      <c r="AO27" s="21">
        <v>85</v>
      </c>
      <c r="AP27" s="17">
        <v>0.96860999999999997</v>
      </c>
      <c r="AQ27" s="17">
        <v>968.61</v>
      </c>
      <c r="AR27" s="17">
        <v>1.8794</v>
      </c>
      <c r="AS27" s="17">
        <v>60.468299999999999</v>
      </c>
      <c r="AT27" s="17">
        <v>8.0833999999999993</v>
      </c>
      <c r="AU27" s="17">
        <v>9.4987999999999992</v>
      </c>
      <c r="AV27" s="17">
        <v>60.468000000000004</v>
      </c>
      <c r="AW27" s="22">
        <v>6.44</v>
      </c>
    </row>
    <row r="28" spans="2:49" ht="15.75" customHeight="1" thickBot="1">
      <c r="B28" s="61"/>
      <c r="C28" s="63"/>
      <c r="D28" s="63"/>
      <c r="E28" s="97"/>
      <c r="F28" s="63"/>
      <c r="G28" s="63"/>
      <c r="H28" s="63"/>
      <c r="I28" s="63"/>
      <c r="J28" s="63"/>
      <c r="K28" s="64"/>
      <c r="P28" s="1" t="s">
        <v>90</v>
      </c>
      <c r="W28" s="53">
        <v>0.9</v>
      </c>
      <c r="X28" s="53">
        <f t="shared" si="1"/>
        <v>10442.207642795349</v>
      </c>
      <c r="AO28" s="21">
        <v>90</v>
      </c>
      <c r="AP28" s="17">
        <v>0.96531</v>
      </c>
      <c r="AQ28" s="17">
        <v>965.31</v>
      </c>
      <c r="AR28" s="17">
        <v>1.873</v>
      </c>
      <c r="AS28" s="17">
        <v>60.262300000000003</v>
      </c>
      <c r="AT28" s="17">
        <v>8.0558999999999994</v>
      </c>
      <c r="AU28" s="17">
        <v>9.4664999999999999</v>
      </c>
      <c r="AV28" s="17">
        <v>60.262</v>
      </c>
      <c r="AW28" s="22">
        <v>6.66</v>
      </c>
    </row>
    <row r="29" spans="2:49" ht="15.75" customHeight="1" thickBot="1">
      <c r="B29" s="61"/>
      <c r="C29" s="63"/>
      <c r="D29" s="63"/>
      <c r="E29" s="97"/>
      <c r="F29" s="63"/>
      <c r="G29" s="63"/>
      <c r="H29" s="63"/>
      <c r="I29" s="63"/>
      <c r="J29" s="63"/>
      <c r="K29" s="64"/>
      <c r="W29" s="53">
        <v>1</v>
      </c>
      <c r="X29" s="53">
        <f t="shared" si="1"/>
        <v>11007.053317217084</v>
      </c>
      <c r="AO29" s="21">
        <v>95</v>
      </c>
      <c r="AP29" s="17">
        <v>0.96189000000000002</v>
      </c>
      <c r="AQ29" s="17">
        <v>961.89</v>
      </c>
      <c r="AR29" s="17">
        <v>1.8664000000000001</v>
      </c>
      <c r="AS29" s="17">
        <v>60.0488</v>
      </c>
      <c r="AT29" s="17">
        <v>8.0274000000000001</v>
      </c>
      <c r="AU29" s="17">
        <v>9.4329000000000001</v>
      </c>
      <c r="AV29" s="17">
        <v>60.048999999999999</v>
      </c>
      <c r="AW29" s="22">
        <v>6.87</v>
      </c>
    </row>
    <row r="30" spans="2:49" ht="15.75" customHeight="1" thickBot="1">
      <c r="B30" s="61"/>
      <c r="C30" s="63"/>
      <c r="D30" s="63"/>
      <c r="E30" s="97"/>
      <c r="F30" s="63"/>
      <c r="G30" s="63"/>
      <c r="H30" s="63"/>
      <c r="I30" s="63"/>
      <c r="J30" s="63"/>
      <c r="K30" s="64"/>
      <c r="W30" s="53">
        <v>2</v>
      </c>
      <c r="X30" s="53">
        <f t="shared" si="1"/>
        <v>15566.324082972162</v>
      </c>
      <c r="AO30" s="32">
        <v>100</v>
      </c>
      <c r="AP30" s="33">
        <v>0.95835000000000004</v>
      </c>
      <c r="AQ30" s="33">
        <v>958.35</v>
      </c>
      <c r="AR30" s="33">
        <v>1.8594999999999999</v>
      </c>
      <c r="AS30" s="33">
        <v>59.827800000000003</v>
      </c>
      <c r="AT30" s="33">
        <v>7.9977999999999998</v>
      </c>
      <c r="AU30" s="33">
        <v>9.3981999999999992</v>
      </c>
      <c r="AV30" s="33">
        <v>59.828000000000003</v>
      </c>
      <c r="AW30" s="34">
        <v>7.03</v>
      </c>
    </row>
    <row r="31" spans="2:49" ht="15.75" customHeight="1" thickTop="1">
      <c r="B31" s="61"/>
      <c r="C31" s="63"/>
      <c r="D31" s="63"/>
      <c r="E31" s="97"/>
      <c r="F31" s="63"/>
      <c r="G31" s="63"/>
      <c r="H31" s="63"/>
      <c r="I31" s="63"/>
      <c r="J31" s="63"/>
      <c r="K31" s="64"/>
      <c r="W31" s="53">
        <v>3</v>
      </c>
      <c r="X31" s="53">
        <f t="shared" si="1"/>
        <v>19064.775587039538</v>
      </c>
    </row>
    <row r="32" spans="2:49" ht="15.75" customHeight="1">
      <c r="B32" s="61"/>
      <c r="C32" s="63"/>
      <c r="D32" s="63"/>
      <c r="E32" s="97"/>
      <c r="F32" s="63"/>
      <c r="G32" s="63"/>
      <c r="H32" s="63"/>
      <c r="I32" s="63"/>
      <c r="J32" s="63"/>
      <c r="K32" s="64"/>
      <c r="W32" s="53">
        <v>4</v>
      </c>
      <c r="X32" s="53">
        <f t="shared" si="1"/>
        <v>22014.106634434167</v>
      </c>
    </row>
    <row r="33" spans="2:24" ht="15.75" customHeight="1">
      <c r="B33" s="61"/>
      <c r="C33" s="63"/>
      <c r="D33" s="63"/>
      <c r="E33" s="97"/>
      <c r="F33" s="63"/>
      <c r="G33" s="63"/>
      <c r="H33" s="63"/>
      <c r="I33" s="63"/>
      <c r="J33" s="63"/>
      <c r="K33" s="64"/>
      <c r="W33" s="53">
        <v>5</v>
      </c>
      <c r="X33" s="53">
        <f t="shared" si="1"/>
        <v>24612.519449261952</v>
      </c>
    </row>
    <row r="34" spans="2:24" ht="15.75" customHeight="1">
      <c r="B34" s="61"/>
      <c r="C34" s="63"/>
      <c r="D34" s="63"/>
      <c r="E34" s="97"/>
      <c r="F34" s="63"/>
      <c r="G34" s="63"/>
      <c r="H34" s="63"/>
      <c r="I34" s="63"/>
      <c r="J34" s="63"/>
      <c r="K34" s="64"/>
      <c r="W34" s="53">
        <v>6</v>
      </c>
      <c r="X34" s="53">
        <f t="shared" si="1"/>
        <v>26961.664198790797</v>
      </c>
    </row>
    <row r="35" spans="2:24" ht="15.75" customHeight="1">
      <c r="B35" s="61"/>
      <c r="C35" s="63"/>
      <c r="D35" s="63"/>
      <c r="E35" s="97"/>
      <c r="F35" s="63"/>
      <c r="G35" s="63"/>
      <c r="H35" s="63"/>
      <c r="I35" s="63"/>
      <c r="J35" s="63"/>
      <c r="K35" s="64"/>
      <c r="W35" s="53">
        <v>7</v>
      </c>
      <c r="X35" s="53">
        <f t="shared" si="1"/>
        <v>29121.92574498495</v>
      </c>
    </row>
    <row r="36" spans="2:24" ht="15.75" customHeight="1">
      <c r="B36" s="61"/>
      <c r="C36" s="63"/>
      <c r="D36" s="63"/>
      <c r="E36" s="97"/>
      <c r="F36" s="63"/>
      <c r="G36" s="63"/>
      <c r="H36" s="63"/>
      <c r="I36" s="63"/>
      <c r="J36" s="63"/>
      <c r="K36" s="64"/>
      <c r="W36" s="53">
        <v>8</v>
      </c>
      <c r="X36" s="53">
        <f t="shared" si="1"/>
        <v>31132.648165944323</v>
      </c>
    </row>
    <row r="37" spans="2:24" ht="15.75" customHeight="1">
      <c r="B37" s="61"/>
      <c r="C37" s="103"/>
      <c r="D37" s="103"/>
      <c r="E37" s="63"/>
      <c r="F37" s="63"/>
      <c r="G37" s="63"/>
      <c r="H37" s="63"/>
      <c r="I37" s="63"/>
      <c r="J37" s="63"/>
      <c r="K37" s="64"/>
      <c r="W37" s="53">
        <v>9</v>
      </c>
      <c r="X37" s="53">
        <f t="shared" si="1"/>
        <v>33021.159951651243</v>
      </c>
    </row>
    <row r="38" spans="2:24" ht="15.75" customHeight="1">
      <c r="B38" s="61"/>
      <c r="C38" s="103"/>
      <c r="D38" s="103"/>
      <c r="E38" s="63"/>
      <c r="F38" s="63"/>
      <c r="G38" s="63"/>
      <c r="H38" s="63"/>
      <c r="I38" s="63"/>
      <c r="J38" s="63"/>
      <c r="K38" s="64"/>
      <c r="W38" s="53">
        <v>10</v>
      </c>
      <c r="X38" s="53">
        <f t="shared" si="1"/>
        <v>34807.358809317833</v>
      </c>
    </row>
    <row r="39" spans="2:24" ht="15.75" customHeight="1">
      <c r="B39" s="61"/>
      <c r="C39" s="103"/>
      <c r="D39" s="103"/>
      <c r="E39" s="63"/>
      <c r="F39" s="63"/>
      <c r="G39" s="63"/>
      <c r="H39" s="63"/>
      <c r="I39" s="63"/>
      <c r="J39" s="63"/>
      <c r="K39" s="64"/>
      <c r="N39" s="1" t="s">
        <v>102</v>
      </c>
    </row>
    <row r="40" spans="2:24" ht="15.75" customHeight="1">
      <c r="B40" s="61"/>
      <c r="C40" s="103"/>
      <c r="D40" s="103"/>
      <c r="E40" s="63"/>
      <c r="F40" s="63"/>
      <c r="G40" s="63"/>
      <c r="H40" s="63"/>
      <c r="I40" s="63"/>
      <c r="J40" s="63"/>
      <c r="K40" s="64"/>
    </row>
    <row r="41" spans="2:24">
      <c r="B41" s="61"/>
      <c r="C41" s="103"/>
      <c r="D41" s="103"/>
      <c r="E41" s="63"/>
      <c r="F41" s="63"/>
      <c r="G41" s="63"/>
      <c r="H41" s="63"/>
      <c r="I41" s="63"/>
      <c r="J41" s="63"/>
      <c r="K41" s="64"/>
    </row>
    <row r="42" spans="2:24">
      <c r="B42" s="61"/>
      <c r="C42" s="103"/>
      <c r="D42" s="103"/>
      <c r="E42" s="63"/>
      <c r="F42" s="63"/>
      <c r="G42" s="63"/>
      <c r="H42" s="63"/>
      <c r="I42" s="63"/>
      <c r="J42" s="63"/>
      <c r="K42" s="64"/>
    </row>
    <row r="43" spans="2:24">
      <c r="B43" s="61"/>
      <c r="C43" s="103"/>
      <c r="D43" s="103"/>
      <c r="E43" s="63"/>
      <c r="F43" s="63"/>
      <c r="G43" s="63"/>
      <c r="H43" s="63"/>
      <c r="I43" s="63"/>
      <c r="J43" s="63"/>
      <c r="K43" s="64"/>
    </row>
    <row r="44" spans="2:24" ht="15.75" thickBot="1">
      <c r="B44" s="104"/>
      <c r="C44" s="105"/>
      <c r="D44" s="105"/>
      <c r="E44" s="105"/>
      <c r="F44" s="105"/>
      <c r="G44" s="105"/>
      <c r="H44" s="105"/>
      <c r="I44" s="105"/>
      <c r="J44" s="105"/>
      <c r="K44" s="106"/>
    </row>
    <row r="45" spans="2:24" ht="15.75" thickTop="1"/>
  </sheetData>
  <dataConsolidate/>
  <mergeCells count="9">
    <mergeCell ref="I3:K3"/>
    <mergeCell ref="I5:K5"/>
    <mergeCell ref="E24:F24"/>
    <mergeCell ref="N25:O25"/>
    <mergeCell ref="AP7:AT7"/>
    <mergeCell ref="AU7:AV7"/>
    <mergeCell ref="N8:P8"/>
    <mergeCell ref="C11:F11"/>
    <mergeCell ref="G5:H5"/>
  </mergeCells>
  <conditionalFormatting sqref="E24">
    <cfRule type="containsText" dxfId="0" priority="1" operator="containsText" text="Turbulent">
      <formula>NOT(ISERROR(SEARCH("Turbulent",E24)))</formula>
    </cfRule>
  </conditionalFormatting>
  <dataValidations disablePrompts="1" count="1">
    <dataValidation type="decimal" allowBlank="1" showErrorMessage="1" errorTitle="ป้อนค่าใหม่" error="ค่า Temp ต้องอยู่ระหว่าง 0.01 - 100 °C" sqref="N24" xr:uid="{40600FA4-6127-476D-904B-9C0D2700058B}">
      <formula1>N10</formula1>
      <formula2>N21</formula2>
    </dataValidation>
  </dataValidations>
  <pageMargins left="0.75" right="0.25"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C3EB79-F6EA-4123-AB72-3569D327D921}">
          <x14:formula1>
            <xm:f>n!$H$4:$H$29</xm:f>
          </x14:formula1>
          <xm:sqref>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AD2A6-5DEC-421E-B5F4-E6CCE903B9CE}">
  <dimension ref="B2:I31"/>
  <sheetViews>
    <sheetView zoomScale="90" zoomScaleNormal="90" workbookViewId="0">
      <selection activeCell="A17" sqref="A17"/>
    </sheetView>
  </sheetViews>
  <sheetFormatPr defaultRowHeight="15.75"/>
  <cols>
    <col min="1" max="1" width="9.140625" style="2"/>
    <col min="2" max="2" width="46.140625" style="2" bestFit="1" customWidth="1"/>
    <col min="3" max="3" width="39.140625" style="3" customWidth="1"/>
    <col min="4" max="5" width="20.7109375" style="4" customWidth="1"/>
    <col min="6" max="6" width="41.5703125" style="4" customWidth="1"/>
    <col min="7" max="7" width="9.140625" style="2"/>
    <col min="8" max="8" width="49.85546875" style="2" bestFit="1" customWidth="1"/>
    <col min="9" max="16384" width="9.140625" style="2"/>
  </cols>
  <sheetData>
    <row r="2" spans="2:9" ht="20.100000000000001" customHeight="1">
      <c r="B2" s="12" t="s">
        <v>29</v>
      </c>
    </row>
    <row r="3" spans="2:9" ht="20.100000000000001" customHeight="1">
      <c r="C3" s="10" t="s">
        <v>0</v>
      </c>
      <c r="D3" s="11" t="s">
        <v>27</v>
      </c>
    </row>
    <row r="4" spans="2:9" ht="20.100000000000001" customHeight="1">
      <c r="B4" s="6" t="s">
        <v>30</v>
      </c>
      <c r="C4" s="9" t="s">
        <v>1</v>
      </c>
      <c r="D4" s="13">
        <v>0.03</v>
      </c>
      <c r="E4" s="15"/>
      <c r="F4" s="15"/>
      <c r="H4" s="2" t="s">
        <v>38</v>
      </c>
      <c r="I4" s="14">
        <v>0.03</v>
      </c>
    </row>
    <row r="5" spans="2:9" ht="20.100000000000001" customHeight="1">
      <c r="B5" s="7" t="s">
        <v>34</v>
      </c>
      <c r="C5" s="9" t="s">
        <v>2</v>
      </c>
      <c r="D5" s="13">
        <v>1.6E-2</v>
      </c>
      <c r="E5" s="15"/>
      <c r="F5" s="15"/>
      <c r="H5" s="2" t="s">
        <v>39</v>
      </c>
      <c r="I5" s="14">
        <v>1.6E-2</v>
      </c>
    </row>
    <row r="6" spans="2:9" ht="20.100000000000001" customHeight="1">
      <c r="B6" s="8" t="str">
        <f>B5</f>
        <v xml:space="preserve">  ทางน้ำเปิดธรรมชาติ </v>
      </c>
      <c r="C6" s="9" t="s">
        <v>3</v>
      </c>
      <c r="D6" s="13">
        <v>1.0999999999999999E-2</v>
      </c>
      <c r="E6" s="15"/>
      <c r="F6" s="15"/>
      <c r="H6" s="2" t="s">
        <v>40</v>
      </c>
      <c r="I6" s="14">
        <v>1.0999999999999999E-2</v>
      </c>
    </row>
    <row r="7" spans="2:9" ht="20.100000000000001" customHeight="1">
      <c r="B7" s="6" t="s">
        <v>31</v>
      </c>
      <c r="C7" s="9" t="s">
        <v>4</v>
      </c>
      <c r="D7" s="13">
        <v>1.4999999999999999E-2</v>
      </c>
      <c r="E7" s="15"/>
      <c r="F7" s="15"/>
      <c r="H7" s="2" t="s">
        <v>41</v>
      </c>
      <c r="I7" s="14">
        <v>1.4999999999999999E-2</v>
      </c>
    </row>
    <row r="8" spans="2:9" ht="20.100000000000001" customHeight="1">
      <c r="B8" s="7" t="s">
        <v>35</v>
      </c>
      <c r="C8" s="9" t="s">
        <v>5</v>
      </c>
      <c r="D8" s="13">
        <v>1.2E-2</v>
      </c>
      <c r="E8" s="15"/>
      <c r="F8" s="15"/>
      <c r="H8" s="2" t="s">
        <v>42</v>
      </c>
      <c r="I8" s="14">
        <v>1.2E-2</v>
      </c>
    </row>
    <row r="9" spans="2:9" ht="20.100000000000001" customHeight="1">
      <c r="B9" s="7" t="str">
        <f>B8</f>
        <v xml:space="preserve">  ลุ่มแม่น้ำที่มีน้ำท่วมถึง </v>
      </c>
      <c r="C9" s="9" t="s">
        <v>6</v>
      </c>
      <c r="D9" s="13">
        <v>1.2E-2</v>
      </c>
      <c r="E9" s="15"/>
      <c r="F9" s="15"/>
      <c r="H9" s="2" t="s">
        <v>43</v>
      </c>
      <c r="I9" s="14">
        <v>1.2E-2</v>
      </c>
    </row>
    <row r="10" spans="2:9" ht="20.100000000000001" customHeight="1">
      <c r="B10" s="8" t="str">
        <f>B9</f>
        <v xml:space="preserve">  ลุ่มแม่น้ำที่มีน้ำท่วมถึง </v>
      </c>
      <c r="C10" s="9" t="s">
        <v>7</v>
      </c>
      <c r="D10" s="13">
        <v>1.4E-2</v>
      </c>
      <c r="E10" s="15"/>
      <c r="F10" s="15"/>
      <c r="H10" s="2" t="s">
        <v>44</v>
      </c>
      <c r="I10" s="14">
        <v>1.4E-2</v>
      </c>
    </row>
    <row r="11" spans="2:9" ht="20.100000000000001" customHeight="1">
      <c r="B11" s="6" t="s">
        <v>32</v>
      </c>
      <c r="C11" s="9" t="s">
        <v>8</v>
      </c>
      <c r="D11" s="13">
        <v>1.0999999999999999E-2</v>
      </c>
      <c r="E11" s="15"/>
      <c r="F11" s="15"/>
      <c r="H11" s="2" t="s">
        <v>45</v>
      </c>
      <c r="I11" s="14">
        <v>1.0999999999999999E-2</v>
      </c>
    </row>
    <row r="12" spans="2:9" ht="20.100000000000001" customHeight="1">
      <c r="B12" s="7" t="s">
        <v>36</v>
      </c>
      <c r="C12" s="9" t="s">
        <v>9</v>
      </c>
      <c r="D12" s="13">
        <v>1.2E-2</v>
      </c>
      <c r="E12" s="15"/>
      <c r="F12" s="15"/>
      <c r="H12" s="2" t="s">
        <v>46</v>
      </c>
      <c r="I12" s="14">
        <v>1.2E-2</v>
      </c>
    </row>
    <row r="13" spans="2:9" ht="20.100000000000001" customHeight="1">
      <c r="B13" s="7" t="str">
        <f>B12</f>
        <v xml:space="preserve">  ทางน้ำเปิดดินขุด </v>
      </c>
      <c r="C13" s="9" t="s">
        <v>10</v>
      </c>
      <c r="D13" s="13">
        <v>1.4999999999999999E-2</v>
      </c>
      <c r="E13" s="15"/>
      <c r="F13" s="15"/>
      <c r="H13" s="2" t="s">
        <v>47</v>
      </c>
      <c r="I13" s="14">
        <v>1.4999999999999999E-2</v>
      </c>
    </row>
    <row r="14" spans="2:9" ht="20.100000000000001" customHeight="1">
      <c r="B14" s="8" t="str">
        <f>B13</f>
        <v xml:space="preserve">  ทางน้ำเปิดดินขุด </v>
      </c>
      <c r="C14" s="9" t="s">
        <v>11</v>
      </c>
      <c r="D14" s="13">
        <v>1.2999999999999999E-2</v>
      </c>
      <c r="E14" s="15"/>
      <c r="F14" s="15"/>
      <c r="H14" s="2" t="s">
        <v>48</v>
      </c>
      <c r="I14" s="14">
        <v>1.2999999999999999E-2</v>
      </c>
    </row>
    <row r="15" spans="2:9" ht="20.100000000000001" customHeight="1">
      <c r="B15" s="7" t="s">
        <v>33</v>
      </c>
      <c r="C15" s="9" t="s">
        <v>12</v>
      </c>
      <c r="D15" s="13">
        <v>0.01</v>
      </c>
      <c r="E15" s="15"/>
      <c r="F15" s="15"/>
      <c r="H15" s="2" t="s">
        <v>49</v>
      </c>
      <c r="I15" s="14">
        <v>0.01</v>
      </c>
    </row>
    <row r="16" spans="2:9" ht="20.100000000000001" customHeight="1">
      <c r="B16" s="7" t="s">
        <v>37</v>
      </c>
      <c r="C16" s="9" t="s">
        <v>13</v>
      </c>
      <c r="D16" s="13">
        <v>1.0999999999999999E-2</v>
      </c>
      <c r="E16" s="15"/>
      <c r="F16" s="15"/>
      <c r="H16" s="2" t="s">
        <v>50</v>
      </c>
      <c r="I16" s="14">
        <v>1.0999999999999999E-2</v>
      </c>
    </row>
    <row r="17" spans="2:9" ht="20.100000000000001" customHeight="1">
      <c r="B17" s="7" t="str">
        <f t="shared" ref="B17:B28" si="0">B16</f>
        <v xml:space="preserve">  ทางน้ำเปิดดาดผิว </v>
      </c>
      <c r="C17" s="9" t="s">
        <v>15</v>
      </c>
      <c r="D17" s="13">
        <v>1.2E-2</v>
      </c>
      <c r="E17" s="15"/>
      <c r="F17" s="15"/>
      <c r="H17" s="2" t="s">
        <v>51</v>
      </c>
      <c r="I17" s="14">
        <v>1.2E-2</v>
      </c>
    </row>
    <row r="18" spans="2:9" ht="20.100000000000001" customHeight="1">
      <c r="B18" s="7" t="str">
        <f t="shared" si="0"/>
        <v xml:space="preserve">  ทางน้ำเปิดดาดผิว </v>
      </c>
      <c r="C18" s="9" t="s">
        <v>14</v>
      </c>
      <c r="D18" s="13">
        <v>1.4E-2</v>
      </c>
      <c r="E18" s="15"/>
      <c r="F18" s="15"/>
      <c r="H18" s="2" t="s">
        <v>52</v>
      </c>
      <c r="I18" s="14">
        <v>1.4E-2</v>
      </c>
    </row>
    <row r="19" spans="2:9" ht="18" customHeight="1">
      <c r="B19" s="7" t="str">
        <f t="shared" si="0"/>
        <v xml:space="preserve">  ทางน้ำเปิดดาดผิว </v>
      </c>
      <c r="C19" s="9" t="s">
        <v>16</v>
      </c>
      <c r="D19" s="13">
        <v>1.4999999999999999E-2</v>
      </c>
      <c r="E19" s="15"/>
      <c r="F19" s="15"/>
      <c r="H19" s="2" t="s">
        <v>53</v>
      </c>
      <c r="I19" s="14">
        <v>1.4999999999999999E-2</v>
      </c>
    </row>
    <row r="20" spans="2:9" ht="18" customHeight="1">
      <c r="B20" s="7" t="str">
        <f t="shared" si="0"/>
        <v xml:space="preserve">  ทางน้ำเปิดดาดผิว </v>
      </c>
      <c r="C20" s="9" t="s">
        <v>17</v>
      </c>
      <c r="D20" s="13">
        <v>1.2999999999999999E-2</v>
      </c>
      <c r="E20" s="15"/>
      <c r="F20" s="15"/>
      <c r="H20" s="2" t="s">
        <v>54</v>
      </c>
      <c r="I20" s="14">
        <v>1.2999999999999999E-2</v>
      </c>
    </row>
    <row r="21" spans="2:9" ht="18" customHeight="1">
      <c r="B21" s="7" t="str">
        <f t="shared" si="0"/>
        <v xml:space="preserve">  ทางน้ำเปิดดาดผิว </v>
      </c>
      <c r="C21" s="9" t="s">
        <v>18</v>
      </c>
      <c r="D21" s="13">
        <v>1.2E-2</v>
      </c>
      <c r="E21" s="15"/>
      <c r="F21" s="15"/>
      <c r="H21" s="2" t="s">
        <v>55</v>
      </c>
      <c r="I21" s="14">
        <v>1.2E-2</v>
      </c>
    </row>
    <row r="22" spans="2:9" ht="18" customHeight="1">
      <c r="B22" s="7" t="str">
        <f t="shared" si="0"/>
        <v xml:space="preserve">  ทางน้ำเปิดดาดผิว </v>
      </c>
      <c r="C22" s="9" t="s">
        <v>19</v>
      </c>
      <c r="D22" s="13">
        <v>1.4E-2</v>
      </c>
      <c r="E22" s="15"/>
      <c r="F22" s="15"/>
      <c r="H22" s="2" t="s">
        <v>56</v>
      </c>
      <c r="I22" s="14">
        <v>1.4E-2</v>
      </c>
    </row>
    <row r="23" spans="2:9" ht="18" customHeight="1">
      <c r="B23" s="7" t="str">
        <f t="shared" si="0"/>
        <v xml:space="preserve">  ทางน้ำเปิดดาดผิว </v>
      </c>
      <c r="C23" s="9" t="s">
        <v>20</v>
      </c>
      <c r="D23" s="13">
        <v>1.2E-2</v>
      </c>
      <c r="E23" s="15"/>
      <c r="F23" s="15"/>
      <c r="H23" s="2" t="s">
        <v>57</v>
      </c>
      <c r="I23" s="14">
        <v>1.2E-2</v>
      </c>
    </row>
    <row r="24" spans="2:9" ht="18" customHeight="1">
      <c r="B24" s="7" t="str">
        <f t="shared" si="0"/>
        <v xml:space="preserve">  ทางน้ำเปิดดาดผิว </v>
      </c>
      <c r="C24" s="9" t="s">
        <v>21</v>
      </c>
      <c r="D24" s="13">
        <v>1.2999999999999999E-2</v>
      </c>
      <c r="E24" s="15"/>
      <c r="F24" s="15"/>
      <c r="H24" s="2" t="s">
        <v>58</v>
      </c>
      <c r="I24" s="14">
        <v>1.2999999999999999E-2</v>
      </c>
    </row>
    <row r="25" spans="2:9" ht="18" customHeight="1">
      <c r="B25" s="7" t="str">
        <f t="shared" si="0"/>
        <v xml:space="preserve">  ทางน้ำเปิดดาดผิว </v>
      </c>
      <c r="C25" s="9" t="s">
        <v>22</v>
      </c>
      <c r="D25" s="13">
        <v>1.4E-2</v>
      </c>
      <c r="E25" s="15"/>
      <c r="F25" s="15"/>
      <c r="H25" s="2" t="s">
        <v>59</v>
      </c>
      <c r="I25" s="14">
        <v>1.4E-2</v>
      </c>
    </row>
    <row r="26" spans="2:9" ht="18" customHeight="1">
      <c r="B26" s="7" t="str">
        <f t="shared" si="0"/>
        <v xml:space="preserve">  ทางน้ำเปิดดาดผิว </v>
      </c>
      <c r="C26" s="9" t="s">
        <v>23</v>
      </c>
      <c r="D26" s="13">
        <v>1.4999999999999999E-2</v>
      </c>
      <c r="E26" s="15"/>
      <c r="F26" s="15"/>
      <c r="H26" s="2" t="s">
        <v>60</v>
      </c>
      <c r="I26" s="14">
        <v>1.4999999999999999E-2</v>
      </c>
    </row>
    <row r="27" spans="2:9" ht="18" customHeight="1">
      <c r="B27" s="7" t="str">
        <f t="shared" si="0"/>
        <v xml:space="preserve">  ทางน้ำเปิดดาดผิว </v>
      </c>
      <c r="C27" s="9" t="s">
        <v>24</v>
      </c>
      <c r="D27" s="13">
        <v>1.6E-2</v>
      </c>
      <c r="E27" s="15"/>
      <c r="F27" s="15"/>
      <c r="H27" s="2" t="s">
        <v>61</v>
      </c>
      <c r="I27" s="14">
        <v>1.6E-2</v>
      </c>
    </row>
    <row r="28" spans="2:9" ht="18" customHeight="1">
      <c r="B28" s="7" t="str">
        <f t="shared" si="0"/>
        <v xml:space="preserve">  ทางน้ำเปิดดาดผิว </v>
      </c>
      <c r="C28" s="9" t="s">
        <v>25</v>
      </c>
      <c r="D28" s="13">
        <v>2.1999999999999999E-2</v>
      </c>
      <c r="E28" s="15"/>
      <c r="F28" s="15"/>
      <c r="H28" s="2" t="s">
        <v>62</v>
      </c>
      <c r="I28" s="14">
        <v>2.1999999999999999E-2</v>
      </c>
    </row>
    <row r="29" spans="2:9" ht="18" customHeight="1">
      <c r="B29" s="8" t="str">
        <f>B28</f>
        <v xml:space="preserve">  ทางน้ำเปิดดาดผิว </v>
      </c>
      <c r="C29" s="9" t="s">
        <v>26</v>
      </c>
      <c r="D29" s="13">
        <v>2.5000000000000001E-2</v>
      </c>
      <c r="E29" s="15"/>
      <c r="F29" s="15"/>
      <c r="H29" s="2" t="s">
        <v>63</v>
      </c>
      <c r="I29" s="14">
        <v>2.5000000000000001E-2</v>
      </c>
    </row>
    <row r="30" spans="2:9">
      <c r="C30" s="5"/>
    </row>
    <row r="31" spans="2:9">
      <c r="C31" s="5"/>
    </row>
  </sheetData>
  <pageMargins left="0.7" right="0.7" top="0.75" bottom="0.75"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F82EA-CD1B-4E99-8805-D4AC508CC87B}">
  <dimension ref="B2:F15"/>
  <sheetViews>
    <sheetView tabSelected="1" zoomScale="66" zoomScaleNormal="66" workbookViewId="0">
      <selection activeCell="B15" sqref="B15:F15"/>
    </sheetView>
  </sheetViews>
  <sheetFormatPr defaultRowHeight="15"/>
  <cols>
    <col min="1" max="1" width="9.140625" style="1"/>
    <col min="2" max="2" width="12.85546875" style="1" customWidth="1"/>
    <col min="3" max="3" width="12.7109375" style="1" customWidth="1"/>
    <col min="4" max="4" width="52.5703125" style="1" customWidth="1"/>
    <col min="5" max="5" width="15.42578125" style="1" customWidth="1"/>
    <col min="6" max="6" width="16.42578125" style="1" customWidth="1"/>
    <col min="7" max="16384" width="9.140625" style="1"/>
  </cols>
  <sheetData>
    <row r="2" spans="2:6" ht="19.5">
      <c r="B2" s="114" t="s">
        <v>107</v>
      </c>
      <c r="C2" s="115"/>
      <c r="D2" s="113"/>
      <c r="E2" s="116"/>
    </row>
    <row r="3" spans="2:6" ht="20.25" thickBot="1">
      <c r="B3" s="117" t="s">
        <v>148</v>
      </c>
      <c r="C3" s="112"/>
      <c r="D3" s="113"/>
      <c r="E3" s="113"/>
    </row>
    <row r="4" spans="2:6" ht="20.25" thickBot="1">
      <c r="B4" s="118" t="s">
        <v>143</v>
      </c>
      <c r="C4" s="119" t="s">
        <v>144</v>
      </c>
      <c r="D4" s="120" t="s">
        <v>145</v>
      </c>
      <c r="E4" s="121" t="s">
        <v>146</v>
      </c>
      <c r="F4" s="121" t="s">
        <v>150</v>
      </c>
    </row>
    <row r="5" spans="2:6" ht="15.75">
      <c r="B5" s="122">
        <v>44717</v>
      </c>
      <c r="C5" s="123" t="s">
        <v>147</v>
      </c>
      <c r="D5" s="124" t="s">
        <v>149</v>
      </c>
      <c r="E5" s="125">
        <v>218</v>
      </c>
      <c r="F5" s="125" t="s">
        <v>151</v>
      </c>
    </row>
    <row r="6" spans="2:6" ht="15.75">
      <c r="B6" s="122"/>
      <c r="C6" s="123"/>
      <c r="D6" s="124"/>
      <c r="E6" s="125"/>
      <c r="F6" s="125"/>
    </row>
    <row r="7" spans="2:6" ht="15.75">
      <c r="B7" s="122"/>
      <c r="C7" s="123"/>
      <c r="D7" s="124"/>
      <c r="E7" s="125"/>
      <c r="F7" s="125"/>
    </row>
    <row r="8" spans="2:6" ht="15.75">
      <c r="B8" s="122"/>
      <c r="C8" s="123"/>
      <c r="D8" s="124"/>
      <c r="E8" s="125"/>
      <c r="F8" s="125"/>
    </row>
    <row r="9" spans="2:6" ht="15.75">
      <c r="B9" s="122"/>
      <c r="C9" s="123"/>
      <c r="D9" s="124"/>
      <c r="E9" s="125"/>
      <c r="F9" s="125"/>
    </row>
    <row r="10" spans="2:6" ht="15.75">
      <c r="B10" s="122"/>
      <c r="C10" s="123"/>
      <c r="D10" s="124"/>
      <c r="E10" s="125"/>
      <c r="F10" s="125"/>
    </row>
    <row r="11" spans="2:6" ht="15.75">
      <c r="B11" s="122"/>
      <c r="C11" s="123"/>
      <c r="D11" s="124"/>
      <c r="E11" s="125"/>
      <c r="F11" s="125"/>
    </row>
    <row r="12" spans="2:6" ht="15.75">
      <c r="B12" s="126"/>
      <c r="C12" s="127"/>
      <c r="D12" s="130"/>
      <c r="E12" s="125"/>
      <c r="F12" s="125"/>
    </row>
    <row r="13" spans="2:6" ht="16.5" thickBot="1">
      <c r="B13" s="131"/>
      <c r="C13" s="128"/>
      <c r="D13" s="132"/>
      <c r="E13" s="129"/>
      <c r="F13" s="129"/>
    </row>
    <row r="15" spans="2:6" ht="275.25" customHeight="1">
      <c r="B15" s="174" t="s">
        <v>152</v>
      </c>
      <c r="C15" s="174"/>
      <c r="D15" s="174"/>
      <c r="E15" s="174"/>
      <c r="F15" s="174"/>
    </row>
  </sheetData>
  <mergeCells count="1">
    <mergeCell ref="B15:F15"/>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Pipe</vt:lpstr>
      <vt:lpstr>Trapezoidal</vt:lpstr>
      <vt:lpstr>Rectangular</vt:lpstr>
      <vt:lpstr>Triangle</vt:lpstr>
      <vt:lpstr>n</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2024-06-07T01:38:53Z</cp:lastPrinted>
  <dcterms:created xsi:type="dcterms:W3CDTF">2022-05-17T16:03:02Z</dcterms:created>
  <dcterms:modified xsi:type="dcterms:W3CDTF">2024-06-07T12:28:32Z</dcterms:modified>
</cp:coreProperties>
</file>