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7515" windowHeight="8700"/>
  </bookViews>
  <sheets>
    <sheet name="ออกแบบคานUSD" sheetId="1" r:id="rId1"/>
  </sheets>
  <definedNames>
    <definedName name="_xlnm.Print_Area" localSheetId="0">ออกแบบคานUSD!$A$1:$L$53</definedName>
  </definedNames>
  <calcPr calcId="125725"/>
</workbook>
</file>

<file path=xl/calcChain.xml><?xml version="1.0" encoding="utf-8"?>
<calcChain xmlns="http://schemas.openxmlformats.org/spreadsheetml/2006/main">
  <c r="K1" i="1"/>
  <c r="D14"/>
  <c r="E17"/>
  <c r="D18" s="1"/>
  <c r="Y13"/>
  <c r="Y14"/>
  <c r="Y15"/>
  <c r="Y16"/>
  <c r="Y17"/>
  <c r="Y18"/>
  <c r="V12"/>
  <c r="V15"/>
  <c r="W15"/>
  <c r="V16"/>
  <c r="W16"/>
  <c r="V17"/>
  <c r="W17"/>
  <c r="V14"/>
  <c r="W14"/>
  <c r="T12"/>
  <c r="T15"/>
  <c r="U15"/>
  <c r="T16"/>
  <c r="U16"/>
  <c r="T17"/>
  <c r="U17"/>
  <c r="T14"/>
  <c r="U14"/>
  <c r="R12"/>
  <c r="R15"/>
  <c r="S15"/>
  <c r="R16"/>
  <c r="S16"/>
  <c r="R17"/>
  <c r="S17"/>
  <c r="R14"/>
  <c r="S14"/>
  <c r="P12"/>
  <c r="P15"/>
  <c r="Q15"/>
  <c r="P16"/>
  <c r="Q16"/>
  <c r="P17"/>
  <c r="Q17"/>
  <c r="P14"/>
  <c r="Q14"/>
  <c r="W18"/>
  <c r="U18"/>
  <c r="S18"/>
  <c r="Q18"/>
  <c r="W13"/>
  <c r="U13"/>
  <c r="S13"/>
  <c r="Q13"/>
  <c r="O14"/>
  <c r="O15"/>
  <c r="O16"/>
  <c r="O17"/>
  <c r="O18"/>
  <c r="O13"/>
  <c r="X12"/>
  <c r="X15" s="1"/>
  <c r="N12"/>
  <c r="N15"/>
  <c r="N16"/>
  <c r="N17"/>
  <c r="X14"/>
  <c r="N14"/>
  <c r="K28"/>
  <c r="H16" s="1"/>
  <c r="K23"/>
  <c r="H15"/>
  <c r="I27"/>
  <c r="I23"/>
  <c r="A23"/>
  <c r="B22"/>
  <c r="D19"/>
  <c r="I12"/>
  <c r="I11"/>
  <c r="C23"/>
  <c r="C24"/>
  <c r="D23"/>
  <c r="D24"/>
  <c r="D25"/>
  <c r="C25"/>
  <c r="C27"/>
  <c r="C28"/>
  <c r="C29"/>
  <c r="D29"/>
  <c r="D28"/>
  <c r="D27"/>
  <c r="I6"/>
  <c r="I5"/>
  <c r="J26"/>
  <c r="E45" s="1"/>
  <c r="E47"/>
  <c r="I26"/>
  <c r="E40"/>
  <c r="X16" l="1"/>
  <c r="X17"/>
  <c r="E44"/>
  <c r="E30"/>
  <c r="E46"/>
  <c r="E48"/>
  <c r="E41"/>
  <c r="E42" s="1"/>
  <c r="E43"/>
  <c r="K24"/>
  <c r="F31"/>
  <c r="K29"/>
  <c r="L27" s="1"/>
  <c r="G30"/>
  <c r="J18"/>
  <c r="J19" s="1"/>
  <c r="I42" l="1"/>
  <c r="I46"/>
  <c r="I44"/>
  <c r="F49"/>
  <c r="I49" s="1"/>
  <c r="C49"/>
  <c r="G31"/>
  <c r="J36"/>
  <c r="J33"/>
  <c r="J37"/>
  <c r="E38" s="1"/>
  <c r="B36" s="1"/>
  <c r="K19"/>
  <c r="E33"/>
  <c r="F34" s="1"/>
  <c r="E35" s="1"/>
  <c r="J38" s="1"/>
  <c r="B37" s="1"/>
  <c r="J34"/>
  <c r="B20"/>
  <c r="J35"/>
  <c r="I48" l="1"/>
</calcChain>
</file>

<file path=xl/sharedStrings.xml><?xml version="1.0" encoding="utf-8"?>
<sst xmlns="http://schemas.openxmlformats.org/spreadsheetml/2006/main" count="127" uniqueCount="91">
  <si>
    <t>1.1 คอนกรีต</t>
  </si>
  <si>
    <t>fc' =</t>
  </si>
  <si>
    <t>Ec =</t>
  </si>
  <si>
    <t>หน่วยน้ำหนัก =</t>
  </si>
  <si>
    <t>กก/ตร.ซม</t>
  </si>
  <si>
    <t>กก/ลบ.ม</t>
  </si>
  <si>
    <t>Es =</t>
  </si>
  <si>
    <t>1. คุณสมบัติของวัสดุ</t>
  </si>
  <si>
    <t>3. กำลังประลัย</t>
  </si>
  <si>
    <t>Mu =</t>
  </si>
  <si>
    <t>Vu =</t>
  </si>
  <si>
    <t>Tu =</t>
  </si>
  <si>
    <t>กก.ม</t>
  </si>
  <si>
    <t>กก.</t>
  </si>
  <si>
    <t>4. คุณสมบัติของหน้าตัดคาน</t>
  </si>
  <si>
    <t xml:space="preserve">กว้าง b = </t>
  </si>
  <si>
    <t>ซม.</t>
  </si>
  <si>
    <t>ความลึก h =</t>
  </si>
  <si>
    <t>ระยะห่างเหล็ก @ชั้น =</t>
  </si>
  <si>
    <t>ระยะคอนกรีตหุ้มเหล็ก =</t>
  </si>
  <si>
    <t>ม.</t>
  </si>
  <si>
    <t>6. ตรวจสอบแรงเฉือน</t>
  </si>
  <si>
    <t xml:space="preserve">Span คานยาว L = </t>
  </si>
  <si>
    <t>2. ตัวคูณลดกำลังและParameters</t>
  </si>
  <si>
    <r>
      <t>b</t>
    </r>
    <r>
      <rPr>
        <vertAlign val="subscript"/>
        <sz val="8"/>
        <rFont val="Times New Roman"/>
        <family val="1"/>
        <charset val="222"/>
      </rPr>
      <t>1</t>
    </r>
    <r>
      <rPr>
        <vertAlign val="subscript"/>
        <sz val="10"/>
        <rFont val="Times New Roman"/>
        <family val="1"/>
      </rPr>
      <t xml:space="preserve">   </t>
    </r>
    <r>
      <rPr>
        <vertAlign val="subscript"/>
        <sz val="12"/>
        <rFont val="Arial"/>
        <family val="2"/>
      </rPr>
      <t>=</t>
    </r>
  </si>
  <si>
    <t>5. ปริมาณเหล็กเสริมรับแรงดัดที่ต้องการ</t>
  </si>
  <si>
    <t>As'</t>
  </si>
  <si>
    <t>As</t>
  </si>
  <si>
    <t>เหล็กปลอก</t>
  </si>
  <si>
    <t>d ' จริง =</t>
  </si>
  <si>
    <t>d   จริง =</t>
  </si>
  <si>
    <t>r      =</t>
  </si>
  <si>
    <r>
      <t xml:space="preserve">r   </t>
    </r>
    <r>
      <rPr>
        <sz val="10"/>
        <rFont val="Arial"/>
        <family val="2"/>
      </rPr>
      <t>'</t>
    </r>
    <r>
      <rPr>
        <sz val="10"/>
        <rFont val="Symbol"/>
        <family val="1"/>
        <charset val="2"/>
      </rPr>
      <t xml:space="preserve">   =</t>
    </r>
  </si>
  <si>
    <t>==&gt;</t>
  </si>
  <si>
    <t>หา As1</t>
  </si>
  <si>
    <t>หา As2</t>
  </si>
  <si>
    <t>ตร.ซม</t>
  </si>
  <si>
    <r>
      <t xml:space="preserve">เลือกใช้      </t>
    </r>
    <r>
      <rPr>
        <sz val="12"/>
        <rFont val="Arial"/>
        <family val="2"/>
      </rPr>
      <t xml:space="preserve">fs ' </t>
    </r>
    <r>
      <rPr>
        <sz val="10"/>
        <rFont val="Arial"/>
        <charset val="222"/>
      </rPr>
      <t>=</t>
    </r>
  </si>
  <si>
    <r>
      <t xml:space="preserve">As1  = </t>
    </r>
    <r>
      <rPr>
        <sz val="12"/>
        <rFont val="Symbol"/>
        <family val="1"/>
        <charset val="2"/>
      </rPr>
      <t>r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 xml:space="preserve">*b*d </t>
    </r>
    <r>
      <rPr>
        <sz val="10"/>
        <rFont val="Arial"/>
        <family val="2"/>
      </rPr>
      <t xml:space="preserve"> = </t>
    </r>
  </si>
  <si>
    <r>
      <t xml:space="preserve">r - r  </t>
    </r>
    <r>
      <rPr>
        <sz val="12"/>
        <rFont val="Arial"/>
        <family val="2"/>
      </rPr>
      <t>'</t>
    </r>
    <r>
      <rPr>
        <sz val="10"/>
        <rFont val="Arial"/>
        <family val="2"/>
      </rPr>
      <t xml:space="preserve"> =</t>
    </r>
    <r>
      <rPr>
        <sz val="8"/>
        <rFont val="Arial"/>
        <family val="2"/>
      </rPr>
      <t>( As-As' ) / b*d</t>
    </r>
    <r>
      <rPr>
        <sz val="10"/>
        <rFont val="Arial"/>
        <family val="2"/>
      </rPr>
      <t xml:space="preserve"> =</t>
    </r>
    <r>
      <rPr>
        <sz val="10"/>
        <rFont val="Symbol"/>
        <family val="1"/>
        <charset val="2"/>
      </rPr>
      <t xml:space="preserve"> </t>
    </r>
  </si>
  <si>
    <r>
      <t xml:space="preserve">C </t>
    </r>
    <r>
      <rPr>
        <sz val="10"/>
        <rFont val="Arial"/>
        <charset val="222"/>
      </rPr>
      <t xml:space="preserve">= a / </t>
    </r>
    <r>
      <rPr>
        <sz val="10"/>
        <rFont val="Symbol"/>
        <family val="1"/>
        <charset val="2"/>
      </rPr>
      <t xml:space="preserve"> </t>
    </r>
    <r>
      <rPr>
        <sz val="12"/>
        <rFont val="Symbol"/>
        <family val="1"/>
        <charset val="2"/>
      </rPr>
      <t>b</t>
    </r>
    <r>
      <rPr>
        <sz val="8"/>
        <rFont val="Arial"/>
        <family val="2"/>
      </rPr>
      <t>1</t>
    </r>
    <r>
      <rPr>
        <sz val="10"/>
        <rFont val="Arial"/>
        <charset val="222"/>
      </rPr>
      <t xml:space="preserve">  =</t>
    </r>
  </si>
  <si>
    <r>
      <t>f</t>
    </r>
    <r>
      <rPr>
        <sz val="8"/>
        <rFont val="Arial"/>
        <family val="2"/>
      </rPr>
      <t>v</t>
    </r>
    <r>
      <rPr>
        <sz val="12"/>
        <rFont val="Arial"/>
        <family val="2"/>
      </rPr>
      <t>V</t>
    </r>
    <r>
      <rPr>
        <sz val="10"/>
        <rFont val="Arial"/>
        <family val="2"/>
      </rPr>
      <t>s</t>
    </r>
    <r>
      <rPr>
        <sz val="8"/>
        <rFont val="Arial"/>
        <charset val="222"/>
      </rPr>
      <t xml:space="preserve"> ที่ต้องการ =</t>
    </r>
  </si>
  <si>
    <r>
      <t>Check</t>
    </r>
    <r>
      <rPr>
        <sz val="10"/>
        <rFont val="Arial"/>
        <charset val="222"/>
      </rPr>
      <t xml:space="preserve">        @ จริง   &lt;=     @ requi </t>
    </r>
  </si>
  <si>
    <r>
      <t xml:space="preserve">Smax =              </t>
    </r>
    <r>
      <rPr>
        <sz val="8"/>
        <rFont val="Arial"/>
        <charset val="222"/>
      </rPr>
      <t xml:space="preserve">  d / 2  </t>
    </r>
    <r>
      <rPr>
        <sz val="10"/>
        <rFont val="Arial"/>
        <family val="2"/>
      </rPr>
      <t>=</t>
    </r>
  </si>
  <si>
    <r>
      <t xml:space="preserve">Vs = ( Vu - </t>
    </r>
    <r>
      <rPr>
        <sz val="12"/>
        <rFont val="Symbol"/>
        <family val="1"/>
        <charset val="2"/>
      </rPr>
      <t>f</t>
    </r>
    <r>
      <rPr>
        <sz val="10"/>
        <rFont val="Arial"/>
        <family val="2"/>
      </rPr>
      <t>v</t>
    </r>
    <r>
      <rPr>
        <sz val="10"/>
        <rFont val="Arial"/>
        <charset val="222"/>
      </rPr>
      <t xml:space="preserve"> Vc ) / </t>
    </r>
    <r>
      <rPr>
        <sz val="12"/>
        <rFont val="Symbol"/>
        <family val="1"/>
        <charset val="2"/>
      </rPr>
      <t>f</t>
    </r>
    <r>
      <rPr>
        <sz val="10"/>
        <rFont val="Arial"/>
        <family val="2"/>
      </rPr>
      <t>v =</t>
    </r>
  </si>
  <si>
    <r>
      <t xml:space="preserve">Spreadsheet  By  </t>
    </r>
    <r>
      <rPr>
        <b/>
        <i/>
        <sz val="8"/>
        <rFont val="Arial"/>
        <family val="2"/>
      </rPr>
      <t xml:space="preserve"> Nopadon Jamroenchaikul.</t>
    </r>
  </si>
  <si>
    <t xml:space="preserve">Calculate by ……………………………………………………..Civil Engineer </t>
  </si>
  <si>
    <t>ออกแบบคาน คสล. โดยวิธีกำลัง</t>
  </si>
  <si>
    <r>
      <t>f</t>
    </r>
    <r>
      <rPr>
        <vertAlign val="subscript"/>
        <sz val="12"/>
        <rFont val="Arial"/>
        <family val="2"/>
      </rPr>
      <t>y</t>
    </r>
    <r>
      <rPr>
        <sz val="12"/>
        <rFont val="Arial"/>
        <charset val="222"/>
      </rPr>
      <t xml:space="preserve"> =</t>
    </r>
  </si>
  <si>
    <r>
      <t>f</t>
    </r>
    <r>
      <rPr>
        <vertAlign val="subscript"/>
        <sz val="12"/>
        <rFont val="Arial"/>
        <family val="2"/>
      </rPr>
      <t>vy</t>
    </r>
    <r>
      <rPr>
        <sz val="12"/>
        <rFont val="Arial"/>
        <charset val="222"/>
      </rPr>
      <t xml:space="preserve"> =</t>
    </r>
  </si>
  <si>
    <t>ชั้นที่ 1</t>
  </si>
  <si>
    <t>ชั้นที่ 2</t>
  </si>
  <si>
    <t>ชั้นที่ 3</t>
  </si>
  <si>
    <t>Use   Smax   =</t>
  </si>
  <si>
    <r>
      <t>Check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&gt;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min </t>
    </r>
  </si>
  <si>
    <t>รับ Moment - หรือ + =</t>
  </si>
  <si>
    <t xml:space="preserve">1.2 เหล็กเสริม </t>
  </si>
  <si>
    <t xml:space="preserve"> d ' =</t>
  </si>
  <si>
    <t xml:space="preserve"> d  =</t>
  </si>
  <si>
    <r>
      <t>r</t>
    </r>
    <r>
      <rPr>
        <sz val="10"/>
        <rFont val="Arial"/>
        <charset val="222"/>
      </rPr>
      <t xml:space="preserve"> min = 14 / </t>
    </r>
    <r>
      <rPr>
        <sz val="12"/>
        <rFont val="Arial"/>
        <family val="2"/>
      </rPr>
      <t>f</t>
    </r>
    <r>
      <rPr>
        <sz val="10"/>
        <rFont val="Arial"/>
        <charset val="222"/>
      </rPr>
      <t>y =</t>
    </r>
  </si>
  <si>
    <r>
      <t xml:space="preserve">         </t>
    </r>
    <r>
      <rPr>
        <sz val="14"/>
        <rFont val="Symbol"/>
        <family val="1"/>
        <charset val="2"/>
      </rPr>
      <t xml:space="preserve">  f</t>
    </r>
    <r>
      <rPr>
        <sz val="10"/>
        <rFont val="Symbol"/>
        <family val="1"/>
        <charset val="2"/>
      </rPr>
      <t xml:space="preserve"> </t>
    </r>
    <r>
      <rPr>
        <vertAlign val="subscript"/>
        <sz val="10"/>
        <rFont val="Times New Roman"/>
        <family val="1"/>
        <charset val="222"/>
      </rPr>
      <t>b</t>
    </r>
    <r>
      <rPr>
        <sz val="10"/>
        <rFont val="Times New Roman"/>
        <family val="1"/>
        <charset val="222"/>
      </rPr>
      <t xml:space="preserve">  =</t>
    </r>
  </si>
  <si>
    <r>
      <t xml:space="preserve">  </t>
    </r>
    <r>
      <rPr>
        <sz val="12"/>
        <rFont val="Symbol"/>
        <family val="1"/>
        <charset val="2"/>
      </rPr>
      <t xml:space="preserve"> </t>
    </r>
    <r>
      <rPr>
        <sz val="14"/>
        <rFont val="Symbol"/>
        <family val="1"/>
        <charset val="2"/>
      </rPr>
      <t xml:space="preserve">f </t>
    </r>
    <r>
      <rPr>
        <vertAlign val="subscript"/>
        <sz val="10"/>
        <rFont val="Times New Roman"/>
        <family val="1"/>
        <charset val="222"/>
      </rPr>
      <t xml:space="preserve">v   </t>
    </r>
    <r>
      <rPr>
        <sz val="14"/>
        <rFont val="Times New Roman"/>
        <family val="1"/>
        <charset val="222"/>
      </rPr>
      <t>,</t>
    </r>
    <r>
      <rPr>
        <sz val="10"/>
        <rFont val="Times New Roman"/>
        <family val="1"/>
        <charset val="222"/>
      </rPr>
      <t xml:space="preserve"> </t>
    </r>
    <r>
      <rPr>
        <sz val="12"/>
        <rFont val="Times New Roman"/>
        <family val="1"/>
        <charset val="222"/>
      </rPr>
      <t xml:space="preserve"> </t>
    </r>
    <r>
      <rPr>
        <sz val="14"/>
        <rFont val="Symbol"/>
        <family val="1"/>
        <charset val="2"/>
      </rPr>
      <t xml:space="preserve">f </t>
    </r>
    <r>
      <rPr>
        <vertAlign val="subscript"/>
        <sz val="10"/>
        <rFont val="Times New Roman"/>
        <family val="1"/>
        <charset val="222"/>
      </rPr>
      <t>t</t>
    </r>
    <r>
      <rPr>
        <sz val="10"/>
        <rFont val="Times New Roman"/>
        <family val="1"/>
        <charset val="222"/>
      </rPr>
      <t xml:space="preserve">  =</t>
    </r>
  </si>
  <si>
    <r>
      <t xml:space="preserve">Ru = M1 / ( </t>
    </r>
    <r>
      <rPr>
        <sz val="14"/>
        <rFont val="Symbol"/>
        <family val="1"/>
        <charset val="2"/>
      </rP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b  d^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  =</t>
    </r>
  </si>
  <si>
    <r>
      <t>r</t>
    </r>
    <r>
      <rPr>
        <sz val="12"/>
        <rFont val="Symbol"/>
        <family val="1"/>
        <charset val="2"/>
      </rPr>
      <t xml:space="preserve"> </t>
    </r>
    <r>
      <rPr>
        <sz val="10"/>
        <rFont val="Arial"/>
        <family val="2"/>
      </rPr>
      <t>=</t>
    </r>
    <r>
      <rPr>
        <sz val="9"/>
        <rFont val="Arial"/>
        <family val="2"/>
      </rPr>
      <t xml:space="preserve"> ( 0.85 fc' / fy )*[ 1 - ( 1 - 2* Ru / 0.85 fc' )^</t>
    </r>
    <r>
      <rPr>
        <vertAlign val="superscript"/>
        <sz val="9"/>
        <rFont val="Arial"/>
        <family val="2"/>
      </rPr>
      <t>0.5</t>
    </r>
    <r>
      <rPr>
        <sz val="9"/>
        <rFont val="Arial"/>
        <family val="2"/>
      </rPr>
      <t xml:space="preserve"> ]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=</t>
    </r>
    <r>
      <rPr>
        <sz val="8"/>
        <rFont val="Arial"/>
        <family val="2"/>
      </rPr>
      <t xml:space="preserve"> </t>
    </r>
  </si>
  <si>
    <r>
      <t>2.12  fc' ^</t>
    </r>
    <r>
      <rPr>
        <vertAlign val="superscript"/>
        <sz val="9"/>
        <rFont val="Arial"/>
        <family val="2"/>
      </rPr>
      <t>0.5</t>
    </r>
    <r>
      <rPr>
        <sz val="9"/>
        <rFont val="Arial"/>
        <charset val="222"/>
      </rPr>
      <t xml:space="preserve">  bw d =</t>
    </r>
  </si>
  <si>
    <r>
      <t>1.1     fc' ^</t>
    </r>
    <r>
      <rPr>
        <vertAlign val="superscript"/>
        <sz val="9"/>
        <rFont val="Arial"/>
        <family val="2"/>
      </rPr>
      <t xml:space="preserve">0.5 </t>
    </r>
    <r>
      <rPr>
        <sz val="9"/>
        <rFont val="Arial"/>
        <charset val="222"/>
      </rPr>
      <t xml:space="preserve"> bw d =</t>
    </r>
  </si>
  <si>
    <r>
      <t xml:space="preserve">Smax =  </t>
    </r>
    <r>
      <rPr>
        <sz val="8"/>
        <rFont val="Arial"/>
        <charset val="222"/>
      </rPr>
      <t xml:space="preserve">Av fy / 3.5*bw   </t>
    </r>
    <r>
      <rPr>
        <sz val="10"/>
        <rFont val="Arial"/>
        <family val="2"/>
      </rPr>
      <t>=</t>
    </r>
  </si>
  <si>
    <r>
      <t xml:space="preserve">Smax = </t>
    </r>
    <r>
      <rPr>
        <sz val="8"/>
        <rFont val="Arial"/>
        <charset val="222"/>
      </rPr>
      <t>48  Dia</t>
    </r>
    <r>
      <rPr>
        <sz val="10"/>
        <rFont val="Arial"/>
        <family val="2"/>
      </rPr>
      <t>เหล็กเมน =</t>
    </r>
  </si>
  <si>
    <r>
      <t>Check</t>
    </r>
    <r>
      <rPr>
        <sz val="10"/>
        <rFont val="Arial"/>
        <charset val="222"/>
      </rPr>
      <t xml:space="preserve">    Vs &lt;= 2.12 fc' ^</t>
    </r>
    <r>
      <rPr>
        <vertAlign val="superscript"/>
        <sz val="10"/>
        <rFont val="Arial"/>
        <family val="2"/>
      </rPr>
      <t>0.5</t>
    </r>
    <r>
      <rPr>
        <sz val="10"/>
        <rFont val="Arial"/>
        <charset val="222"/>
      </rPr>
      <t xml:space="preserve">  bw d</t>
    </r>
  </si>
  <si>
    <r>
      <t>Check</t>
    </r>
    <r>
      <rPr>
        <sz val="10"/>
        <rFont val="Arial"/>
        <charset val="222"/>
      </rPr>
      <t xml:space="preserve">     Vs &gt;= 1.10 fc' ^</t>
    </r>
    <r>
      <rPr>
        <vertAlign val="superscript"/>
        <sz val="10"/>
        <rFont val="Arial"/>
        <family val="2"/>
      </rPr>
      <t>0.5</t>
    </r>
    <r>
      <rPr>
        <sz val="10"/>
        <rFont val="Arial"/>
        <charset val="222"/>
      </rPr>
      <t xml:space="preserve">  bw d</t>
    </r>
  </si>
  <si>
    <r>
      <t>f</t>
    </r>
    <r>
      <rPr>
        <sz val="8"/>
        <rFont val="Arial"/>
        <family val="2"/>
      </rPr>
      <t>v</t>
    </r>
    <r>
      <rPr>
        <sz val="12"/>
        <rFont val="Arial"/>
        <charset val="222"/>
      </rPr>
      <t>V</t>
    </r>
    <r>
      <rPr>
        <sz val="10"/>
        <rFont val="Arial"/>
        <family val="2"/>
      </rPr>
      <t>s</t>
    </r>
    <r>
      <rPr>
        <sz val="8"/>
        <rFont val="Arial"/>
        <charset val="222"/>
      </rPr>
      <t xml:space="preserve"> (จริง) =  </t>
    </r>
    <r>
      <rPr>
        <sz val="12"/>
        <rFont val="Symbol"/>
        <family val="1"/>
        <charset val="2"/>
      </rPr>
      <t>f</t>
    </r>
    <r>
      <rPr>
        <sz val="8"/>
        <rFont val="Arial"/>
        <family val="2"/>
      </rPr>
      <t>v</t>
    </r>
    <r>
      <rPr>
        <sz val="8"/>
        <rFont val="Arial"/>
        <charset val="222"/>
      </rPr>
      <t xml:space="preserve"> </t>
    </r>
    <r>
      <rPr>
        <sz val="10"/>
        <rFont val="Arial"/>
        <family val="2"/>
      </rPr>
      <t>A</t>
    </r>
    <r>
      <rPr>
        <sz val="8"/>
        <rFont val="Arial"/>
        <charset val="222"/>
      </rPr>
      <t xml:space="preserve">v </t>
    </r>
    <r>
      <rPr>
        <sz val="10"/>
        <rFont val="Arial"/>
        <family val="2"/>
      </rPr>
      <t>f</t>
    </r>
    <r>
      <rPr>
        <sz val="8"/>
        <rFont val="Arial"/>
        <charset val="222"/>
      </rPr>
      <t>vy d / S  =</t>
    </r>
  </si>
  <si>
    <r>
      <t>r</t>
    </r>
    <r>
      <rPr>
        <sz val="7"/>
        <rFont val="Arial"/>
        <family val="2"/>
      </rPr>
      <t xml:space="preserve"> cy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 xml:space="preserve">= </t>
    </r>
    <r>
      <rPr>
        <sz val="8"/>
        <rFont val="Arial"/>
        <family val="2"/>
      </rPr>
      <t>0.85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 xml:space="preserve">1 (fc' /fy) [ 6120 / (6120 - fy)] </t>
    </r>
    <r>
      <rPr>
        <sz val="10"/>
        <rFont val="Arial"/>
        <family val="2"/>
      </rPr>
      <t>(d'/d) =</t>
    </r>
    <r>
      <rPr>
        <sz val="10"/>
        <rFont val="Symbol"/>
        <family val="1"/>
        <charset val="2"/>
      </rPr>
      <t xml:space="preserve"> </t>
    </r>
  </si>
  <si>
    <r>
      <t xml:space="preserve">a = </t>
    </r>
    <r>
      <rPr>
        <sz val="8"/>
        <rFont val="Arial"/>
        <family val="2"/>
      </rPr>
      <t>(As1 fy ) / (0.85 fc' b )</t>
    </r>
    <r>
      <rPr>
        <sz val="10"/>
        <rFont val="Arial"/>
        <family val="2"/>
      </rPr>
      <t xml:space="preserve"> = </t>
    </r>
  </si>
  <si>
    <r>
      <t xml:space="preserve">fs ' = </t>
    </r>
    <r>
      <rPr>
        <sz val="8"/>
        <rFont val="Arial"/>
        <family val="2"/>
      </rPr>
      <t xml:space="preserve"> 6120 (1 - (d' / c))</t>
    </r>
    <r>
      <rPr>
        <sz val="10"/>
        <rFont val="Arial"/>
        <charset val="222"/>
      </rPr>
      <t xml:space="preserve"> =</t>
    </r>
  </si>
  <si>
    <r>
      <t xml:space="preserve">  </t>
    </r>
    <r>
      <rPr>
        <sz val="11"/>
        <rFont val="Symbol"/>
        <family val="1"/>
        <charset val="2"/>
      </rPr>
      <t>f</t>
    </r>
    <r>
      <rPr>
        <sz val="11"/>
        <rFont val="Arial"/>
        <charset val="222"/>
      </rPr>
      <t xml:space="preserve"> M</t>
    </r>
    <r>
      <rPr>
        <vertAlign val="subscript"/>
        <sz val="11"/>
        <rFont val="Arial"/>
        <family val="2"/>
      </rPr>
      <t>R</t>
    </r>
    <r>
      <rPr>
        <sz val="11"/>
        <rFont val="Arial"/>
        <family val="2"/>
      </rPr>
      <t xml:space="preserve">    =   </t>
    </r>
    <r>
      <rPr>
        <sz val="11"/>
        <rFont val="Symbol"/>
        <family val="1"/>
        <charset val="2"/>
      </rPr>
      <t>f</t>
    </r>
    <r>
      <rPr>
        <vertAlign val="subscript"/>
        <sz val="11"/>
        <rFont val="Arial"/>
        <family val="2"/>
      </rPr>
      <t>b</t>
    </r>
    <r>
      <rPr>
        <sz val="11"/>
        <rFont val="Arial"/>
        <family val="2"/>
      </rPr>
      <t xml:space="preserve"> R</t>
    </r>
    <r>
      <rPr>
        <vertAlign val="subscript"/>
        <sz val="11"/>
        <rFont val="Arial"/>
        <family val="2"/>
      </rPr>
      <t>u</t>
    </r>
    <r>
      <rPr>
        <sz val="11"/>
        <rFont val="Arial"/>
        <family val="2"/>
      </rPr>
      <t xml:space="preserve">  b  d^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=</t>
    </r>
  </si>
  <si>
    <r>
      <t>R</t>
    </r>
    <r>
      <rPr>
        <vertAlign val="subscript"/>
        <sz val="11"/>
        <rFont val="Arial"/>
        <family val="2"/>
      </rPr>
      <t>u</t>
    </r>
    <r>
      <rPr>
        <sz val="11"/>
        <rFont val="Arial"/>
        <charset val="222"/>
      </rPr>
      <t xml:space="preserve"> = </t>
    </r>
    <r>
      <rPr>
        <sz val="11"/>
        <rFont val="Symbol"/>
        <family val="1"/>
        <charset val="2"/>
      </rPr>
      <t>r</t>
    </r>
    <r>
      <rPr>
        <sz val="11"/>
        <rFont val="Arial"/>
        <charset val="222"/>
      </rPr>
      <t xml:space="preserve"> 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 fy [1- 0.5882 </t>
    </r>
    <r>
      <rPr>
        <sz val="11"/>
        <rFont val="Symbol"/>
        <family val="1"/>
        <charset val="2"/>
      </rPr>
      <t>r</t>
    </r>
    <r>
      <rPr>
        <sz val="11"/>
        <rFont val="Arial"/>
        <charset val="222"/>
      </rPr>
      <t xml:space="preserve"> 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 xml:space="preserve"> (fy / fc' )]</t>
    </r>
    <r>
      <rPr>
        <sz val="11"/>
        <rFont val="Arial"/>
        <charset val="222"/>
      </rPr>
      <t xml:space="preserve">    =   </t>
    </r>
  </si>
  <si>
    <r>
      <t>As  requi  =As1+As' (fs'/fy)</t>
    </r>
    <r>
      <rPr>
        <b/>
        <sz val="11"/>
        <rFont val="Arial"/>
        <family val="2"/>
      </rPr>
      <t xml:space="preserve"> =</t>
    </r>
  </si>
  <si>
    <r>
      <t>As'  =</t>
    </r>
    <r>
      <rPr>
        <sz val="8"/>
        <rFont val="Arial"/>
        <family val="2"/>
      </rPr>
      <t xml:space="preserve"> (Mu - </t>
    </r>
    <r>
      <rPr>
        <sz val="12"/>
        <rFont val="Symbol"/>
        <family val="1"/>
        <charset val="2"/>
      </rPr>
      <t>f</t>
    </r>
    <r>
      <rPr>
        <sz val="8"/>
        <rFont val="Arial"/>
        <family val="2"/>
      </rPr>
      <t>b M1) / (</t>
    </r>
    <r>
      <rPr>
        <sz val="12"/>
        <rFont val="Arial"/>
        <family val="2"/>
      </rPr>
      <t xml:space="preserve"> </t>
    </r>
    <r>
      <rPr>
        <sz val="12"/>
        <rFont val="Symbol"/>
        <family val="1"/>
        <charset val="2"/>
      </rPr>
      <t>f</t>
    </r>
    <r>
      <rPr>
        <sz val="8"/>
        <rFont val="Arial"/>
        <family val="2"/>
      </rPr>
      <t xml:space="preserve">b fs' (d-d' )) </t>
    </r>
    <r>
      <rPr>
        <sz val="10"/>
        <rFont val="Arial"/>
        <family val="2"/>
      </rPr>
      <t>=</t>
    </r>
  </si>
  <si>
    <r>
      <t xml:space="preserve">As'  requi  </t>
    </r>
    <r>
      <rPr>
        <b/>
        <sz val="11"/>
        <rFont val="Arial"/>
        <family val="2"/>
      </rPr>
      <t xml:space="preserve">= </t>
    </r>
    <r>
      <rPr>
        <b/>
        <sz val="10"/>
        <rFont val="Arial"/>
        <family val="2"/>
      </rPr>
      <t xml:space="preserve">     </t>
    </r>
  </si>
  <si>
    <t>Layer1</t>
  </si>
  <si>
    <t>Layer2</t>
  </si>
  <si>
    <t>Layer3</t>
  </si>
  <si>
    <t>เมนบน</t>
  </si>
  <si>
    <t>เมนล่าง</t>
  </si>
  <si>
    <t>ตารางข้อมูลสำหรับกราฟที่ใช้แสดงเหล็กเสริม</t>
  </si>
  <si>
    <r>
      <t>f</t>
    </r>
    <r>
      <rPr>
        <vertAlign val="subscript"/>
        <sz val="12"/>
        <rFont val="Times New Roman"/>
        <family val="1"/>
        <charset val="222"/>
      </rPr>
      <t>v</t>
    </r>
    <r>
      <rPr>
        <sz val="12"/>
        <rFont val="Times New Roman"/>
        <family val="1"/>
        <charset val="222"/>
      </rPr>
      <t xml:space="preserve">Vc = </t>
    </r>
    <r>
      <rPr>
        <sz val="12"/>
        <rFont val="Symbol"/>
        <family val="1"/>
        <charset val="2"/>
      </rPr>
      <t>f</t>
    </r>
    <r>
      <rPr>
        <vertAlign val="subscript"/>
        <sz val="12"/>
        <rFont val="Times New Roman"/>
        <family val="1"/>
        <charset val="222"/>
      </rPr>
      <t xml:space="preserve">v </t>
    </r>
    <r>
      <rPr>
        <sz val="8"/>
        <rFont val="Arial"/>
        <family val="2"/>
      </rPr>
      <t>0.53 (fc' )^</t>
    </r>
    <r>
      <rPr>
        <vertAlign val="superscript"/>
        <sz val="8"/>
        <rFont val="Arial"/>
        <family val="2"/>
      </rPr>
      <t xml:space="preserve">0.5  </t>
    </r>
    <r>
      <rPr>
        <sz val="8"/>
        <rFont val="Arial"/>
        <family val="2"/>
      </rPr>
      <t xml:space="preserve">bw  d </t>
    </r>
    <r>
      <rPr>
        <sz val="12"/>
        <rFont val="Times New Roman"/>
        <family val="1"/>
      </rPr>
      <t>=</t>
    </r>
  </si>
  <si>
    <r>
      <t>r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 0.85</t>
    </r>
    <r>
      <rPr>
        <sz val="14"/>
        <rFont val="Symbol"/>
        <family val="1"/>
        <charset val="2"/>
      </rPr>
      <t>b</t>
    </r>
    <r>
      <rPr>
        <sz val="12"/>
        <rFont val="Arial"/>
        <family val="2"/>
      </rPr>
      <t>1(fc'/fy)[6120/(6120+fy)] =</t>
    </r>
  </si>
  <si>
    <r>
      <t>r</t>
    </r>
    <r>
      <rPr>
        <sz val="10"/>
        <rFont val="Arial"/>
        <family val="2"/>
      </rPr>
      <t xml:space="preserve"> max  =  0.75</t>
    </r>
    <r>
      <rPr>
        <sz val="14"/>
        <rFont val="Symbol"/>
        <family val="1"/>
        <charset val="2"/>
      </rPr>
      <t>r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 =</t>
    </r>
  </si>
  <si>
    <t>B1</t>
  </si>
  <si>
    <t>-</t>
  </si>
  <si>
    <t xml:space="preserve">RB  6 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</si>
</sst>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89" formatCode="0&quot;  -&quot;"/>
    <numFmt numFmtId="190" formatCode="&quot;DB&quot;0&quot;mm&quot;"/>
    <numFmt numFmtId="195" formatCode="0.0000"/>
    <numFmt numFmtId="196" formatCode="0.000"/>
    <numFmt numFmtId="197" formatCode="_-* #,##0.0_-;\-* #,##0.0_-;_-* &quot;-&quot;??_-;_-@_-"/>
    <numFmt numFmtId="198" formatCode="_-* #,##0_-;\-* #,##0_-;_-* &quot;-&quot;??_-;_-@_-"/>
    <numFmt numFmtId="205" formatCode="0&quot; ป&quot;"/>
    <numFmt numFmtId="206" formatCode="&quot;RB  &quot;0&quot;   mm&quot;"/>
    <numFmt numFmtId="210" formatCode="&quot;DB&quot;##&quot;mm&quot;;;;"/>
    <numFmt numFmtId="211" formatCode="#&quot;  -&quot;;;;"/>
    <numFmt numFmtId="213" formatCode="&quot;@ &quot;0.00#&quot; m.&quot;"/>
    <numFmt numFmtId="214" formatCode="&quot;DB&quot;0&quot;mm&quot;;0&quot; -&quot;"/>
  </numFmts>
  <fonts count="62">
    <font>
      <sz val="10"/>
      <name val="Arial"/>
      <charset val="222"/>
    </font>
    <font>
      <sz val="10"/>
      <name val="Arial"/>
      <charset val="222"/>
    </font>
    <font>
      <u/>
      <sz val="10"/>
      <name val="Arial"/>
      <charset val="222"/>
    </font>
    <font>
      <sz val="8"/>
      <name val="Arial"/>
      <charset val="222"/>
    </font>
    <font>
      <b/>
      <u/>
      <sz val="10"/>
      <name val="Arial"/>
      <family val="2"/>
    </font>
    <font>
      <sz val="8"/>
      <name val="Symbol"/>
      <family val="1"/>
      <charset val="2"/>
    </font>
    <font>
      <sz val="9"/>
      <name val="Times New Roman"/>
      <charset val="222"/>
    </font>
    <font>
      <vertAlign val="subscript"/>
      <sz val="8"/>
      <name val="Times New Roman"/>
      <family val="1"/>
      <charset val="222"/>
    </font>
    <font>
      <sz val="10"/>
      <name val="Symbol"/>
      <family val="1"/>
      <charset val="2"/>
    </font>
    <font>
      <vertAlign val="subscript"/>
      <sz val="10"/>
      <name val="Times New Roman"/>
      <family val="1"/>
      <charset val="222"/>
    </font>
    <font>
      <sz val="10"/>
      <name val="Times New Roman"/>
      <family val="1"/>
      <charset val="222"/>
    </font>
    <font>
      <sz val="12"/>
      <color indexed="10"/>
      <name val="Arial"/>
      <charset val="222"/>
    </font>
    <font>
      <sz val="10"/>
      <color indexed="10"/>
      <name val="Arial"/>
      <charset val="222"/>
    </font>
    <font>
      <sz val="10"/>
      <color indexed="12"/>
      <name val="Arial"/>
      <charset val="222"/>
    </font>
    <font>
      <u/>
      <sz val="12"/>
      <name val="Arial"/>
      <charset val="222"/>
    </font>
    <font>
      <sz val="8"/>
      <name val="Arial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12"/>
      <name val="Symbol"/>
      <family val="1"/>
      <charset val="2"/>
    </font>
    <font>
      <sz val="12"/>
      <name val="Times New Roman"/>
      <family val="1"/>
      <charset val="222"/>
    </font>
    <font>
      <vertAlign val="subscript"/>
      <sz val="10"/>
      <name val="Times New Roman"/>
      <family val="1"/>
    </font>
    <font>
      <vertAlign val="subscript"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charset val="222"/>
    </font>
    <font>
      <sz val="11"/>
      <name val="Arial"/>
      <charset val="222"/>
    </font>
    <font>
      <sz val="9"/>
      <color indexed="12"/>
      <name val="Arial"/>
      <family val="2"/>
    </font>
    <font>
      <sz val="12"/>
      <name val="Arial"/>
      <family val="2"/>
    </font>
    <font>
      <sz val="9"/>
      <name val="Arial"/>
      <charset val="222"/>
    </font>
    <font>
      <sz val="5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12"/>
      <name val="Times New Roman"/>
      <family val="1"/>
      <charset val="222"/>
    </font>
    <font>
      <sz val="12"/>
      <name val="Times New Roman"/>
      <family val="1"/>
    </font>
    <font>
      <sz val="12"/>
      <name val="Arial"/>
      <charset val="222"/>
    </font>
    <font>
      <b/>
      <sz val="12"/>
      <color indexed="1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20"/>
      <color indexed="12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20"/>
      <color indexed="12"/>
      <name val="Arial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sz val="14"/>
      <name val="Symbol"/>
      <family val="1"/>
      <charset val="2"/>
    </font>
    <font>
      <sz val="14"/>
      <name val="Times New Roman"/>
      <family val="1"/>
      <charset val="22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1"/>
      <name val="Arial"/>
      <family val="2"/>
    </font>
    <font>
      <i/>
      <sz val="12"/>
      <color indexed="10"/>
      <name val="Arial"/>
      <family val="2"/>
    </font>
    <font>
      <b/>
      <sz val="14"/>
      <color indexed="17"/>
      <name val="Arial"/>
      <family val="2"/>
    </font>
    <font>
      <b/>
      <i/>
      <sz val="13"/>
      <color indexed="17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8" fillId="0" borderId="0" xfId="2" applyFont="1" applyBorder="1" applyAlignment="1">
      <alignment horizontal="right"/>
    </xf>
    <xf numFmtId="2" fontId="0" fillId="0" borderId="0" xfId="0" applyNumberFormat="1"/>
    <xf numFmtId="11" fontId="0" fillId="0" borderId="0" xfId="0" applyNumberFormat="1"/>
    <xf numFmtId="0" fontId="12" fillId="0" borderId="0" xfId="0" applyFont="1"/>
    <xf numFmtId="0" fontId="13" fillId="0" borderId="0" xfId="0" applyFont="1"/>
    <xf numFmtId="196" fontId="0" fillId="0" borderId="0" xfId="0" applyNumberFormat="1"/>
    <xf numFmtId="0" fontId="14" fillId="0" borderId="0" xfId="0" applyFont="1"/>
    <xf numFmtId="0" fontId="0" fillId="0" borderId="0" xfId="0" applyBorder="1"/>
    <xf numFmtId="0" fontId="11" fillId="0" borderId="0" xfId="0" applyFont="1" applyBorder="1"/>
    <xf numFmtId="2" fontId="1" fillId="0" borderId="0" xfId="0" applyNumberFormat="1" applyFont="1"/>
    <xf numFmtId="0" fontId="16" fillId="0" borderId="0" xfId="2" applyFont="1" applyBorder="1" applyAlignment="1">
      <alignment horizontal="right"/>
    </xf>
    <xf numFmtId="195" fontId="0" fillId="0" borderId="0" xfId="0" applyNumberFormat="1" applyAlignment="1">
      <alignment horizontal="center"/>
    </xf>
    <xf numFmtId="0" fontId="8" fillId="0" borderId="0" xfId="2" applyFont="1" applyFill="1" applyBorder="1" applyAlignment="1">
      <alignment horizontal="right"/>
    </xf>
    <xf numFmtId="43" fontId="0" fillId="0" borderId="0" xfId="1" applyFont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195" fontId="0" fillId="0" borderId="0" xfId="0" applyNumberFormat="1" applyBorder="1"/>
    <xf numFmtId="0" fontId="16" fillId="0" borderId="0" xfId="0" applyFont="1"/>
    <xf numFmtId="0" fontId="0" fillId="0" borderId="0" xfId="0" quotePrefix="1" applyAlignment="1">
      <alignment horizontal="center"/>
    </xf>
    <xf numFmtId="195" fontId="0" fillId="0" borderId="0" xfId="0" quotePrefix="1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195" fontId="1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6" fillId="0" borderId="0" xfId="0" applyNumberFormat="1" applyFont="1" applyBorder="1"/>
    <xf numFmtId="43" fontId="30" fillId="0" borderId="0" xfId="0" applyNumberFormat="1" applyFont="1" applyBorder="1" applyAlignment="1"/>
    <xf numFmtId="0" fontId="16" fillId="0" borderId="0" xfId="0" applyFont="1" applyBorder="1" applyAlignment="1">
      <alignment horizontal="right"/>
    </xf>
    <xf numFmtId="2" fontId="23" fillId="0" borderId="0" xfId="0" applyNumberFormat="1" applyFont="1" applyBorder="1"/>
    <xf numFmtId="1" fontId="16" fillId="0" borderId="0" xfId="2" applyNumberFormat="1" applyFont="1" applyBorder="1" applyAlignment="1">
      <alignment horizontal="center"/>
    </xf>
    <xf numFmtId="43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2" borderId="0" xfId="0" applyFont="1" applyFill="1"/>
    <xf numFmtId="2" fontId="13" fillId="2" borderId="0" xfId="0" applyNumberFormat="1" applyFont="1" applyFill="1"/>
    <xf numFmtId="0" fontId="16" fillId="0" borderId="2" xfId="2" applyFont="1" applyBorder="1" applyAlignment="1"/>
    <xf numFmtId="0" fontId="16" fillId="0" borderId="0" xfId="2" applyFont="1" applyBorder="1" applyAlignment="1"/>
    <xf numFmtId="0" fontId="0" fillId="0" borderId="0" xfId="0" applyAlignment="1">
      <alignment horizontal="center"/>
    </xf>
    <xf numFmtId="0" fontId="30" fillId="0" borderId="0" xfId="0" applyFont="1" applyBorder="1" applyAlignment="1">
      <alignment horizontal="right"/>
    </xf>
    <xf numFmtId="43" fontId="38" fillId="0" borderId="0" xfId="0" applyNumberFormat="1" applyFont="1" applyBorder="1" applyAlignment="1"/>
    <xf numFmtId="0" fontId="37" fillId="0" borderId="0" xfId="0" applyFont="1" applyAlignment="1">
      <alignment horizontal="right"/>
    </xf>
    <xf numFmtId="198" fontId="43" fillId="2" borderId="0" xfId="1" applyNumberFormat="1" applyFont="1" applyFill="1"/>
    <xf numFmtId="0" fontId="43" fillId="2" borderId="0" xfId="0" applyFont="1" applyFill="1"/>
    <xf numFmtId="2" fontId="41" fillId="2" borderId="0" xfId="0" applyNumberFormat="1" applyFont="1" applyFill="1"/>
    <xf numFmtId="0" fontId="43" fillId="2" borderId="0" xfId="0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9" fontId="44" fillId="0" borderId="0" xfId="0" applyNumberFormat="1" applyFont="1" applyBorder="1" applyAlignment="1">
      <alignment horizontal="right"/>
    </xf>
    <xf numFmtId="214" fontId="44" fillId="0" borderId="0" xfId="0" applyNumberFormat="1" applyFont="1" applyBorder="1" applyAlignment="1">
      <alignment horizontal="right"/>
    </xf>
    <xf numFmtId="190" fontId="44" fillId="0" borderId="0" xfId="0" applyNumberFormat="1" applyFont="1" applyBorder="1" applyAlignment="1">
      <alignment horizontal="center"/>
    </xf>
    <xf numFmtId="205" fontId="45" fillId="2" borderId="5" xfId="0" applyNumberFormat="1" applyFont="1" applyFill="1" applyBorder="1" applyAlignment="1">
      <alignment vertical="center"/>
    </xf>
    <xf numFmtId="206" fontId="46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1" fillId="0" borderId="0" xfId="0" applyFont="1" applyAlignment="1">
      <alignment shrinkToFit="1"/>
    </xf>
    <xf numFmtId="196" fontId="23" fillId="0" borderId="0" xfId="0" applyNumberFormat="1" applyFont="1" applyAlignment="1">
      <alignment horizontal="center"/>
    </xf>
    <xf numFmtId="43" fontId="0" fillId="0" borderId="0" xfId="1" applyFont="1" applyAlignment="1"/>
    <xf numFmtId="43" fontId="0" fillId="0" borderId="0" xfId="1" applyNumberFormat="1" applyFont="1" applyBorder="1"/>
    <xf numFmtId="0" fontId="32" fillId="0" borderId="0" xfId="0" applyFont="1" applyAlignment="1"/>
    <xf numFmtId="14" fontId="0" fillId="0" borderId="0" xfId="0" applyNumberFormat="1" applyFill="1" applyAlignment="1"/>
    <xf numFmtId="0" fontId="42" fillId="0" borderId="0" xfId="0" applyFont="1" applyFill="1" applyAlignment="1">
      <alignment vertical="center"/>
    </xf>
    <xf numFmtId="211" fontId="44" fillId="0" borderId="0" xfId="0" applyNumberFormat="1" applyFont="1" applyBorder="1" applyAlignment="1">
      <alignment horizontal="right"/>
    </xf>
    <xf numFmtId="210" fontId="44" fillId="0" borderId="0" xfId="0" applyNumberFormat="1" applyFont="1" applyBorder="1" applyAlignment="1">
      <alignment horizontal="center"/>
    </xf>
    <xf numFmtId="210" fontId="44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2" fontId="48" fillId="0" borderId="0" xfId="0" applyNumberFormat="1" applyFont="1" applyFill="1"/>
    <xf numFmtId="0" fontId="0" fillId="0" borderId="0" xfId="0" applyAlignment="1">
      <alignment shrinkToFit="1"/>
    </xf>
    <xf numFmtId="0" fontId="49" fillId="0" borderId="0" xfId="0" applyFont="1" applyBorder="1" applyAlignment="1">
      <alignment horizontal="center"/>
    </xf>
    <xf numFmtId="43" fontId="0" fillId="0" borderId="0" xfId="1" applyFont="1" applyAlignment="1">
      <alignment shrinkToFit="1"/>
    </xf>
    <xf numFmtId="0" fontId="52" fillId="0" borderId="0" xfId="2" applyFont="1" applyBorder="1" applyAlignment="1">
      <alignment horizontal="right"/>
    </xf>
    <xf numFmtId="189" fontId="22" fillId="2" borderId="3" xfId="2" applyNumberFormat="1" applyFont="1" applyFill="1" applyBorder="1" applyAlignment="1">
      <alignment horizontal="right" vertical="center"/>
    </xf>
    <xf numFmtId="190" fontId="25" fillId="2" borderId="6" xfId="2" applyNumberFormat="1" applyFont="1" applyFill="1" applyBorder="1" applyAlignment="1">
      <alignment vertical="center"/>
    </xf>
    <xf numFmtId="211" fontId="22" fillId="2" borderId="3" xfId="2" applyNumberFormat="1" applyFont="1" applyFill="1" applyBorder="1" applyAlignment="1">
      <alignment horizontal="right" vertical="center"/>
    </xf>
    <xf numFmtId="210" fontId="25" fillId="2" borderId="6" xfId="2" applyNumberFormat="1" applyFont="1" applyFill="1" applyBorder="1" applyAlignment="1">
      <alignment vertical="center"/>
    </xf>
    <xf numFmtId="211" fontId="22" fillId="2" borderId="2" xfId="2" applyNumberFormat="1" applyFont="1" applyFill="1" applyBorder="1" applyAlignment="1">
      <alignment horizontal="right" vertical="center"/>
    </xf>
    <xf numFmtId="210" fontId="25" fillId="2" borderId="7" xfId="2" applyNumberFormat="1" applyFont="1" applyFill="1" applyBorder="1" applyAlignment="1">
      <alignment vertical="center"/>
    </xf>
    <xf numFmtId="189" fontId="22" fillId="2" borderId="1" xfId="2" applyNumberFormat="1" applyFont="1" applyFill="1" applyBorder="1" applyAlignment="1">
      <alignment horizontal="right" vertical="center"/>
    </xf>
    <xf numFmtId="197" fontId="16" fillId="0" borderId="0" xfId="1" applyNumberFormat="1" applyFont="1" applyBorder="1" applyAlignment="1">
      <alignment horizontal="center"/>
    </xf>
    <xf numFmtId="43" fontId="59" fillId="0" borderId="0" xfId="0" applyNumberFormat="1" applyFont="1" applyBorder="1" applyAlignment="1">
      <alignment horizontal="center"/>
    </xf>
    <xf numFmtId="43" fontId="59" fillId="0" borderId="0" xfId="0" applyNumberFormat="1" applyFont="1" applyBorder="1" applyAlignment="1"/>
    <xf numFmtId="197" fontId="16" fillId="0" borderId="0" xfId="0" applyNumberFormat="1" applyFont="1" applyBorder="1" applyAlignment="1">
      <alignment horizontal="center"/>
    </xf>
    <xf numFmtId="197" fontId="16" fillId="0" borderId="0" xfId="0" applyNumberFormat="1" applyFont="1" applyAlignment="1">
      <alignment horizontal="center"/>
    </xf>
    <xf numFmtId="0" fontId="0" fillId="3" borderId="8" xfId="0" applyFill="1" applyBorder="1"/>
    <xf numFmtId="0" fontId="0" fillId="4" borderId="8" xfId="0" applyFill="1" applyBorder="1"/>
    <xf numFmtId="0" fontId="0" fillId="5" borderId="8" xfId="0" applyFill="1" applyBorder="1"/>
    <xf numFmtId="0" fontId="0" fillId="0" borderId="8" xfId="0" applyBorder="1"/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4" fillId="0" borderId="0" xfId="0" applyFont="1" applyAlignment="1">
      <alignment horizontal="right" shrinkToFit="1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7" fillId="2" borderId="0" xfId="0" applyFont="1" applyFill="1" applyAlignment="1">
      <alignment horizontal="center" vertical="center"/>
    </xf>
    <xf numFmtId="0" fontId="52" fillId="0" borderId="0" xfId="2" applyFont="1" applyBorder="1" applyAlignment="1">
      <alignment horizontal="center" shrinkToFit="1"/>
    </xf>
    <xf numFmtId="0" fontId="18" fillId="0" borderId="0" xfId="2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shrinkToFit="1"/>
    </xf>
    <xf numFmtId="0" fontId="49" fillId="0" borderId="0" xfId="0" applyFont="1" applyAlignment="1">
      <alignment horizontal="center" vertical="center" textRotation="90"/>
    </xf>
    <xf numFmtId="0" fontId="44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52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2" applyFont="1" applyBorder="1" applyAlignment="1">
      <alignment horizontal="right"/>
    </xf>
    <xf numFmtId="0" fontId="57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2" fontId="58" fillId="0" borderId="10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2" fontId="58" fillId="0" borderId="9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213" fontId="45" fillId="2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shrinkToFit="1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2" applyFont="1" applyBorder="1" applyAlignment="1">
      <alignment horizontal="center"/>
    </xf>
    <xf numFmtId="0" fontId="31" fillId="0" borderId="2" xfId="2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Mbea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4393305439330547E-2"/>
          <c:y val="0.29670435805988887"/>
          <c:w val="0.22594142259414227"/>
          <c:h val="0.476192179602290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ออกแบบคานUSD!$N$13:$N$18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ออกแบบคานUSD!$O$13:$O$18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ออกแบบคานUSD!$P$13:$P$18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ออกแบบคานUSD!$Q$13:$Q$18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ออกแบบคานUSD!$R$13:$R$18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ออกแบบคานUSD!$S$13:$S$18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ออกแบบคานUSD!$T$13:$T$18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ออกแบบคานUSD!$U$13:$U$18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ออกแบบคานUSD!$V$13:$V$18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ออกแบบคานUSD!$W$13:$W$18</c:f>
              <c:numCache>
                <c:formatCode>General</c:formatCod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ออกแบบคานUSD!$X$13:$X$18</c:f>
              <c:numCache>
                <c:formatCode>General</c:formatCode>
                <c:ptCount val="6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xVal>
          <c:yVal>
            <c:numRef>
              <c:f>ออกแบบคานUSD!$Y$13:$Y$18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yVal>
        </c:ser>
        <c:axId val="62656512"/>
        <c:axId val="62658432"/>
      </c:scatterChart>
      <c:valAx>
        <c:axId val="62656512"/>
        <c:scaling>
          <c:orientation val="minMax"/>
          <c:max val="100"/>
        </c:scaling>
        <c:delete val="1"/>
        <c:axPos val="b"/>
        <c:numFmt formatCode="General" sourceLinked="1"/>
        <c:tickLblPos val="none"/>
        <c:crossAx val="62658432"/>
        <c:crosses val="autoZero"/>
        <c:crossBetween val="midCat"/>
        <c:majorUnit val="20"/>
      </c:valAx>
      <c:valAx>
        <c:axId val="62658432"/>
        <c:scaling>
          <c:orientation val="minMax"/>
          <c:max val="100"/>
        </c:scaling>
        <c:delete val="1"/>
        <c:axPos val="l"/>
        <c:numFmt formatCode="General" sourceLinked="1"/>
        <c:tickLblPos val="none"/>
        <c:crossAx val="62656512"/>
        <c:crosses val="autoZero"/>
        <c:crossBetween val="midCat"/>
        <c:minorUnit val="1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44</xdr:row>
      <xdr:rowOff>9525</xdr:rowOff>
    </xdr:from>
    <xdr:to>
      <xdr:col>5</xdr:col>
      <xdr:colOff>619125</xdr:colOff>
      <xdr:row>47</xdr:row>
      <xdr:rowOff>0</xdr:rowOff>
    </xdr:to>
    <xdr:sp macro="" textlink="">
      <xdr:nvSpPr>
        <xdr:cNvPr id="1108" name="AutoShape 13"/>
        <xdr:cNvSpPr>
          <a:spLocks/>
        </xdr:cNvSpPr>
      </xdr:nvSpPr>
      <xdr:spPr bwMode="auto">
        <a:xfrm>
          <a:off x="2971800" y="10029825"/>
          <a:ext cx="238125" cy="676275"/>
        </a:xfrm>
        <a:prstGeom prst="rightBrace">
          <a:avLst>
            <a:gd name="adj1" fmla="val 23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22</xdr:row>
      <xdr:rowOff>142875</xdr:rowOff>
    </xdr:from>
    <xdr:to>
      <xdr:col>1</xdr:col>
      <xdr:colOff>666750</xdr:colOff>
      <xdr:row>28</xdr:row>
      <xdr:rowOff>171450</xdr:rowOff>
    </xdr:to>
    <xdr:grpSp>
      <xdr:nvGrpSpPr>
        <xdr:cNvPr id="1109" name="Group 39"/>
        <xdr:cNvGrpSpPr>
          <a:grpSpLocks/>
        </xdr:cNvGrpSpPr>
      </xdr:nvGrpSpPr>
      <xdr:grpSpPr bwMode="auto">
        <a:xfrm>
          <a:off x="209550" y="5133975"/>
          <a:ext cx="666750" cy="1400175"/>
          <a:chOff x="748" y="526"/>
          <a:chExt cx="55" cy="102"/>
        </a:xfrm>
      </xdr:grpSpPr>
      <xdr:sp macro="" textlink="">
        <xdr:nvSpPr>
          <xdr:cNvPr id="1111" name="Rectangle 37"/>
          <xdr:cNvSpPr>
            <a:spLocks noChangeArrowheads="1"/>
          </xdr:cNvSpPr>
        </xdr:nvSpPr>
        <xdr:spPr bwMode="auto">
          <a:xfrm>
            <a:off x="748" y="526"/>
            <a:ext cx="55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2" name="Rectangle 38"/>
          <xdr:cNvSpPr>
            <a:spLocks noChangeArrowheads="1"/>
          </xdr:cNvSpPr>
        </xdr:nvSpPr>
        <xdr:spPr bwMode="auto">
          <a:xfrm>
            <a:off x="752" y="530"/>
            <a:ext cx="47" cy="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171450</xdr:colOff>
      <xdr:row>19</xdr:row>
      <xdr:rowOff>152400</xdr:rowOff>
    </xdr:from>
    <xdr:to>
      <xdr:col>4</xdr:col>
      <xdr:colOff>619125</xdr:colOff>
      <xdr:row>31</xdr:row>
      <xdr:rowOff>9525</xdr:rowOff>
    </xdr:to>
    <xdr:graphicFrame macro="">
      <xdr:nvGraphicFramePr>
        <xdr:cNvPr id="1110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workbookViewId="0">
      <selection activeCell="G26" sqref="G26:H26"/>
    </sheetView>
  </sheetViews>
  <sheetFormatPr defaultRowHeight="12.75"/>
  <cols>
    <col min="1" max="1" width="3.140625" customWidth="1"/>
    <col min="2" max="2" width="10.7109375" customWidth="1"/>
    <col min="3" max="3" width="3.7109375" customWidth="1"/>
    <col min="4" max="4" width="9.85546875" customWidth="1"/>
    <col min="5" max="5" width="11.42578125" customWidth="1"/>
    <col min="6" max="6" width="10.42578125" customWidth="1"/>
    <col min="7" max="7" width="7.85546875" customWidth="1"/>
    <col min="8" max="8" width="12.7109375" customWidth="1"/>
    <col min="9" max="9" width="10.7109375" customWidth="1"/>
    <col min="10" max="10" width="10" customWidth="1"/>
    <col min="11" max="11" width="8.7109375" customWidth="1"/>
    <col min="12" max="12" width="7.85546875" customWidth="1"/>
    <col min="13" max="25" width="5.7109375" customWidth="1"/>
  </cols>
  <sheetData>
    <row r="1" spans="2:25" ht="15" customHeight="1">
      <c r="B1" s="10" t="s">
        <v>47</v>
      </c>
      <c r="K1" s="100">
        <f ca="1">NOW()</f>
        <v>40565.468557523149</v>
      </c>
      <c r="L1" s="101"/>
    </row>
    <row r="2" spans="2:25" ht="18" customHeight="1">
      <c r="I2" s="102" t="s">
        <v>88</v>
      </c>
      <c r="J2" s="102"/>
      <c r="K2" s="63"/>
    </row>
    <row r="3" spans="2:25" ht="18" customHeight="1">
      <c r="B3" s="3" t="s">
        <v>7</v>
      </c>
      <c r="F3" s="3" t="s">
        <v>8</v>
      </c>
      <c r="H3" s="64"/>
      <c r="I3" s="102"/>
      <c r="J3" s="102"/>
    </row>
    <row r="4" spans="2:25" ht="18" customHeight="1">
      <c r="C4" s="1"/>
      <c r="G4" s="2" t="s">
        <v>55</v>
      </c>
      <c r="H4" s="45" t="s">
        <v>89</v>
      </c>
    </row>
    <row r="5" spans="2:25" ht="18" customHeight="1">
      <c r="B5" t="s">
        <v>0</v>
      </c>
      <c r="G5" s="2" t="s">
        <v>9</v>
      </c>
      <c r="H5" s="42">
        <v>1928</v>
      </c>
      <c r="I5" t="str">
        <f>"กก.ม ( "&amp;FIXED(H5/1000,2)&amp;" ตัน.ม )"</f>
        <v>กก.ม ( 1.93 ตัน.ม )</v>
      </c>
    </row>
    <row r="6" spans="2:25" ht="18" customHeight="1">
      <c r="C6" s="2" t="s">
        <v>1</v>
      </c>
      <c r="D6" s="43">
        <v>180</v>
      </c>
      <c r="E6" t="s">
        <v>4</v>
      </c>
      <c r="G6" s="2" t="s">
        <v>10</v>
      </c>
      <c r="H6" s="42">
        <v>6795.71</v>
      </c>
      <c r="I6" t="str">
        <f>"กก.    ( "&amp;FIXED(H6/1000,2)&amp;" ตัน. )"</f>
        <v>กก.    ( 6.80 ตัน. )</v>
      </c>
    </row>
    <row r="7" spans="2:25" ht="18" customHeight="1">
      <c r="C7" s="2" t="s">
        <v>3</v>
      </c>
      <c r="D7">
        <v>2400</v>
      </c>
      <c r="E7" t="s">
        <v>5</v>
      </c>
      <c r="G7" s="2" t="s">
        <v>11</v>
      </c>
      <c r="H7" s="8"/>
      <c r="I7" t="s">
        <v>12</v>
      </c>
    </row>
    <row r="8" spans="2:25" ht="18" customHeight="1">
      <c r="C8" s="2" t="s">
        <v>2</v>
      </c>
      <c r="E8" t="s">
        <v>4</v>
      </c>
    </row>
    <row r="9" spans="2:25" ht="18" customHeight="1">
      <c r="B9" t="s">
        <v>56</v>
      </c>
      <c r="F9" s="3" t="s">
        <v>14</v>
      </c>
      <c r="N9" s="138" t="s">
        <v>84</v>
      </c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</row>
    <row r="10" spans="2:25" ht="18" customHeight="1">
      <c r="C10" s="41" t="s">
        <v>48</v>
      </c>
      <c r="D10" s="42">
        <v>3000</v>
      </c>
      <c r="E10" t="s">
        <v>4</v>
      </c>
      <c r="G10" s="2" t="s">
        <v>22</v>
      </c>
      <c r="H10" s="35">
        <v>3.5</v>
      </c>
      <c r="I10" t="s">
        <v>20</v>
      </c>
      <c r="J10" s="2"/>
      <c r="N10" s="94" t="s">
        <v>82</v>
      </c>
      <c r="O10" s="94"/>
      <c r="P10" s="94"/>
      <c r="Q10" s="94"/>
      <c r="R10" s="94"/>
      <c r="S10" s="94"/>
      <c r="T10" s="94" t="s">
        <v>83</v>
      </c>
      <c r="U10" s="94"/>
      <c r="V10" s="94"/>
      <c r="W10" s="94"/>
      <c r="X10" s="94"/>
      <c r="Y10" s="94"/>
    </row>
    <row r="11" spans="2:25" ht="18" customHeight="1">
      <c r="C11" s="41" t="s">
        <v>49</v>
      </c>
      <c r="D11" s="42">
        <v>2400</v>
      </c>
      <c r="E11" t="s">
        <v>4</v>
      </c>
      <c r="G11" s="2" t="s">
        <v>15</v>
      </c>
      <c r="H11" s="44">
        <v>0.15</v>
      </c>
      <c r="I11" s="107" t="str">
        <f>"ม.   h  ที่ไม่ต้องเช็ค Deflection &gt; = "&amp;IF(D10=4000,FIXED(+(H10/16)),FIXED(+(H10/16)*(0.4+D10/7000),2))</f>
        <v>ม.   h  ที่ไม่ต้องเช็ค Deflection &gt; = 0.18</v>
      </c>
      <c r="J11" s="107"/>
      <c r="K11" s="107"/>
      <c r="L11" s="107"/>
      <c r="N11" s="94" t="s">
        <v>79</v>
      </c>
      <c r="O11" s="94"/>
      <c r="P11" s="94" t="s">
        <v>80</v>
      </c>
      <c r="Q11" s="94"/>
      <c r="R11" s="94" t="s">
        <v>81</v>
      </c>
      <c r="S11" s="94"/>
      <c r="T11" s="94" t="s">
        <v>81</v>
      </c>
      <c r="U11" s="94"/>
      <c r="V11" s="94" t="s">
        <v>80</v>
      </c>
      <c r="W11" s="94"/>
      <c r="X11" s="95" t="s">
        <v>79</v>
      </c>
      <c r="Y11" s="96"/>
    </row>
    <row r="12" spans="2:25" ht="18" customHeight="1">
      <c r="C12" s="2" t="s">
        <v>6</v>
      </c>
      <c r="D12" s="6">
        <v>2040000</v>
      </c>
      <c r="E12" t="s">
        <v>4</v>
      </c>
      <c r="G12" s="2" t="s">
        <v>17</v>
      </c>
      <c r="H12" s="44">
        <v>0.3</v>
      </c>
      <c r="I12" s="107" t="str">
        <f>"ม.    h  ที่แนะนำ    &gt; =    L/10    = "&amp;FIXED(+H10/10,2)</f>
        <v>ม.    h  ที่แนะนำ    &gt; =    L/10    = 0.35</v>
      </c>
      <c r="J12" s="107"/>
      <c r="K12" s="107"/>
      <c r="L12" s="107"/>
      <c r="M12" s="38"/>
      <c r="N12" s="93">
        <f>IF(+$G23=0,0,(IF(+$G23=1,100/2,100/($G23-1))))</f>
        <v>100</v>
      </c>
      <c r="O12" s="93"/>
      <c r="P12" s="93">
        <f>IF(+$G24=0,0,(IF(+$G24=1,100/2,100/($G24-1))))</f>
        <v>0</v>
      </c>
      <c r="Q12" s="93"/>
      <c r="R12" s="93">
        <f>IF(+$G25=0,0,(IF(+$G25=1,100/2,100/($G25-1))))</f>
        <v>0</v>
      </c>
      <c r="S12" s="93"/>
      <c r="T12" s="93">
        <f>IF(+$G27=0,0,(IF(+$G27=1,100/2,100/($G27-1))))</f>
        <v>0</v>
      </c>
      <c r="U12" s="93"/>
      <c r="V12" s="93">
        <f>IF(+$G28=0,0,(IF(+$G28=1,100/2,100/($G28-1))))</f>
        <v>0</v>
      </c>
      <c r="W12" s="93"/>
      <c r="X12" s="139">
        <f>IF(+$G29=0,0,(IF(+$G29=1,100/2,100/($G29-1))))</f>
        <v>50</v>
      </c>
      <c r="Y12" s="140"/>
    </row>
    <row r="13" spans="2:25" ht="18" customHeight="1">
      <c r="B13" s="3" t="s">
        <v>23</v>
      </c>
      <c r="G13" s="2" t="s">
        <v>19</v>
      </c>
      <c r="H13" s="34">
        <v>3</v>
      </c>
      <c r="I13" t="s">
        <v>16</v>
      </c>
      <c r="M13">
        <v>1</v>
      </c>
      <c r="N13" s="89">
        <v>0</v>
      </c>
      <c r="O13" s="90">
        <f t="shared" ref="O13:O18" si="0">IF(+$H$4="+",100,0)</f>
        <v>0</v>
      </c>
      <c r="P13" s="89">
        <v>0</v>
      </c>
      <c r="Q13" s="91">
        <f>IF(+$H$4="+",(IF(OR(+$G$24=0,+$G$24=1),100,90)),100-(IF(OR(+$G$24=0,+$G$24=1),100,90)))</f>
        <v>0</v>
      </c>
      <c r="R13" s="89">
        <v>0</v>
      </c>
      <c r="S13" s="91">
        <f>IF(+$H$4="+",(IF(OR(+$G$25=0,+$G$25=1),100,80)),100-(IF(OR(+$G$25=0,+$G$25=1),100,80)))</f>
        <v>0</v>
      </c>
      <c r="T13" s="89">
        <v>0</v>
      </c>
      <c r="U13" s="91">
        <f>IF(+$H$4="+",(IF(OR(+$G$27=0,+$G$27=1),100,20)),100-(IF(OR(+$G$27=0,+$G$27=1),100,20)))</f>
        <v>0</v>
      </c>
      <c r="V13" s="89">
        <v>0</v>
      </c>
      <c r="W13" s="91">
        <f>IF(+$H$4="+",(IF(OR(+$G$28=0,+$G$28=1),100,10)),100-(IF(OR(+$G$28=0,+$G$28=1),100,10)))</f>
        <v>0</v>
      </c>
      <c r="X13" s="89">
        <v>0</v>
      </c>
      <c r="Y13" s="90">
        <f t="shared" ref="Y13:Y18" si="1">IF(+$H$4="+",0,100)</f>
        <v>100</v>
      </c>
    </row>
    <row r="14" spans="2:25" ht="18" customHeight="1">
      <c r="C14" s="76" t="s">
        <v>24</v>
      </c>
      <c r="D14" s="13">
        <f>IF(D6&lt;=280,0.85,IF(0.85-0.05*((D6-280)/70)&gt;=0.65,+(0.85-0.05*((D6-280)/70)),0.65))</f>
        <v>0.85</v>
      </c>
      <c r="G14" s="2" t="s">
        <v>18</v>
      </c>
      <c r="H14" s="34">
        <v>2.5</v>
      </c>
      <c r="I14" t="s">
        <v>16</v>
      </c>
      <c r="M14">
        <v>2</v>
      </c>
      <c r="N14" s="92">
        <f>IF(+M14*$N$12&lt;=100,(+M14-1)*$N$12,0)</f>
        <v>0</v>
      </c>
      <c r="O14" s="90">
        <f t="shared" si="0"/>
        <v>0</v>
      </c>
      <c r="P14" s="92">
        <f>IF(+M14*$P$12&lt;=100,(+M14-1)*$P$12,0)</f>
        <v>0</v>
      </c>
      <c r="Q14" s="90">
        <f>IF(+$H$4="+",(IF(+$P14=0,0,90)),100-(IF(+$P14=0,0,90)))</f>
        <v>100</v>
      </c>
      <c r="R14" s="92">
        <f>IF(+M14*$R$12&lt;=100,(+M14-1)*$R$12,0)</f>
        <v>0</v>
      </c>
      <c r="S14" s="90">
        <f>IF(+$H$4="+",(IF(+$R14=0,0,80)),100-(IF(+$R14=0,0,80)))</f>
        <v>100</v>
      </c>
      <c r="T14" s="92">
        <f>IF(+M14*$T$12&lt;=100,(+M14-1)*$T$12,0)</f>
        <v>0</v>
      </c>
      <c r="U14" s="90">
        <f>IF(+$H$4="+",(IF(+$T14=0,0,20)),100-(IF(+$T14=0,0,20)))</f>
        <v>100</v>
      </c>
      <c r="V14" s="92">
        <f>IF(+M14*$V$12&lt;=100,(+M14-1)*$V$12,0)</f>
        <v>0</v>
      </c>
      <c r="W14" s="90">
        <f>IF(+$H$4="+",(IF(+$V14=0,0,10)),100-(IF(+$V14=0,0,10)))</f>
        <v>100</v>
      </c>
      <c r="X14" s="92">
        <f>IF(+M14*$X$12&lt;=100,(+M14-1)*$X$12,0)</f>
        <v>50</v>
      </c>
      <c r="Y14" s="90">
        <f t="shared" si="1"/>
        <v>100</v>
      </c>
    </row>
    <row r="15" spans="2:25" ht="18" customHeight="1">
      <c r="C15" s="16" t="s">
        <v>60</v>
      </c>
      <c r="D15" s="5">
        <v>0.9</v>
      </c>
      <c r="G15" s="14" t="s">
        <v>57</v>
      </c>
      <c r="H15" s="72">
        <f>+K23</f>
        <v>4.2</v>
      </c>
      <c r="I15" t="s">
        <v>16</v>
      </c>
      <c r="J15" s="33"/>
      <c r="M15">
        <v>3</v>
      </c>
      <c r="N15" s="92">
        <f>IF(+M15*$N$12&lt;=100,(+M15-1)*$N$12,0)</f>
        <v>0</v>
      </c>
      <c r="O15" s="90">
        <f t="shared" si="0"/>
        <v>0</v>
      </c>
      <c r="P15" s="92">
        <f>IF(+M15*$P$12&lt;=100,(+M15-1)*$P$12,0)</f>
        <v>0</v>
      </c>
      <c r="Q15" s="90">
        <f>IF(+$H$4="+",(IF(+$P15=0,0,90)),100-(IF(+$P15=0,0,90)))</f>
        <v>100</v>
      </c>
      <c r="R15" s="92">
        <f>IF(+M15*$R$12&lt;=100,(+M15-1)*$R$12,0)</f>
        <v>0</v>
      </c>
      <c r="S15" s="90">
        <f>IF(+$H$4="+",(IF(+$R15=0,0,80)),100-(IF(+$R15=0,0,80)))</f>
        <v>100</v>
      </c>
      <c r="T15" s="92">
        <f>IF(+M15*$T$12&lt;=100,(+M15-1)*$T$12,0)</f>
        <v>0</v>
      </c>
      <c r="U15" s="90">
        <f>IF(+$H$4="+",(IF(+$T15=0,0,20)),100-(IF(+$T15=0,0,20)))</f>
        <v>100</v>
      </c>
      <c r="V15" s="92">
        <f>IF(+M15*$V$12&lt;=100,(+M15-1)*$V$12,0)</f>
        <v>0</v>
      </c>
      <c r="W15" s="90">
        <f>IF(+$H$4="+",(IF(+$V15=0,0,10)),100-(IF(+$V15=0,0,10)))</f>
        <v>100</v>
      </c>
      <c r="X15" s="92">
        <f>IF(+M15*$X$12&lt;=100,(+M15-1)*$X$12,0)</f>
        <v>0</v>
      </c>
      <c r="Y15" s="90">
        <f t="shared" si="1"/>
        <v>100</v>
      </c>
    </row>
    <row r="16" spans="2:25" ht="18" customHeight="1">
      <c r="C16" s="16" t="s">
        <v>61</v>
      </c>
      <c r="D16" s="5">
        <v>0.85</v>
      </c>
      <c r="G16" s="14" t="s">
        <v>58</v>
      </c>
      <c r="H16" s="72">
        <f>+K28</f>
        <v>25.8</v>
      </c>
      <c r="I16" t="s">
        <v>16</v>
      </c>
      <c r="J16" s="33"/>
      <c r="M16">
        <v>4</v>
      </c>
      <c r="N16" s="92">
        <f>IF(+M16*$N$12&lt;=100,(+M16-1)*$N$12,0)</f>
        <v>0</v>
      </c>
      <c r="O16" s="90">
        <f t="shared" si="0"/>
        <v>0</v>
      </c>
      <c r="P16" s="92">
        <f>IF(+M16*$P$12&lt;=100,(+M16-1)*$P$12,0)</f>
        <v>0</v>
      </c>
      <c r="Q16" s="90">
        <f>IF(+$H$4="+",(IF(+$P16=0,0,90)),100-(IF(+$P16=0,0,90)))</f>
        <v>100</v>
      </c>
      <c r="R16" s="92">
        <f>IF(+M16*$R$12&lt;=100,(+M16-1)*$R$12,0)</f>
        <v>0</v>
      </c>
      <c r="S16" s="90">
        <f>IF(+$H$4="+",(IF(+$R16=0,0,80)),100-(IF(+$R16=0,0,80)))</f>
        <v>100</v>
      </c>
      <c r="T16" s="92">
        <f>IF(+M16*$T$12&lt;=100,(+M16-1)*$T$12,0)</f>
        <v>0</v>
      </c>
      <c r="U16" s="90">
        <f>IF(+$H$4="+",(IF(+$T16=0,0,20)),100-(IF(+$T16=0,0,20)))</f>
        <v>100</v>
      </c>
      <c r="V16" s="92">
        <f>IF(+M16*$V$12&lt;=100,(+M16-1)*$V$12,0)</f>
        <v>0</v>
      </c>
      <c r="W16" s="90">
        <f>IF(+$H$4="+",(IF(+$V16=0,0,10)),100-(IF(+$V16=0,0,10)))</f>
        <v>100</v>
      </c>
      <c r="X16" s="92">
        <f>IF(+M16*$X$12&lt;=100,(+M16-1)*$X$12,0)</f>
        <v>0</v>
      </c>
      <c r="Y16" s="90">
        <f t="shared" si="1"/>
        <v>100</v>
      </c>
    </row>
    <row r="17" spans="1:25" ht="18" customHeight="1">
      <c r="A17" s="103" t="s">
        <v>86</v>
      </c>
      <c r="B17" s="104"/>
      <c r="C17" s="104"/>
      <c r="D17" s="104"/>
      <c r="E17" s="15">
        <f>0.85*D14*(D6/D10)*(6120/(6120+D10))</f>
        <v>2.9090131578947364E-2</v>
      </c>
      <c r="G17" s="73"/>
      <c r="H17" s="73"/>
      <c r="J17" s="7"/>
      <c r="M17">
        <v>5</v>
      </c>
      <c r="N17" s="92">
        <f>IF(+M17*$N$12&lt;=100,(+M17-1)*$N$12,0)</f>
        <v>0</v>
      </c>
      <c r="O17" s="90">
        <f t="shared" si="0"/>
        <v>0</v>
      </c>
      <c r="P17" s="92">
        <f>IF(+M17*$P$12&lt;=100,(+M17-1)*$P$12,0)</f>
        <v>0</v>
      </c>
      <c r="Q17" s="90">
        <f>IF(+$H$4="+",(IF(+$P17=0,0,90)),100-(IF(+$P17=0,0,90)))</f>
        <v>100</v>
      </c>
      <c r="R17" s="92">
        <f>IF(+M17*$R$12&lt;=100,(+M17-1)*$R$12,0)</f>
        <v>0</v>
      </c>
      <c r="S17" s="90">
        <f>IF(+$H$4="+",(IF(+$R17=0,0,80)),100-(IF(+$R17=0,0,80)))</f>
        <v>100</v>
      </c>
      <c r="T17" s="92">
        <f>IF(+M17*$T$12&lt;=100,(+M17-1)*$T$12,0)</f>
        <v>0</v>
      </c>
      <c r="U17" s="90">
        <f>IF(+$H$4="+",(IF(+$T17=0,0,20)),100-(IF(+$T17=0,0,20)))</f>
        <v>100</v>
      </c>
      <c r="V17" s="92">
        <f>IF(+M17*$V$12&lt;=100,(+M17-1)*$V$12,0)</f>
        <v>0</v>
      </c>
      <c r="W17" s="90">
        <f>IF(+$H$4="+",(IF(+$V17=0,0,10)),100-(IF(+$V17=0,0,10)))</f>
        <v>100</v>
      </c>
      <c r="X17" s="92">
        <f>IF(+M17*$X$12&lt;=100,(+M17-1)*$X$12,0)</f>
        <v>0</v>
      </c>
      <c r="Y17" s="90">
        <f t="shared" si="1"/>
        <v>100</v>
      </c>
    </row>
    <row r="18" spans="1:25" ht="18" customHeight="1">
      <c r="C18" s="76" t="s">
        <v>87</v>
      </c>
      <c r="D18" s="15">
        <f>0.75*E17</f>
        <v>2.1817598684210522E-2</v>
      </c>
      <c r="E18" s="99" t="s">
        <v>75</v>
      </c>
      <c r="F18" s="99"/>
      <c r="G18" s="99"/>
      <c r="H18" s="99"/>
      <c r="I18" s="99"/>
      <c r="J18" s="26">
        <f>+D18*D10*(1-((1/1.7)*D18*D10/D6))</f>
        <v>51.452572160123779</v>
      </c>
      <c r="K18" s="97" t="s">
        <v>4</v>
      </c>
      <c r="L18" s="97"/>
      <c r="M18">
        <v>6</v>
      </c>
      <c r="N18" s="89">
        <v>100</v>
      </c>
      <c r="O18" s="90">
        <f t="shared" si="0"/>
        <v>0</v>
      </c>
      <c r="P18" s="89">
        <v>100</v>
      </c>
      <c r="Q18" s="91">
        <f>IF(+$H$4="+",(IF(OR(+$G$24=0,+$G$24=1),100,90)),100-(IF(OR(+$G$24=0,+$G$24=1),100,90)))</f>
        <v>0</v>
      </c>
      <c r="R18" s="89">
        <v>100</v>
      </c>
      <c r="S18" s="91">
        <f>IF(+$H$4="+",(IF(OR(+$G$25=0,+$G$25=1),100,80)),100-(IF(OR(+$G$25=0,+$G$25=1),100,80)))</f>
        <v>0</v>
      </c>
      <c r="T18" s="89">
        <v>100</v>
      </c>
      <c r="U18" s="91">
        <f>IF(+$H$4="+",(IF(OR(+$G$27=0,+$G$27=1),100,20)),100-(IF(OR(+$G$27=0,+$G$27=1),100,20)))</f>
        <v>0</v>
      </c>
      <c r="V18" s="89">
        <v>100</v>
      </c>
      <c r="W18" s="91">
        <f>IF(+$H$4="+",(IF(OR(+$G$28=0,+$G$28=1),100,10)),100-(IF(OR(+$G$28=0,+$G$28=1),100,10)))</f>
        <v>0</v>
      </c>
      <c r="X18" s="89">
        <v>100</v>
      </c>
      <c r="Y18" s="90">
        <f t="shared" si="1"/>
        <v>100</v>
      </c>
    </row>
    <row r="19" spans="1:25" ht="18" customHeight="1">
      <c r="C19" s="70" t="s">
        <v>59</v>
      </c>
      <c r="D19" s="15">
        <f>14/D10</f>
        <v>4.6666666666666671E-3</v>
      </c>
      <c r="E19" s="99" t="s">
        <v>74</v>
      </c>
      <c r="F19" s="99"/>
      <c r="G19" s="99"/>
      <c r="H19" s="99"/>
      <c r="I19" s="99"/>
      <c r="J19" s="75">
        <f>+D15*J18*(H11)*(H16^2)</f>
        <v>4623.6001679097471</v>
      </c>
      <c r="K19" s="98" t="str">
        <f>"กก.ม ( "&amp;FIXED(J19/1000,2)&amp;" ตัน.ม )"</f>
        <v>กก.ม ( 4.62 ตัน.ม )</v>
      </c>
      <c r="L19" s="98"/>
    </row>
    <row r="20" spans="1:25" ht="18" customHeight="1">
      <c r="B20" s="145" t="str">
        <f>IF($J$19&gt;=$H$5,"Phi MR &gt; Mu  ไม่ต้องออกแบบเหล็กเสริมรับแรงอัด.","Phi MR &lt; Mu ออกแบบเหล็กเสริมรับแรงอัด ด้วย.")</f>
        <v>Phi MR &gt; Mu  ไม่ต้องออกแบบเหล็กเสริมรับแรงอัด.</v>
      </c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25" ht="18" customHeight="1">
      <c r="C21" s="3" t="s">
        <v>25</v>
      </c>
      <c r="D21" s="11"/>
      <c r="E21" s="11"/>
      <c r="F21" s="11"/>
      <c r="G21" s="11"/>
      <c r="H21" s="11"/>
      <c r="I21" s="12"/>
      <c r="J21" s="11"/>
      <c r="K21" s="11"/>
      <c r="L21" s="11"/>
    </row>
    <row r="22" spans="1:25" ht="18" customHeight="1">
      <c r="B22" s="74" t="str">
        <f>"    "&amp;FIXED(+H11,2)&amp;" ม."</f>
        <v xml:space="preserve">    0.15 ม.</v>
      </c>
      <c r="C22" s="3"/>
      <c r="D22" s="11"/>
      <c r="E22" s="11"/>
      <c r="F22" s="11"/>
      <c r="G22" s="11"/>
      <c r="H22" s="11"/>
      <c r="I22" s="12"/>
      <c r="J22" s="11"/>
      <c r="K22" s="11"/>
      <c r="L22" s="11"/>
    </row>
    <row r="23" spans="1:25" ht="18" customHeight="1">
      <c r="A23" s="108" t="str">
        <f>+FIXED(H12,2)&amp;"  ม."</f>
        <v>0.30  ม.</v>
      </c>
      <c r="C23" s="48">
        <f>IF(+$H$4="-",+G29,+G23)</f>
        <v>3</v>
      </c>
      <c r="D23" s="50">
        <f>IF(+$H$4="-",+H29,+H23)</f>
        <v>12</v>
      </c>
      <c r="E23" s="131" t="s">
        <v>26</v>
      </c>
      <c r="F23" s="19" t="s">
        <v>50</v>
      </c>
      <c r="G23" s="77">
        <v>2</v>
      </c>
      <c r="H23" s="78">
        <v>12</v>
      </c>
      <c r="I23" s="125">
        <f>SUM(+PI()*(H23/10)^2*(G23)/4,+PI()*(H24/10)^2*(G24)/4,+PI()*(H25/10)^2*(G25)/4)</f>
        <v>2.2619467105846511</v>
      </c>
      <c r="J23" s="18" t="s">
        <v>29</v>
      </c>
      <c r="K23" s="30">
        <f>IF(AND(+$G25=0,+$G24=0),+$H$13+MID($F$26,4,3)/10+($H23/20),IF(AND(+$G25=0,+$G24&lt;&gt;0),+$H$13+MID($F$26,4,3)/10+$H23/10+($H$14/2),+$H$13+MID($F$26,4,3)/10+$H23/10+$H$14+$H24/20))</f>
        <v>4.2</v>
      </c>
      <c r="L23" t="s">
        <v>16</v>
      </c>
    </row>
    <row r="24" spans="1:25" ht="18" customHeight="1">
      <c r="A24" s="108"/>
      <c r="C24" s="65">
        <f>IF(+$H$4="-",+G28,+G24)</f>
        <v>0</v>
      </c>
      <c r="D24" s="66">
        <f>IF(+$H$4="-",+H28,+H24)</f>
        <v>0</v>
      </c>
      <c r="E24" s="131"/>
      <c r="F24" s="19" t="s">
        <v>51</v>
      </c>
      <c r="G24" s="79">
        <v>0</v>
      </c>
      <c r="H24" s="80">
        <v>0</v>
      </c>
      <c r="I24" s="126"/>
      <c r="J24" s="4" t="s">
        <v>32</v>
      </c>
      <c r="K24" s="20">
        <f>+I23/(H11*100*K28)</f>
        <v>5.8448235415624059E-3</v>
      </c>
    </row>
    <row r="25" spans="1:25" ht="18" customHeight="1">
      <c r="A25" s="108"/>
      <c r="C25" s="65">
        <f>IF(+$H$4="-",+G27,+G25)</f>
        <v>0</v>
      </c>
      <c r="D25" s="66">
        <f>IF(+$H$4="-",+H27,+H25)</f>
        <v>0</v>
      </c>
      <c r="E25" s="132"/>
      <c r="F25" s="46" t="s">
        <v>52</v>
      </c>
      <c r="G25" s="79">
        <v>0</v>
      </c>
      <c r="H25" s="80">
        <v>0</v>
      </c>
      <c r="I25" s="127"/>
      <c r="J25" s="36"/>
      <c r="K25" s="37"/>
      <c r="L25" s="7"/>
    </row>
    <row r="26" spans="1:25" ht="18" customHeight="1">
      <c r="A26" s="108"/>
      <c r="C26" s="109" t="s">
        <v>28</v>
      </c>
      <c r="D26" s="109"/>
      <c r="E26" s="51">
        <v>1</v>
      </c>
      <c r="F26" s="52" t="s">
        <v>90</v>
      </c>
      <c r="G26" s="129">
        <v>0.125</v>
      </c>
      <c r="H26" s="129"/>
      <c r="I26" s="53" t="str">
        <f>"Av "&amp;MID(E26,1,1)&amp;" ป x 2 ขา="</f>
        <v>Av 1 ป x 2 ขา=</v>
      </c>
      <c r="J26" s="54">
        <f>2*MID(E26,1,1)*PI()*((MID(F26,4,5)/10)^2)/4</f>
        <v>0.56548667764616278</v>
      </c>
      <c r="K26" s="55" t="s">
        <v>36</v>
      </c>
    </row>
    <row r="27" spans="1:25" ht="18" customHeight="1">
      <c r="A27" s="108"/>
      <c r="C27" s="65">
        <f>IF(+$H$4="-",+G25,+G27)</f>
        <v>0</v>
      </c>
      <c r="D27" s="67">
        <f>IF(+$H$4="-",H25,H27)</f>
        <v>0</v>
      </c>
      <c r="E27" s="137" t="s">
        <v>27</v>
      </c>
      <c r="F27" s="47" t="s">
        <v>52</v>
      </c>
      <c r="G27" s="81">
        <v>0</v>
      </c>
      <c r="H27" s="82">
        <v>0</v>
      </c>
      <c r="I27" s="125">
        <f>SUM(+PI()*(H27/10)^2*(G27)/4,+PI()*(H28/10)^2*(G28)/4,+PI()*(H29/10)^2*(G29)/4)</f>
        <v>3.3929200658769769</v>
      </c>
      <c r="J27" s="144" t="s">
        <v>54</v>
      </c>
      <c r="K27" s="143"/>
      <c r="L27" s="62" t="str">
        <f>IF(K29&gt;=D19,"Ok","ลดbและh")</f>
        <v>Ok</v>
      </c>
    </row>
    <row r="28" spans="1:25" ht="18" customHeight="1">
      <c r="A28" s="108"/>
      <c r="C28" s="65">
        <f>IF(+$H$4="-",+G24,+G28)</f>
        <v>0</v>
      </c>
      <c r="D28" s="67">
        <f>IF(+$H$4="-",+H24,+H28)</f>
        <v>0</v>
      </c>
      <c r="E28" s="131"/>
      <c r="F28" s="19" t="s">
        <v>51</v>
      </c>
      <c r="G28" s="79">
        <v>0</v>
      </c>
      <c r="H28" s="80">
        <v>0</v>
      </c>
      <c r="I28" s="126"/>
      <c r="J28" s="18" t="s">
        <v>30</v>
      </c>
      <c r="K28" s="30">
        <f>+(H12*100)-(IF(AND(+G27=0,+G28=0),+H13+MID(F26,4,3)/10+(H29/20),IF(AND(+G27=0,+G28&lt;&gt;0),+H13+MID(F26,4,3)/10+H29/10+(H14/2),+H13+MID(F26,4,3)/10+H29/10+H14+H28/20)))</f>
        <v>25.8</v>
      </c>
      <c r="L28" t="s">
        <v>16</v>
      </c>
    </row>
    <row r="29" spans="1:25" ht="18" customHeight="1">
      <c r="C29" s="48">
        <f>IF(+$H$4="-",+G23,+G29)</f>
        <v>2</v>
      </c>
      <c r="D29" s="49">
        <f>IF(+$H$4="-",+H23,+H29)</f>
        <v>12</v>
      </c>
      <c r="E29" s="131"/>
      <c r="F29" s="19" t="s">
        <v>50</v>
      </c>
      <c r="G29" s="83">
        <v>3</v>
      </c>
      <c r="H29" s="78">
        <v>12</v>
      </c>
      <c r="I29" s="127"/>
      <c r="J29" s="4" t="s">
        <v>31</v>
      </c>
      <c r="K29" s="20">
        <f>+I27/(+H11*100*K28)</f>
        <v>8.7672353123436093E-3</v>
      </c>
    </row>
    <row r="30" spans="1:25" ht="18" customHeight="1">
      <c r="A30" s="112" t="s">
        <v>39</v>
      </c>
      <c r="B30" s="112"/>
      <c r="C30" s="112"/>
      <c r="D30" s="112"/>
      <c r="E30" s="20">
        <f>+(I27-I23)/(H11*100*H16)</f>
        <v>2.9224117707812034E-3</v>
      </c>
      <c r="F30" s="22" t="s">
        <v>33</v>
      </c>
      <c r="G30" s="130" t="str">
        <f>IF(+D18&gt;+E30,FIXED(+D18,4)&amp;"&gt; "&amp;FIXED(E30,4)&amp;" เหล็กรับแรงดึงถึงจุดคราก. fs = fy = "&amp;+D10&amp;"กก/ตร.ซม.",FIXED(+D18,4)&amp;"&lt; "&amp;FIXED(E30,4)&amp;" เหล็กรับแรงดึงไม่ถึงจุดคราก   ห้ามใช้เด็ดขาด !!!.")</f>
        <v>0.0218&gt; 0.0029 เหล็กรับแรงดึงถึงจุดคราก. fs = fy = 3000กก/ตร.ซม.</v>
      </c>
      <c r="H30" s="130"/>
      <c r="I30" s="130"/>
      <c r="J30" s="130"/>
      <c r="K30" s="130"/>
    </row>
    <row r="31" spans="1:25" ht="18" customHeight="1">
      <c r="A31" s="113" t="s">
        <v>71</v>
      </c>
      <c r="B31" s="114"/>
      <c r="C31" s="114"/>
      <c r="D31" s="114"/>
      <c r="E31" s="114"/>
      <c r="F31" s="23">
        <f>0.85*D14*(D6/D10)*(6120/(6120-D10))*(K23/K28)</f>
        <v>1.3842531305903398E-2</v>
      </c>
      <c r="G31" s="124" t="str">
        <f>IF(+E30&lt;F31,FIXED(E30,4)&amp;"&lt; "&amp;FIXED(F31,4)&amp;" เหล็กรับแรงอัดไม่ถึงจุดคราก.",FIXED(E30,4)&amp;"&gt; "&amp;FIXED(F31,4)&amp;" เหล็กรับแรงอัดถึงจุดคราก.fs' = fy = "&amp;+D10&amp;"กก/ตร.ซม.")</f>
        <v>0.0029&lt; 0.0138 เหล็กรับแรงอัดไม่ถึงจุดคราก.</v>
      </c>
      <c r="H31" s="124"/>
      <c r="I31" s="124"/>
      <c r="J31" s="124"/>
      <c r="K31" s="124"/>
    </row>
    <row r="32" spans="1:25" ht="18" customHeight="1">
      <c r="B32" s="111" t="s">
        <v>34</v>
      </c>
      <c r="C32" s="111"/>
      <c r="D32" s="111"/>
      <c r="E32" s="111"/>
      <c r="F32" s="111"/>
      <c r="G32" s="111" t="s">
        <v>35</v>
      </c>
      <c r="H32" s="111"/>
      <c r="I32" s="111"/>
      <c r="J32" s="111"/>
      <c r="K32" s="111"/>
    </row>
    <row r="33" spans="1:13" s="21" customFormat="1" ht="18" customHeight="1">
      <c r="A33" s="115" t="s">
        <v>62</v>
      </c>
      <c r="B33" s="115"/>
      <c r="C33" s="115"/>
      <c r="D33" s="115"/>
      <c r="E33" s="24">
        <f>MIN(H5,J19)/(D15*H11*H16^2)</f>
        <v>21.455263327746952</v>
      </c>
      <c r="F33" t="s">
        <v>4</v>
      </c>
      <c r="G33" s="122" t="s">
        <v>72</v>
      </c>
      <c r="H33" s="122"/>
      <c r="I33" s="122"/>
      <c r="J33" s="88">
        <f>IF(+J19&gt;H5,0,+(E35*D10)/(0.85*D6*H11*100))</f>
        <v>0</v>
      </c>
      <c r="K33" s="38" t="s">
        <v>16</v>
      </c>
      <c r="M33"/>
    </row>
    <row r="34" spans="1:13" s="21" customFormat="1" ht="18" customHeight="1">
      <c r="A34" s="103" t="s">
        <v>63</v>
      </c>
      <c r="B34" s="104"/>
      <c r="C34" s="104"/>
      <c r="D34" s="104"/>
      <c r="E34" s="104"/>
      <c r="F34" s="25">
        <f>(0.85*D6/D10)*(1-(1-2*E33/(0.85*D6))^0.5)</f>
        <v>7.7389199527265204E-3</v>
      </c>
      <c r="G34" s="119" t="s">
        <v>40</v>
      </c>
      <c r="H34" s="110"/>
      <c r="I34" s="110"/>
      <c r="J34" s="87">
        <f>IF(+J19&gt;H5,0,+J33/D14)</f>
        <v>0</v>
      </c>
      <c r="K34" s="38" t="s">
        <v>16</v>
      </c>
    </row>
    <row r="35" spans="1:13" s="21" customFormat="1" ht="18" customHeight="1">
      <c r="A35" s="116" t="s">
        <v>38</v>
      </c>
      <c r="B35" s="116"/>
      <c r="C35" s="116"/>
      <c r="D35" s="116"/>
      <c r="E35" s="27">
        <f>+F34*H11*100*H16</f>
        <v>2.9949620217051631</v>
      </c>
      <c r="F35" s="25" t="s">
        <v>36</v>
      </c>
      <c r="G35" s="110" t="s">
        <v>73</v>
      </c>
      <c r="H35" s="110"/>
      <c r="I35" s="110"/>
      <c r="J35" s="84">
        <f>IF(+J19&gt;H5,0,6120*(1-(H15/J34)))</f>
        <v>0</v>
      </c>
      <c r="K35" s="38" t="s">
        <v>4</v>
      </c>
    </row>
    <row r="36" spans="1:13" s="21" customFormat="1" ht="18" customHeight="1">
      <c r="B36" s="117" t="str">
        <f>IF(+I23&lt;E38,"เพิ่ม พ.ท.หน้าตัดเหล็ก As'   !!! (LowerDesign - "&amp;FIXED(((E38-I23)*100/E38),3)&amp;" % )","As'    Ok")</f>
        <v>As'    Ok</v>
      </c>
      <c r="C36" s="117"/>
      <c r="D36" s="117"/>
      <c r="E36" s="117"/>
      <c r="F36" s="117"/>
      <c r="G36" s="110" t="s">
        <v>37</v>
      </c>
      <c r="H36" s="110"/>
      <c r="I36" s="110"/>
      <c r="J36" s="31" t="str">
        <f>IF(+J19&lt;H5,MIN(D10,J35),"ไม่ต้องหา.")</f>
        <v>ไม่ต้องหา.</v>
      </c>
      <c r="K36" s="38" t="s">
        <v>4</v>
      </c>
    </row>
    <row r="37" spans="1:13" s="21" customFormat="1" ht="18" customHeight="1">
      <c r="B37" s="117" t="str">
        <f>IF(+I27&lt;J38,"เพิ่ม พ.ท.หน้าตัดเหล็ก As   !!! (LowerDesign - "&amp;FIXED(((J38-I27)*100/J38),3)&amp;" % )","As    Ok")</f>
        <v>As    Ok</v>
      </c>
      <c r="C37" s="117"/>
      <c r="D37" s="117"/>
      <c r="E37" s="117"/>
      <c r="F37" s="117"/>
      <c r="G37" s="143" t="s">
        <v>77</v>
      </c>
      <c r="H37" s="143"/>
      <c r="I37" s="143"/>
      <c r="J37" s="32">
        <f>IF(+J19&gt;H5,0,+(H5-J19)*100/(+D15*J36*(H16-H15)))</f>
        <v>0</v>
      </c>
      <c r="K37" s="25" t="s">
        <v>36</v>
      </c>
    </row>
    <row r="38" spans="1:13" s="21" customFormat="1" ht="18" customHeight="1">
      <c r="B38" s="118" t="s">
        <v>78</v>
      </c>
      <c r="C38" s="118"/>
      <c r="D38" s="118"/>
      <c r="E38" s="86">
        <f>+J37</f>
        <v>0</v>
      </c>
      <c r="F38" s="25" t="s">
        <v>36</v>
      </c>
      <c r="G38" s="118" t="s">
        <v>76</v>
      </c>
      <c r="H38" s="118"/>
      <c r="I38" s="118"/>
      <c r="J38" s="85">
        <f>IF(+J19&gt;H5,+E35,+E35+J37*J36/D10)</f>
        <v>2.9949620217051631</v>
      </c>
      <c r="K38" s="25" t="s">
        <v>36</v>
      </c>
    </row>
    <row r="39" spans="1:13" s="21" customFormat="1" ht="18" customHeight="1">
      <c r="B39" s="3" t="s">
        <v>21</v>
      </c>
      <c r="D39" s="39"/>
      <c r="E39" s="39"/>
      <c r="F39" s="40"/>
      <c r="G39" s="25"/>
      <c r="H39" s="39"/>
      <c r="I39" s="39"/>
      <c r="J39" s="39"/>
      <c r="K39" s="40"/>
      <c r="L39" s="25"/>
    </row>
    <row r="40" spans="1:13" s="21" customFormat="1" ht="18" customHeight="1">
      <c r="A40" s="110" t="s">
        <v>10</v>
      </c>
      <c r="B40" s="110"/>
      <c r="C40" s="110"/>
      <c r="D40" s="110"/>
      <c r="E40" s="60">
        <f>+H6</f>
        <v>6795.71</v>
      </c>
      <c r="F40" s="38" t="s">
        <v>13</v>
      </c>
      <c r="I40" s="29"/>
      <c r="J40" s="29"/>
      <c r="K40" s="28"/>
      <c r="L40" s="25"/>
    </row>
    <row r="41" spans="1:13" ht="18" customHeight="1">
      <c r="A41" s="112" t="s">
        <v>85</v>
      </c>
      <c r="B41" s="112"/>
      <c r="C41" s="112"/>
      <c r="D41" s="112"/>
      <c r="E41" s="17">
        <f>+D16*0.53*(D6^0.5)*H11*100*H16</f>
        <v>2339.0635046114076</v>
      </c>
      <c r="F41" s="38" t="s">
        <v>13</v>
      </c>
      <c r="H41" s="141" t="s">
        <v>68</v>
      </c>
      <c r="I41" s="141"/>
      <c r="J41" s="141"/>
      <c r="K41" s="141"/>
    </row>
    <row r="42" spans="1:13" ht="18" customHeight="1">
      <c r="A42" s="120" t="s">
        <v>44</v>
      </c>
      <c r="B42" s="120"/>
      <c r="C42" s="120"/>
      <c r="D42" s="120"/>
      <c r="E42" s="17">
        <f>+(H6-E41)/D16</f>
        <v>5243.1135239865798</v>
      </c>
      <c r="F42" s="38" t="s">
        <v>13</v>
      </c>
      <c r="H42" s="57"/>
      <c r="I42" s="142" t="str">
        <f>IF(+E42&lt;=E43,FIXED(+E42,2)&amp;" &lt;= "&amp;FIXED(E43,2)&amp;"   Ok",FIXED(E42,2)&amp;" &gt; "&amp;FIXED(E43,2)&amp;"  ขยาย b หรือ d")</f>
        <v>5,243.11 &lt;= 11,007.36   Ok</v>
      </c>
      <c r="J42" s="142"/>
      <c r="K42" s="142"/>
      <c r="L42" s="142"/>
    </row>
    <row r="43" spans="1:13" ht="18" customHeight="1">
      <c r="A43" s="121" t="s">
        <v>64</v>
      </c>
      <c r="B43" s="121"/>
      <c r="C43" s="121"/>
      <c r="D43" s="121"/>
      <c r="E43" s="17">
        <f>2.12*(D6^0.5)*H11*100*H16</f>
        <v>11007.357668759563</v>
      </c>
      <c r="F43" s="38" t="s">
        <v>13</v>
      </c>
      <c r="H43" s="123" t="s">
        <v>69</v>
      </c>
      <c r="I43" s="123"/>
      <c r="J43" s="123"/>
      <c r="K43" s="123"/>
    </row>
    <row r="44" spans="1:13" ht="18" customHeight="1">
      <c r="A44" s="121" t="s">
        <v>65</v>
      </c>
      <c r="B44" s="121"/>
      <c r="C44" s="121"/>
      <c r="D44" s="121"/>
      <c r="E44" s="17">
        <f>1.1*(D6^0.5)*H11*100*H16</f>
        <v>5711.3648281299629</v>
      </c>
      <c r="F44" s="38" t="s">
        <v>13</v>
      </c>
      <c r="H44" s="58"/>
      <c r="I44" s="124" t="str">
        <f>IF(E42&gt;=E44,FIXED(E42,2)&amp;" &gt;= "&amp;FIXED(E44,2)&amp;" Smsx / 2",FIXED(E42,2)&amp;" &lt; "&amp;FIXED(E44,2)&amp;" ไม่ต้องลดSmax")</f>
        <v>5,243.11 &lt; 5,711.36 ไม่ต้องลดSmax</v>
      </c>
      <c r="J44" s="124"/>
      <c r="K44" s="124"/>
      <c r="L44" s="124"/>
    </row>
    <row r="45" spans="1:13" ht="18" customHeight="1">
      <c r="A45" s="122" t="s">
        <v>66</v>
      </c>
      <c r="B45" s="122"/>
      <c r="C45" s="122"/>
      <c r="D45" s="122"/>
      <c r="E45" s="9">
        <f>+(J26*D10/(3.5*H11*100))/100</f>
        <v>0.32313524436923585</v>
      </c>
      <c r="F45" s="38" t="s">
        <v>20</v>
      </c>
    </row>
    <row r="46" spans="1:13" ht="18" customHeight="1">
      <c r="A46" s="122" t="s">
        <v>43</v>
      </c>
      <c r="B46" s="122"/>
      <c r="C46" s="122"/>
      <c r="D46" s="122"/>
      <c r="E46" s="9">
        <f>+H16/200</f>
        <v>0.129</v>
      </c>
      <c r="F46" s="38" t="s">
        <v>20</v>
      </c>
      <c r="G46" s="106" t="s">
        <v>53</v>
      </c>
      <c r="H46" s="106"/>
      <c r="I46" s="59">
        <f>IF(E42&gt;E44,MIN(E45,E46,E47)/2,MIN(E45,E46,E47))</f>
        <v>0.129</v>
      </c>
      <c r="J46" t="s">
        <v>20</v>
      </c>
    </row>
    <row r="47" spans="1:13" ht="18" customHeight="1">
      <c r="A47" s="122" t="s">
        <v>67</v>
      </c>
      <c r="B47" s="122"/>
      <c r="C47" s="122"/>
      <c r="D47" s="122"/>
      <c r="E47" s="9">
        <f>48*H29/1000</f>
        <v>0.57599999999999996</v>
      </c>
      <c r="F47" s="38" t="s">
        <v>20</v>
      </c>
      <c r="H47" s="123" t="s">
        <v>42</v>
      </c>
      <c r="I47" s="123"/>
      <c r="J47" s="123"/>
      <c r="K47" s="123"/>
    </row>
    <row r="48" spans="1:13" ht="18" customHeight="1">
      <c r="A48" s="135" t="s">
        <v>70</v>
      </c>
      <c r="B48" s="135"/>
      <c r="C48" s="135"/>
      <c r="D48" s="135"/>
      <c r="E48" s="17">
        <f>+D16*J26*D11*H16/(G26*100)</f>
        <v>2381.0155854298273</v>
      </c>
      <c r="F48" s="38" t="s">
        <v>13</v>
      </c>
      <c r="I48" s="134" t="str">
        <f>IF(AND((+E41+E48)&gt;=H6,G26&lt;=I46,E48&gt;=F49),"ขนาดและระยะเรียงที่เลือกไว้ผ่าน","เพิ่มขนาดหรือลดระยะเรียง")</f>
        <v>เพิ่มขนาดหรือลดระยะเรียง</v>
      </c>
      <c r="J48" s="134"/>
      <c r="K48" s="134"/>
      <c r="L48" s="134"/>
    </row>
    <row r="49" spans="1:12" ht="18" customHeight="1">
      <c r="A49" s="133" t="s">
        <v>41</v>
      </c>
      <c r="B49" s="133"/>
      <c r="C49" s="136" t="str">
        <f>+D16&amp;"   x   "&amp;FIXED(E42,2)&amp;"      ="</f>
        <v>0.85   x   5,243.11      =</v>
      </c>
      <c r="D49" s="136"/>
      <c r="E49" s="136"/>
      <c r="F49" s="61">
        <f>+D16*E42</f>
        <v>4456.6464953885925</v>
      </c>
      <c r="G49" s="56" t="s">
        <v>13</v>
      </c>
      <c r="I49" s="134" t="str">
        <f>"และ  "&amp;IF(+E48&gt;=+F49,FIXED(E48,2)&amp;" &gt;= "&amp;FIXED(F49,2)&amp;" Ok",FIXED(E48,2)&amp;" &lt; "&amp;FIXED(F49,2)&amp;"  No")</f>
        <v>และ  2,381.02 &lt; 4,456.65  No</v>
      </c>
      <c r="J49" s="134"/>
      <c r="K49" s="134"/>
      <c r="L49" s="134"/>
    </row>
    <row r="50" spans="1:12" ht="18" customHeight="1">
      <c r="A50" s="68"/>
      <c r="B50" s="68"/>
      <c r="C50" s="71"/>
      <c r="D50" s="71"/>
      <c r="E50" s="71"/>
      <c r="F50" s="61"/>
      <c r="G50" s="56"/>
      <c r="I50" s="69"/>
      <c r="J50" s="69"/>
      <c r="K50" s="69"/>
      <c r="L50" s="69"/>
    </row>
    <row r="51" spans="1:12">
      <c r="A51" s="105" t="s">
        <v>46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1:12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1:12">
      <c r="H54" s="128" t="s">
        <v>45</v>
      </c>
      <c r="I54" s="128"/>
      <c r="J54" s="128"/>
      <c r="K54" s="128"/>
      <c r="L54" s="128"/>
    </row>
  </sheetData>
  <sheetProtection password="C6A1" sheet="1" objects="1" scenarios="1"/>
  <protectedRanges>
    <protectedRange sqref="G27:H29" name="ช่วง9"/>
    <protectedRange sqref="E26:H26" name="ช่วง8"/>
    <protectedRange sqref="G23:H25" name="ช่วง7"/>
    <protectedRange sqref="H10:H14" name="ช่วง6"/>
    <protectedRange sqref="D10:D11" name="ช่วง5"/>
    <protectedRange sqref="D6" name="ช่วง4"/>
    <protectedRange sqref="H4:H6" name="ช่วง3"/>
    <protectedRange sqref="I2:J3" name="ช่วง2"/>
    <protectedRange sqref="K1" name="ช่วง1"/>
  </protectedRanges>
  <mergeCells count="72">
    <mergeCell ref="E27:E29"/>
    <mergeCell ref="A46:D46"/>
    <mergeCell ref="N9:Y9"/>
    <mergeCell ref="X12:Y12"/>
    <mergeCell ref="H41:K41"/>
    <mergeCell ref="I42:L42"/>
    <mergeCell ref="G37:I37"/>
    <mergeCell ref="G32:K32"/>
    <mergeCell ref="J27:K27"/>
    <mergeCell ref="B20:K20"/>
    <mergeCell ref="E23:E25"/>
    <mergeCell ref="A49:B49"/>
    <mergeCell ref="I49:L49"/>
    <mergeCell ref="A47:D47"/>
    <mergeCell ref="A48:D48"/>
    <mergeCell ref="I48:L48"/>
    <mergeCell ref="C49:E49"/>
    <mergeCell ref="H47:K47"/>
    <mergeCell ref="G36:I36"/>
    <mergeCell ref="B36:F36"/>
    <mergeCell ref="I23:I25"/>
    <mergeCell ref="I27:I29"/>
    <mergeCell ref="H54:L54"/>
    <mergeCell ref="G26:H26"/>
    <mergeCell ref="G31:K31"/>
    <mergeCell ref="G30:K30"/>
    <mergeCell ref="G38:I38"/>
    <mergeCell ref="G33:I33"/>
    <mergeCell ref="G34:I34"/>
    <mergeCell ref="G35:I35"/>
    <mergeCell ref="A42:D42"/>
    <mergeCell ref="A43:D43"/>
    <mergeCell ref="A44:D44"/>
    <mergeCell ref="A45:D45"/>
    <mergeCell ref="H43:K43"/>
    <mergeCell ref="I44:L44"/>
    <mergeCell ref="B32:F32"/>
    <mergeCell ref="A41:D41"/>
    <mergeCell ref="A31:E31"/>
    <mergeCell ref="A30:D30"/>
    <mergeCell ref="A33:D33"/>
    <mergeCell ref="A34:E34"/>
    <mergeCell ref="A35:D35"/>
    <mergeCell ref="B37:F37"/>
    <mergeCell ref="B38:D38"/>
    <mergeCell ref="K1:L1"/>
    <mergeCell ref="I2:J3"/>
    <mergeCell ref="A17:D17"/>
    <mergeCell ref="A51:L53"/>
    <mergeCell ref="G46:H46"/>
    <mergeCell ref="I12:L12"/>
    <mergeCell ref="I11:L11"/>
    <mergeCell ref="A23:A28"/>
    <mergeCell ref="C26:D26"/>
    <mergeCell ref="A40:D40"/>
    <mergeCell ref="K18:L18"/>
    <mergeCell ref="K19:L19"/>
    <mergeCell ref="E18:I18"/>
    <mergeCell ref="E19:I19"/>
    <mergeCell ref="V12:W12"/>
    <mergeCell ref="N11:O11"/>
    <mergeCell ref="P11:Q11"/>
    <mergeCell ref="R11:S11"/>
    <mergeCell ref="T11:U11"/>
    <mergeCell ref="N12:O12"/>
    <mergeCell ref="P12:Q12"/>
    <mergeCell ref="R12:S12"/>
    <mergeCell ref="T12:U12"/>
    <mergeCell ref="N10:S10"/>
    <mergeCell ref="T10:Y10"/>
    <mergeCell ref="V11:W11"/>
    <mergeCell ref="X11:Y11"/>
  </mergeCells>
  <phoneticPr fontId="3" type="noConversion"/>
  <dataValidations count="15">
    <dataValidation type="list" allowBlank="1" showInputMessage="1" showErrorMessage="1" sqref="G26">
      <formula1>"0.05,0.07,0.1,0.125,0.15,0.175,0.2,0.225,0.25"</formula1>
    </dataValidation>
    <dataValidation type="list" allowBlank="1" showInputMessage="1" showErrorMessage="1" sqref="F26">
      <formula1>"RB  6 ,RB  9 ,DB  12"</formula1>
    </dataValidation>
    <dataValidation type="list" allowBlank="1" showInputMessage="1" showErrorMessage="1" sqref="E26">
      <formula1>"1,2,3,4"</formula1>
    </dataValidation>
    <dataValidation type="list" allowBlank="1" showInputMessage="1" showErrorMessage="1" sqref="G29 G23">
      <formula1>"2,3,4,5,6"</formula1>
    </dataValidation>
    <dataValidation type="list" allowBlank="1" showInputMessage="1" showErrorMessage="1" sqref="G27:G28 G24:G25">
      <formula1>"0,1,2,3,4,5,6"</formula1>
    </dataValidation>
    <dataValidation type="list" allowBlank="1" showInputMessage="1" showErrorMessage="1" sqref="H29 H23">
      <formula1>"12,16,20,25,28,32"</formula1>
    </dataValidation>
    <dataValidation type="list" allowBlank="1" showInputMessage="1" showErrorMessage="1" sqref="H24:H25 H27:H28">
      <formula1>"0,12,16,20,25,28,32"</formula1>
    </dataValidation>
    <dataValidation type="list" allowBlank="1" showInputMessage="1" showErrorMessage="1" sqref="H11">
      <formula1>"0.15,0.2,0.25,0.3"</formula1>
    </dataValidation>
    <dataValidation type="list" allowBlank="1" showInputMessage="1" showErrorMessage="1" sqref="H12">
      <formula1>"0.3,0.35,0.4,0.45,0.5,0.6,0.7,0.8,0.9,1.00"</formula1>
    </dataValidation>
    <dataValidation type="list" allowBlank="1" showInputMessage="1" showErrorMessage="1" sqref="H13">
      <formula1>"2.5,3,3.5,4,5,7"</formula1>
    </dataValidation>
    <dataValidation type="list" allowBlank="1" showInputMessage="1" showErrorMessage="1" sqref="H14">
      <formula1>"2.5,3,4,5"</formula1>
    </dataValidation>
    <dataValidation type="list" allowBlank="1" showInputMessage="1" showErrorMessage="1" sqref="D6">
      <formula1>"180,210,240,280"</formula1>
    </dataValidation>
    <dataValidation type="list" allowBlank="1" showInputMessage="1" showErrorMessage="1" sqref="D10">
      <formula1>"3000,4000"</formula1>
    </dataValidation>
    <dataValidation type="list" allowBlank="1" showInputMessage="1" showErrorMessage="1" sqref="D11">
      <formula1>"2400,3000"</formula1>
    </dataValidation>
    <dataValidation type="list" allowBlank="1" showInputMessage="1" showErrorMessage="1" sqref="H4">
      <formula1>"+,-"</formula1>
    </dataValidation>
  </dataValidations>
  <pageMargins left="0.94488188976377963" right="0" top="0.39370078740157483" bottom="0" header="0.51181102362204722" footer="0.51181102362204722"/>
  <pageSetup paperSize="9" scale="85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ออกแบบคานUSD</vt:lpstr>
      <vt:lpstr>ออกแบบคานUSD!Print_Area</vt:lpstr>
    </vt:vector>
  </TitlesOfParts>
  <Company>iLLUSiON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CMW</cp:lastModifiedBy>
  <cp:lastPrinted>2008-08-02T13:24:24Z</cp:lastPrinted>
  <dcterms:created xsi:type="dcterms:W3CDTF">2007-12-21T03:11:56Z</dcterms:created>
  <dcterms:modified xsi:type="dcterms:W3CDTF">2011-01-22T04:15:47Z</dcterms:modified>
</cp:coreProperties>
</file>