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521" windowWidth="7785" windowHeight="5790" activeTab="2"/>
  </bookViews>
  <sheets>
    <sheet name="Cover" sheetId="1" r:id="rId1"/>
    <sheet name="Load Pile" sheetId="2" r:id="rId2"/>
    <sheet name="F1" sheetId="3" r:id="rId3"/>
    <sheet name="F2" sheetId="4" r:id="rId4"/>
    <sheet name="F3" sheetId="5" r:id="rId5"/>
    <sheet name="F4" sheetId="6" r:id="rId6"/>
  </sheets>
  <definedNames>
    <definedName name="Ac">#REF!</definedName>
    <definedName name="Ag">#REF!</definedName>
    <definedName name="As_1">#REF!</definedName>
    <definedName name="As_2">#REF!</definedName>
    <definedName name="At">#REF!</definedName>
    <definedName name="Av">#REF!</definedName>
    <definedName name="Av_At">#REF!</definedName>
    <definedName name="B">#REF!</definedName>
    <definedName name="B_1">#REF!</definedName>
    <definedName name="Covering">#REF!</definedName>
    <definedName name="D">#REF!</definedName>
    <definedName name="d_">#REF!</definedName>
    <definedName name="d_1">#REF!</definedName>
    <definedName name="dd">#REF!</definedName>
    <definedName name="Ec">#REF!</definedName>
    <definedName name="Es">#REF!</definedName>
    <definedName name="fc">#REF!</definedName>
    <definedName name="fc_">#REF!</definedName>
    <definedName name="fs">#REF!</definedName>
    <definedName name="fv">#REF!</definedName>
    <definedName name="fy">#REF!</definedName>
    <definedName name="fy_shear">#REF!</definedName>
    <definedName name="j">#REF!</definedName>
    <definedName name="k">#REF!</definedName>
    <definedName name="KK">#REF!</definedName>
    <definedName name="L">#REF!</definedName>
    <definedName name="Ls">#REF!</definedName>
    <definedName name="m">#REF!</definedName>
    <definedName name="M_">#REF!</definedName>
    <definedName name="M_1">#REF!</definedName>
    <definedName name="M_2">#REF!</definedName>
    <definedName name="Mc">#REF!</definedName>
    <definedName name="Mmax">#REF!</definedName>
    <definedName name="n">#REF!</definedName>
    <definedName name="Nu">#REF!</definedName>
    <definedName name="_xlnm.Print_Area" localSheetId="0">'Cover'!$A$1:$N$34</definedName>
    <definedName name="_xlnm.Print_Area" localSheetId="2">'F1'!$A$1:$AB$51</definedName>
    <definedName name="_xlnm.Print_Area" localSheetId="3">'F2'!$A$1:$AB$51</definedName>
    <definedName name="_xlnm.Print_Area" localSheetId="4">'F3'!$A$1:$AB$51</definedName>
    <definedName name="_xlnm.Print_Area" localSheetId="5">'F4'!$A$1:$AB$51</definedName>
    <definedName name="_xlnm.Print_Area" localSheetId="1">'Load Pile'!$A$1:$AB$51</definedName>
    <definedName name="R_">#REF!</definedName>
    <definedName name="R_1">#REF!</definedName>
    <definedName name="SC">#REF!</definedName>
    <definedName name="Torsion">#REF!</definedName>
    <definedName name="unit_w">#REF!</definedName>
    <definedName name="V">#REF!</definedName>
    <definedName name="V_Vc">#REF!</definedName>
    <definedName name="Vc">#REF!</definedName>
    <definedName name="vc_small">#REF!</definedName>
    <definedName name="vc1">#REF!</definedName>
    <definedName name="Vd">#REF!</definedName>
    <definedName name="Vt">#REF!</definedName>
    <definedName name="X">#REF!</definedName>
    <definedName name="z">#REF!</definedName>
    <definedName name="Z_F8B6E384_DA78_4E66_BE93_85AD65B250CC_.wvu.PrintArea" localSheetId="0" hidden="1">'Cover'!$A$1:$N$34</definedName>
    <definedName name="Ρw">#REF!</definedName>
  </definedNames>
  <calcPr fullCalcOnLoad="1"/>
</workbook>
</file>

<file path=xl/sharedStrings.xml><?xml version="1.0" encoding="utf-8"?>
<sst xmlns="http://schemas.openxmlformats.org/spreadsheetml/2006/main" count="1047" uniqueCount="261">
  <si>
    <t>Project :</t>
  </si>
  <si>
    <t>Owner :</t>
  </si>
  <si>
    <t>Location :</t>
  </si>
  <si>
    <t>=</t>
  </si>
  <si>
    <t>-</t>
  </si>
  <si>
    <t>Developed by</t>
  </si>
  <si>
    <t>จตุพล สายัณหวัฒน์ (MUTT 2008)</t>
  </si>
  <si>
    <t>ชื่อเจ้าของโครงการ :</t>
  </si>
  <si>
    <t>ที่อยู่โครงการ :</t>
  </si>
  <si>
    <t>วิศวกรผู้ออกแบบ :</t>
  </si>
  <si>
    <t>ทฤษฏีในการออกแบบ :</t>
  </si>
  <si>
    <t>วิศวกรรมสถานแห่งประเทศไทย (ว.ส.ท.) สำหรับอาคารคอนกรีตเสริมเหล็ก (วิธีกำลังวัสดุ)</t>
  </si>
  <si>
    <t>วิศวกรรมสถานแห่งประเทศไทย (ว.ส.ท.) สำหรับอาคารเหล็กรูปพรรณ</t>
  </si>
  <si>
    <t>Amarican concrete institute (ACI 318-99)</t>
  </si>
  <si>
    <t xml:space="preserve">          มาตรฐานอ้างอิงในการออกแบบ</t>
  </si>
  <si>
    <t xml:space="preserve">          หน่วยที่ใช้ออกแบบ</t>
  </si>
  <si>
    <t>หน่วยความยาว</t>
  </si>
  <si>
    <t>หน่วยน้ำหนัก</t>
  </si>
  <si>
    <t>หน่วยแรง</t>
  </si>
  <si>
    <t>แรงดัด</t>
  </si>
  <si>
    <t>แรงบิด</t>
  </si>
  <si>
    <t>แรงเฉือน</t>
  </si>
  <si>
    <t>อุณหภูมิ</t>
  </si>
  <si>
    <t>เมตร (m.)</t>
  </si>
  <si>
    <t>กิโลกรัม (kg.) , ตัน (Ton.)</t>
  </si>
  <si>
    <t>กิโลกรัมต่อตารางเมตร (ksc.)</t>
  </si>
  <si>
    <t>กิโลกรัมเมตร (kg.-m.)</t>
  </si>
  <si>
    <t>กิโลกรัม (kg.)</t>
  </si>
  <si>
    <t>องศาเซลเซียส</t>
  </si>
  <si>
    <t>******* หากในรายการคำนวณไม่ได้ระบุหน่วย  ให้ใช้หน่วย Metric *******</t>
  </si>
  <si>
    <r>
      <t xml:space="preserve">ป้อนข้อมูลอักษร </t>
    </r>
    <r>
      <rPr>
        <sz val="10"/>
        <color indexed="12"/>
        <rFont val="Comic Sans MS"/>
        <family val="4"/>
      </rPr>
      <t>สีฟ้า</t>
    </r>
  </si>
  <si>
    <t>รายการคำนวณและออกแบบ</t>
  </si>
  <si>
    <t>หน่วยแรงใช้งาน</t>
  </si>
  <si>
    <t>Date :</t>
  </si>
  <si>
    <t>Yeild stress , fy (ksc.)</t>
  </si>
  <si>
    <t>Elastic Modulus of steel , Es (ksc.)</t>
  </si>
  <si>
    <t>Comp. Stress of Concrete , fc' (ksc.)</t>
  </si>
  <si>
    <t>Elastic Modulus of Concrete , Ec (ksc.)</t>
  </si>
  <si>
    <t>Input Data :</t>
  </si>
  <si>
    <t>m.</t>
  </si>
  <si>
    <t>Allowable Stress of Steel, fs ( ksc.)</t>
  </si>
  <si>
    <t>Factor</t>
  </si>
  <si>
    <r>
      <t>Unit Weight ,</t>
    </r>
    <r>
      <rPr>
        <sz val="11"/>
        <rFont val="Symbol"/>
        <family val="1"/>
      </rPr>
      <t>g</t>
    </r>
    <r>
      <rPr>
        <b/>
        <sz val="9"/>
        <rFont val="Comic Sans MS"/>
        <family val="4"/>
      </rPr>
      <t xml:space="preserve"> </t>
    </r>
    <r>
      <rPr>
        <sz val="9"/>
        <rFont val="Comic Sans MS"/>
        <family val="4"/>
      </rPr>
      <t>(kg/m.3)</t>
    </r>
  </si>
  <si>
    <t>Allowable Stress of Concrete , fc (ksc.)</t>
  </si>
  <si>
    <t>Design Parameter:</t>
  </si>
  <si>
    <t>n = Es/Ec</t>
  </si>
  <si>
    <t>k =  1/(1+fs/(n*fc))</t>
  </si>
  <si>
    <t>j = 1-k/3</t>
  </si>
  <si>
    <t>R = 0.5*fc*k*j (ksc.)</t>
  </si>
  <si>
    <t>Engineer :</t>
  </si>
  <si>
    <t>License :</t>
  </si>
  <si>
    <t>ksc.</t>
  </si>
  <si>
    <t>Constant :</t>
  </si>
  <si>
    <t>Footting No :</t>
  </si>
  <si>
    <t>Calculate Skin Friction Pile</t>
  </si>
  <si>
    <t>Calculate Skin Friction</t>
  </si>
  <si>
    <t>กำลังอัดประลัยของคอนกรีตที่ทำเสาเข็ม , fc' of Pile</t>
  </si>
  <si>
    <t>กำลังอัดประลัยของคอนกรีตที่ทำฐานราก , fc' of Footing</t>
  </si>
  <si>
    <t>พื้นที่หน้าตัดเสาเข็ม , A</t>
  </si>
  <si>
    <t>เส้นรอบรูปเสาเข็ม , p</t>
  </si>
  <si>
    <t>ความลึกของเสาเข็ม , L</t>
  </si>
  <si>
    <t>cm.²</t>
  </si>
  <si>
    <t>cm.</t>
  </si>
  <si>
    <t>เปรียบเทียบค่า P แล้วเลือกค่าน้อยที่สุดจะได้กำลังรับน้ำหนักปลอดภัยของเสาเข็ม</t>
  </si>
  <si>
    <t>I-0.18X0.18</t>
  </si>
  <si>
    <t>I-0.22X0.22</t>
  </si>
  <si>
    <t>I-0.26X0.26</t>
  </si>
  <si>
    <t>I-0.30X0.30</t>
  </si>
  <si>
    <t>I-0.35X0.35</t>
  </si>
  <si>
    <t>I-0.40X0.40</t>
  </si>
  <si>
    <t>S-0.16X0.16</t>
  </si>
  <si>
    <t>S-0.18X0.18</t>
  </si>
  <si>
    <t>S-0.22X0.22</t>
  </si>
  <si>
    <t>S-0.26X0.26</t>
  </si>
  <si>
    <t>S-0.30X0.30</t>
  </si>
  <si>
    <t>S-0.35X0.35</t>
  </si>
  <si>
    <t>S-0.40X0.40</t>
  </si>
  <si>
    <t>เสาเข็มตอก</t>
  </si>
  <si>
    <t>ชนิดของเสาเข็มเป็นประเภท</t>
  </si>
  <si>
    <t>SO-0.40X0.40</t>
  </si>
  <si>
    <t>SO-0.525X0.525</t>
  </si>
  <si>
    <t>Hp-0.15X0.15</t>
  </si>
  <si>
    <t>Select Section Pile</t>
  </si>
  <si>
    <t>p</t>
  </si>
  <si>
    <t>A</t>
  </si>
  <si>
    <t>เสาเข็มเจาะขนาด</t>
  </si>
  <si>
    <t>เสาเข็มคอนกรีตอัดแรงรูปตัว I ขนาด</t>
  </si>
  <si>
    <t>เสาเข็มคอนกรีตอัดแรงรูปตัว S ขนาด</t>
  </si>
  <si>
    <t>เสาเข็มคอนกรีตอัดแรงรูปตัว SO ขนาด</t>
  </si>
  <si>
    <t>เสาเข็มคอนกรีตอัดแรงรูปตัว Hp ขนาด</t>
  </si>
  <si>
    <t>DIA.-0.35</t>
  </si>
  <si>
    <t>DIA.-0.50</t>
  </si>
  <si>
    <t>DIA.-0.60</t>
  </si>
  <si>
    <t>DIA.-0.80</t>
  </si>
  <si>
    <t>f</t>
  </si>
  <si>
    <t>L</t>
  </si>
  <si>
    <t>Ton</t>
  </si>
  <si>
    <t>Axial Load , P (kg.)</t>
  </si>
  <si>
    <t>Total Service Load , Pt(kg.)</t>
  </si>
  <si>
    <t>Select Length Pile</t>
  </si>
  <si>
    <t>Use Driven Pile</t>
  </si>
  <si>
    <t>Use Bored Pile</t>
  </si>
  <si>
    <t>Width of Column , Wc (m.)</t>
  </si>
  <si>
    <t>Long of Column , Lc (m.)</t>
  </si>
  <si>
    <r>
      <t>Width of Footing , W</t>
    </r>
    <r>
      <rPr>
        <vertAlign val="subscript"/>
        <sz val="9"/>
        <rFont val="Comic Sans MS"/>
        <family val="4"/>
      </rPr>
      <t>F</t>
    </r>
    <r>
      <rPr>
        <sz val="9"/>
        <rFont val="Comic Sans MS"/>
        <family val="4"/>
      </rPr>
      <t xml:space="preserve"> (m.)</t>
    </r>
  </si>
  <si>
    <r>
      <t>Long of Footing , L</t>
    </r>
    <r>
      <rPr>
        <vertAlign val="subscript"/>
        <sz val="9"/>
        <rFont val="Comic Sans MS"/>
        <family val="4"/>
      </rPr>
      <t>F</t>
    </r>
    <r>
      <rPr>
        <sz val="9"/>
        <rFont val="Comic Sans MS"/>
        <family val="4"/>
      </rPr>
      <t xml:space="preserve"> (m.)</t>
    </r>
  </si>
  <si>
    <t>Thickness , T (m.)</t>
  </si>
  <si>
    <t>Concrete Corvering , (m.)</t>
  </si>
  <si>
    <t>Dimention Footing</t>
  </si>
  <si>
    <t>X</t>
  </si>
  <si>
    <t>Y</t>
  </si>
  <si>
    <t>Dimention Column</t>
  </si>
  <si>
    <t>Footing</t>
  </si>
  <si>
    <t>WF</t>
  </si>
  <si>
    <t>LF</t>
  </si>
  <si>
    <t>Column</t>
  </si>
  <si>
    <t>Wc</t>
  </si>
  <si>
    <t>Lc</t>
  </si>
  <si>
    <t>Select Column</t>
  </si>
  <si>
    <t>Diameter of Column , Dc (m.)</t>
  </si>
  <si>
    <t>Elevetion Footing</t>
  </si>
  <si>
    <t>T</t>
  </si>
  <si>
    <t>Pile</t>
  </si>
  <si>
    <t>Dimension Pile</t>
  </si>
  <si>
    <t>CL</t>
  </si>
  <si>
    <t>เส้นหยุด</t>
  </si>
  <si>
    <t>Main steel</t>
  </si>
  <si>
    <t>เหล็กรัดรอบ</t>
  </si>
  <si>
    <t>Bottom Steel</t>
  </si>
  <si>
    <t>Number steel</t>
  </si>
  <si>
    <t>T1</t>
  </si>
  <si>
    <t>Main Bars Design :</t>
  </si>
  <si>
    <t>Pcon = (0.2125*Ag*fc') , (kg.)</t>
  </si>
  <si>
    <t>Drawing  Footing</t>
  </si>
  <si>
    <t>Detail  Footing</t>
  </si>
  <si>
    <t>Main Steel</t>
  </si>
  <si>
    <t>Use Pile</t>
  </si>
  <si>
    <t>Pcon</t>
  </si>
  <si>
    <r>
      <t>Area of Steel , (cm.</t>
    </r>
    <r>
      <rPr>
        <sz val="9"/>
        <rFont val="Arial"/>
        <family val="0"/>
      </rPr>
      <t>²)</t>
    </r>
  </si>
  <si>
    <t>\</t>
  </si>
  <si>
    <t>Total Service Load , (kg.)</t>
  </si>
  <si>
    <t>As</t>
  </si>
  <si>
    <r>
      <t>As Required , (0.002*B*T)  (cm.</t>
    </r>
    <r>
      <rPr>
        <sz val="9"/>
        <rFont val="Arial"/>
        <family val="0"/>
      </rPr>
      <t>²</t>
    </r>
    <r>
      <rPr>
        <sz val="9"/>
        <rFont val="Comic Sans MS"/>
        <family val="4"/>
      </rPr>
      <t>)</t>
    </r>
  </si>
  <si>
    <t>Assume Weight Footing 10%</t>
  </si>
  <si>
    <t>Pile Safe Load , kg./Pile</t>
  </si>
  <si>
    <t>Safety Load</t>
  </si>
  <si>
    <t>Calculate</t>
  </si>
  <si>
    <t>Ag</t>
  </si>
  <si>
    <t>Deff</t>
  </si>
  <si>
    <t>DB12</t>
  </si>
  <si>
    <t>DB16</t>
  </si>
  <si>
    <t>DB20</t>
  </si>
  <si>
    <t>DB25</t>
  </si>
  <si>
    <t>DB28</t>
  </si>
  <si>
    <t>DB32</t>
  </si>
  <si>
    <t>RB9</t>
  </si>
  <si>
    <t>Select Main Steel</t>
  </si>
  <si>
    <t>Footing Dim.</t>
  </si>
  <si>
    <t>F1</t>
  </si>
  <si>
    <t>F2</t>
  </si>
  <si>
    <t>ระยะหุ้มเสาเข็ม</t>
  </si>
  <si>
    <t>Grid Pile</t>
  </si>
  <si>
    <t>Checking :</t>
  </si>
  <si>
    <t>Load/Pile</t>
  </si>
  <si>
    <t>Load*10%</t>
  </si>
  <si>
    <t>case 1</t>
  </si>
  <si>
    <t>V</t>
  </si>
  <si>
    <t>M</t>
  </si>
  <si>
    <t>Check d</t>
  </si>
  <si>
    <t>use d</t>
  </si>
  <si>
    <t>Check Beam Shear</t>
  </si>
  <si>
    <t>ระยะวิกฤต</t>
  </si>
  <si>
    <t>ระยะเสาเข็ม</t>
  </si>
  <si>
    <t>ระยะห่างเสาเข็ม</t>
  </si>
  <si>
    <t>v</t>
  </si>
  <si>
    <t>vc</t>
  </si>
  <si>
    <t>Condition</t>
  </si>
  <si>
    <t>P</t>
  </si>
  <si>
    <t>x</t>
  </si>
  <si>
    <t>P'</t>
  </si>
  <si>
    <t>Check Punching Shear</t>
  </si>
  <si>
    <t>1.37As</t>
  </si>
  <si>
    <t>Bond</t>
  </si>
  <si>
    <t>เหล็กอื่นๆนอกจากเหล็กบน</t>
  </si>
  <si>
    <t>U RB</t>
  </si>
  <si>
    <t>U DB</t>
  </si>
  <si>
    <t>u</t>
  </si>
  <si>
    <t>Select Unit Weight</t>
  </si>
  <si>
    <t>Axial Load , P (Ton.)</t>
  </si>
  <si>
    <t>Total Service Load , Pt(Ton.)</t>
  </si>
  <si>
    <t>Pile Safe Load , (Ton./Pile)</t>
  </si>
  <si>
    <t>Pile Safe Load , (kg./Pile)</t>
  </si>
  <si>
    <t>Calculate :</t>
  </si>
  <si>
    <t>Load to Pile</t>
  </si>
  <si>
    <t>Pa</t>
  </si>
  <si>
    <t>d</t>
  </si>
  <si>
    <t>Efective Depth</t>
  </si>
  <si>
    <t>Beam Shear</t>
  </si>
  <si>
    <t>vb</t>
  </si>
  <si>
    <t>Punching Shear</t>
  </si>
  <si>
    <t>vp</t>
  </si>
  <si>
    <t>Ast</t>
  </si>
  <si>
    <t>Area of Steel</t>
  </si>
  <si>
    <t>Select Steel</t>
  </si>
  <si>
    <r>
      <t>cm.</t>
    </r>
    <r>
      <rPr>
        <sz val="9"/>
        <rFont val="Arial"/>
        <family val="0"/>
      </rPr>
      <t>²</t>
    </r>
  </si>
  <si>
    <t>As main</t>
  </si>
  <si>
    <t>As temp.</t>
  </si>
  <si>
    <t>Bond Stress</t>
  </si>
  <si>
    <r>
      <t>Σ</t>
    </r>
    <r>
      <rPr>
        <sz val="9"/>
        <rFont val="Comic Sans MS"/>
        <family val="4"/>
      </rPr>
      <t>o main</t>
    </r>
  </si>
  <si>
    <r>
      <t>Σ</t>
    </r>
    <r>
      <rPr>
        <sz val="9"/>
        <rFont val="Comic Sans MS"/>
        <family val="4"/>
      </rPr>
      <t>o temp.</t>
    </r>
  </si>
  <si>
    <t>Temp. Steel</t>
  </si>
  <si>
    <r>
      <t>∑</t>
    </r>
    <r>
      <rPr>
        <sz val="9"/>
        <rFont val="Comic Sans MS"/>
        <family val="4"/>
      </rPr>
      <t>o main</t>
    </r>
  </si>
  <si>
    <r>
      <t>∑</t>
    </r>
    <r>
      <rPr>
        <sz val="9"/>
        <rFont val="Comic Sans MS"/>
        <family val="4"/>
      </rPr>
      <t>o temp.</t>
    </r>
  </si>
  <si>
    <t>Y1</t>
  </si>
  <si>
    <t>Y2</t>
  </si>
  <si>
    <t>ความสูงรวม</t>
  </si>
  <si>
    <t>ช่วงบนกราฟ</t>
  </si>
  <si>
    <t>ช่วงล่างกราฟ</t>
  </si>
  <si>
    <t>X1</t>
  </si>
  <si>
    <t>X2</t>
  </si>
  <si>
    <t>ด้านกว้างสุด</t>
  </si>
  <si>
    <t>รองกว้าง</t>
  </si>
  <si>
    <t>L1</t>
  </si>
  <si>
    <t>L2 L3 L4</t>
  </si>
  <si>
    <t>L5</t>
  </si>
  <si>
    <t>L1 (m.)</t>
  </si>
  <si>
    <t>L2 (m.)</t>
  </si>
  <si>
    <t>F3</t>
  </si>
  <si>
    <t>Area F</t>
  </si>
  <si>
    <t>Area F1</t>
  </si>
  <si>
    <t>Net Area</t>
  </si>
  <si>
    <t>x1</t>
  </si>
  <si>
    <t>y1</t>
  </si>
  <si>
    <t>y2 beam</t>
  </si>
  <si>
    <t>y2 Punch</t>
  </si>
  <si>
    <t>X2 beam</t>
  </si>
  <si>
    <t>X2 punch</t>
  </si>
  <si>
    <t>L2</t>
  </si>
  <si>
    <t>Dimension Footing</t>
  </si>
  <si>
    <t>L3</t>
  </si>
  <si>
    <t>L4</t>
  </si>
  <si>
    <t>Length (m.)</t>
  </si>
  <si>
    <t>Thickness</t>
  </si>
  <si>
    <t>14/fy</t>
  </si>
  <si>
    <t>y2</t>
  </si>
  <si>
    <t>Footing Design</t>
  </si>
  <si>
    <t>F4</t>
  </si>
  <si>
    <t>Vpunching</t>
  </si>
  <si>
    <t>b</t>
  </si>
  <si>
    <r>
      <t>∑</t>
    </r>
    <r>
      <rPr>
        <sz val="9"/>
        <color indexed="9"/>
        <rFont val="Comic Sans MS"/>
        <family val="4"/>
      </rPr>
      <t>o main</t>
    </r>
  </si>
  <si>
    <r>
      <t>∑</t>
    </r>
    <r>
      <rPr>
        <sz val="9"/>
        <color indexed="9"/>
        <rFont val="Comic Sans MS"/>
        <family val="4"/>
      </rPr>
      <t>o temp.</t>
    </r>
  </si>
  <si>
    <t>ขอบตอม่อ</t>
  </si>
  <si>
    <t>X2 ขอบตอม่อ</t>
  </si>
  <si>
    <r>
      <t>∑</t>
    </r>
    <r>
      <rPr>
        <sz val="9"/>
        <color indexed="8"/>
        <rFont val="Comic Sans MS"/>
        <family val="4"/>
      </rPr>
      <t>o main</t>
    </r>
  </si>
  <si>
    <r>
      <t>∑</t>
    </r>
    <r>
      <rPr>
        <sz val="9"/>
        <color indexed="8"/>
        <rFont val="Comic Sans MS"/>
        <family val="4"/>
      </rPr>
      <t>o temp.</t>
    </r>
  </si>
  <si>
    <t>Page No.</t>
  </si>
  <si>
    <t>อาคารพาณิชย์</t>
  </si>
  <si>
    <t>คุณทดลอง</t>
  </si>
  <si>
    <t>กทม.</t>
  </si>
  <si>
    <t>สมมุติ</t>
  </si>
  <si>
    <t>สย.0000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</si>
</sst>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"/>
    <numFmt numFmtId="189" formatCode="0.000"/>
    <numFmt numFmtId="190" formatCode="0.00000"/>
    <numFmt numFmtId="191" formatCode="[$-41E]d\ mmmm\ yyyy"/>
    <numFmt numFmtId="192" formatCode="0.0000000"/>
    <numFmt numFmtId="193" formatCode="0.000000"/>
    <numFmt numFmtId="194" formatCode="0.0000000000"/>
    <numFmt numFmtId="195" formatCode="0.00000000000"/>
    <numFmt numFmtId="196" formatCode="0.000000000"/>
    <numFmt numFmtId="197" formatCode="0.00000000"/>
    <numFmt numFmtId="198" formatCode="#,##0.0"/>
    <numFmt numFmtId="199" formatCode="#,##0.000"/>
    <numFmt numFmtId="200" formatCode="#,##0.0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_-* #,##0.00000_-;\-* #,##0.00000_-;_-* &quot;-&quot;??_-;_-@_-"/>
    <numFmt numFmtId="206" formatCode="0.0000E+00"/>
    <numFmt numFmtId="207" formatCode="0.000E+00"/>
    <numFmt numFmtId="208" formatCode="#,##0_ ;\-#,##0\ "/>
    <numFmt numFmtId="209" formatCode="0.0%"/>
    <numFmt numFmtId="210" formatCode="0.0E+00"/>
    <numFmt numFmtId="211" formatCode="0E+00"/>
    <numFmt numFmtId="212" formatCode="0.000000000000000"/>
    <numFmt numFmtId="213" formatCode="0.00000000000000"/>
    <numFmt numFmtId="214" formatCode="0.0000000000000"/>
    <numFmt numFmtId="215" formatCode="0.000000000000"/>
  </numFmts>
  <fonts count="66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omic Sans MS"/>
      <family val="4"/>
    </font>
    <font>
      <sz val="11"/>
      <name val="Comic Sans MS"/>
      <family val="4"/>
    </font>
    <font>
      <u val="single"/>
      <sz val="10"/>
      <color indexed="10"/>
      <name val="Comic Sans MS"/>
      <family val="4"/>
    </font>
    <font>
      <b/>
      <sz val="26"/>
      <name val="Comic Sans MS"/>
      <family val="4"/>
    </font>
    <font>
      <sz val="20"/>
      <color indexed="12"/>
      <name val="Comic Sans MS"/>
      <family val="4"/>
    </font>
    <font>
      <b/>
      <sz val="11"/>
      <name val="Comic Sans MS"/>
      <family val="4"/>
    </font>
    <font>
      <sz val="11"/>
      <color indexed="12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i/>
      <u val="single"/>
      <sz val="10"/>
      <name val="Comic Sans MS"/>
      <family val="4"/>
    </font>
    <font>
      <sz val="9"/>
      <color indexed="17"/>
      <name val="Comic Sans MS"/>
      <family val="4"/>
    </font>
    <font>
      <sz val="9"/>
      <color indexed="12"/>
      <name val="Comic Sans MS"/>
      <family val="4"/>
    </font>
    <font>
      <sz val="11"/>
      <name val="Symbol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i/>
      <sz val="9"/>
      <name val="Comic Sans MS"/>
      <family val="4"/>
    </font>
    <font>
      <b/>
      <i/>
      <u val="single"/>
      <sz val="9"/>
      <name val="Comic Sans MS"/>
      <family val="4"/>
    </font>
    <font>
      <b/>
      <i/>
      <u val="single"/>
      <sz val="9"/>
      <color indexed="10"/>
      <name val="Comic Sans MS"/>
      <family val="4"/>
    </font>
    <font>
      <vertAlign val="subscript"/>
      <sz val="11"/>
      <name val="Comic Sans MS"/>
      <family val="4"/>
    </font>
    <font>
      <b/>
      <i/>
      <sz val="9"/>
      <color indexed="10"/>
      <name val="Comic Sans MS"/>
      <family val="4"/>
    </font>
    <font>
      <sz val="9"/>
      <color indexed="63"/>
      <name val="Comic Sans MS"/>
      <family val="4"/>
    </font>
    <font>
      <sz val="8"/>
      <name val="Comic Sans MS"/>
      <family val="4"/>
    </font>
    <font>
      <sz val="8"/>
      <name val="Tahoma"/>
      <family val="2"/>
    </font>
    <font>
      <sz val="9"/>
      <name val="Arial"/>
      <family val="0"/>
    </font>
    <font>
      <b/>
      <sz val="9"/>
      <color indexed="12"/>
      <name val="Comic Sans MS"/>
      <family val="4"/>
    </font>
    <font>
      <vertAlign val="subscript"/>
      <sz val="9"/>
      <name val="Comic Sans MS"/>
      <family val="4"/>
    </font>
    <font>
      <sz val="5.25"/>
      <name val="Arial"/>
      <family val="0"/>
    </font>
    <font>
      <sz val="9"/>
      <color indexed="8"/>
      <name val="Comic Sans MS"/>
      <family val="4"/>
    </font>
    <font>
      <b/>
      <sz val="10"/>
      <color indexed="8"/>
      <name val="Comic Sans MS"/>
      <family val="4"/>
    </font>
    <font>
      <b/>
      <sz val="11.25"/>
      <name val="Arial"/>
      <family val="2"/>
    </font>
    <font>
      <sz val="14"/>
      <name val="Symbol"/>
      <family val="1"/>
    </font>
    <font>
      <sz val="5"/>
      <name val="Arial"/>
      <family val="0"/>
    </font>
    <font>
      <b/>
      <sz val="12"/>
      <name val="Arial"/>
      <family val="2"/>
    </font>
    <font>
      <sz val="5.75"/>
      <name val="Arial"/>
      <family val="0"/>
    </font>
    <font>
      <sz val="9"/>
      <color indexed="9"/>
      <name val="Comic Sans MS"/>
      <family val="4"/>
    </font>
    <font>
      <sz val="9"/>
      <color indexed="9"/>
      <name val="Arial"/>
      <family val="0"/>
    </font>
    <font>
      <vertAlign val="subscript"/>
      <sz val="11"/>
      <color indexed="9"/>
      <name val="Comic Sans MS"/>
      <family val="4"/>
    </font>
    <font>
      <b/>
      <sz val="10.75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Comic Sans MS"/>
      <family val="4"/>
    </font>
    <font>
      <b/>
      <sz val="9"/>
      <color indexed="9"/>
      <name val="Comic Sans MS"/>
      <family val="4"/>
    </font>
    <font>
      <b/>
      <sz val="9"/>
      <color indexed="8"/>
      <name val="Comic Sans MS"/>
      <family val="4"/>
    </font>
    <font>
      <sz val="9"/>
      <color indexed="8"/>
      <name val="Arial"/>
      <family val="0"/>
    </font>
    <font>
      <vertAlign val="subscript"/>
      <sz val="11"/>
      <color indexed="8"/>
      <name val="Comic Sans MS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0" fontId="1" fillId="25" borderId="18" xfId="0" applyFont="1" applyFill="1" applyBorder="1" applyAlignment="1">
      <alignment/>
    </xf>
    <xf numFmtId="0" fontId="7" fillId="25" borderId="18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7" borderId="0" xfId="0" applyFont="1" applyFill="1" applyAlignment="1">
      <alignment/>
    </xf>
    <xf numFmtId="3" fontId="13" fillId="24" borderId="0" xfId="0" applyNumberFormat="1" applyFont="1" applyFill="1" applyAlignment="1" applyProtection="1">
      <alignment/>
      <protection/>
    </xf>
    <xf numFmtId="3" fontId="13" fillId="24" borderId="0" xfId="0" applyNumberFormat="1" applyFont="1" applyFill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 locked="0"/>
    </xf>
    <xf numFmtId="1" fontId="16" fillId="24" borderId="0" xfId="0" applyNumberFormat="1" applyFont="1" applyFill="1" applyBorder="1" applyAlignment="1" applyProtection="1">
      <alignment horizontal="center"/>
      <protection/>
    </xf>
    <xf numFmtId="1" fontId="42" fillId="24" borderId="0" xfId="0" applyNumberFormat="1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 horizontal="center"/>
      <protection/>
    </xf>
    <xf numFmtId="2" fontId="16" fillId="24" borderId="0" xfId="0" applyNumberFormat="1" applyFon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0" fontId="13" fillId="24" borderId="2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0" fontId="39" fillId="24" borderId="0" xfId="0" applyFont="1" applyFill="1" applyBorder="1" applyAlignment="1" applyProtection="1">
      <alignment/>
      <protection/>
    </xf>
    <xf numFmtId="0" fontId="17" fillId="24" borderId="0" xfId="0" applyFont="1" applyFill="1" applyBorder="1" applyAlignment="1" applyProtection="1">
      <alignment vertical="center" textRotation="90"/>
      <protection/>
    </xf>
    <xf numFmtId="0" fontId="15" fillId="24" borderId="0" xfId="0" applyFont="1" applyFill="1" applyBorder="1" applyAlignment="1" applyProtection="1">
      <alignment/>
      <protection/>
    </xf>
    <xf numFmtId="0" fontId="15" fillId="24" borderId="0" xfId="0" applyFont="1" applyFill="1" applyBorder="1" applyAlignment="1" applyProtection="1">
      <alignment/>
      <protection/>
    </xf>
    <xf numFmtId="3" fontId="13" fillId="24" borderId="0" xfId="0" applyNumberFormat="1" applyFon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0" fontId="13" fillId="24" borderId="20" xfId="0" applyFont="1" applyFill="1" applyBorder="1" applyAlignment="1" applyProtection="1">
      <alignment/>
      <protection/>
    </xf>
    <xf numFmtId="0" fontId="13" fillId="24" borderId="20" xfId="0" applyFont="1" applyFill="1" applyBorder="1" applyAlignment="1" applyProtection="1">
      <alignment horizontal="center"/>
      <protection/>
    </xf>
    <xf numFmtId="0" fontId="13" fillId="7" borderId="0" xfId="0" applyFont="1" applyFill="1" applyAlignment="1" applyProtection="1">
      <alignment/>
      <protection/>
    </xf>
    <xf numFmtId="0" fontId="13" fillId="24" borderId="0" xfId="0" applyFont="1" applyFill="1" applyAlignment="1" applyProtection="1">
      <alignment horizontal="center"/>
      <protection/>
    </xf>
    <xf numFmtId="0" fontId="3" fillId="24" borderId="0" xfId="0" applyFont="1" applyFill="1" applyAlignment="1" applyProtection="1">
      <alignment/>
      <protection/>
    </xf>
    <xf numFmtId="0" fontId="8" fillId="7" borderId="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24" borderId="21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6" fillId="7" borderId="0" xfId="0" applyFont="1" applyFill="1" applyBorder="1" applyAlignment="1" applyProtection="1">
      <alignment/>
      <protection/>
    </xf>
    <xf numFmtId="0" fontId="36" fillId="24" borderId="22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14" fillId="24" borderId="0" xfId="0" applyFont="1" applyFill="1" applyBorder="1" applyAlignment="1" applyProtection="1">
      <alignment horizontal="center"/>
      <protection/>
    </xf>
    <xf numFmtId="0" fontId="13" fillId="7" borderId="0" xfId="0" applyFont="1" applyFill="1" applyBorder="1" applyAlignment="1" applyProtection="1">
      <alignment/>
      <protection/>
    </xf>
    <xf numFmtId="0" fontId="37" fillId="24" borderId="0" xfId="0" applyFont="1" applyFill="1" applyAlignment="1" applyProtection="1">
      <alignment/>
      <protection/>
    </xf>
    <xf numFmtId="0" fontId="37" fillId="24" borderId="0" xfId="0" applyFont="1" applyFill="1" applyAlignment="1" applyProtection="1">
      <alignment horizontal="center"/>
      <protection/>
    </xf>
    <xf numFmtId="2" fontId="13" fillId="24" borderId="0" xfId="0" applyNumberFormat="1" applyFont="1" applyFill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189" fontId="13" fillId="24" borderId="0" xfId="0" applyNumberFormat="1" applyFont="1" applyFill="1" applyAlignment="1" applyProtection="1">
      <alignment/>
      <protection/>
    </xf>
    <xf numFmtId="2" fontId="13" fillId="24" borderId="0" xfId="0" applyNumberFormat="1" applyFont="1" applyFill="1" applyBorder="1" applyAlignment="1" applyProtection="1">
      <alignment horizontal="center"/>
      <protection/>
    </xf>
    <xf numFmtId="0" fontId="13" fillId="26" borderId="0" xfId="0" applyFont="1" applyFill="1" applyAlignment="1" applyProtection="1">
      <alignment/>
      <protection/>
    </xf>
    <xf numFmtId="0" fontId="13" fillId="24" borderId="0" xfId="0" applyFont="1" applyFill="1" applyBorder="1" applyAlignment="1" applyProtection="1">
      <alignment vertical="center"/>
      <protection/>
    </xf>
    <xf numFmtId="199" fontId="13" fillId="24" borderId="0" xfId="0" applyNumberFormat="1" applyFont="1" applyFill="1" applyAlignment="1" applyProtection="1">
      <alignment/>
      <protection/>
    </xf>
    <xf numFmtId="189" fontId="13" fillId="24" borderId="0" xfId="0" applyNumberFormat="1" applyFont="1" applyFill="1" applyBorder="1" applyAlignment="1" applyProtection="1">
      <alignment/>
      <protection/>
    </xf>
    <xf numFmtId="187" fontId="13" fillId="24" borderId="0" xfId="0" applyNumberFormat="1" applyFont="1" applyFill="1" applyBorder="1" applyAlignment="1" applyProtection="1">
      <alignment vertical="center"/>
      <protection/>
    </xf>
    <xf numFmtId="187" fontId="13" fillId="24" borderId="0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 vertical="center" textRotation="90"/>
      <protection/>
    </xf>
    <xf numFmtId="3" fontId="13" fillId="7" borderId="0" xfId="0" applyNumberFormat="1" applyFont="1" applyFill="1" applyAlignment="1" applyProtection="1">
      <alignment/>
      <protection/>
    </xf>
    <xf numFmtId="0" fontId="13" fillId="24" borderId="0" xfId="0" applyFont="1" applyFill="1" applyBorder="1" applyAlignment="1" applyProtection="1">
      <alignment horizontal="right"/>
      <protection/>
    </xf>
    <xf numFmtId="0" fontId="40" fillId="24" borderId="0" xfId="0" applyFont="1" applyFill="1" applyBorder="1" applyAlignment="1" applyProtection="1">
      <alignment/>
      <protection/>
    </xf>
    <xf numFmtId="0" fontId="13" fillId="7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4" fontId="13" fillId="24" borderId="0" xfId="0" applyNumberFormat="1" applyFont="1" applyFill="1" applyAlignment="1" applyProtection="1">
      <alignment horizontal="center"/>
      <protection/>
    </xf>
    <xf numFmtId="0" fontId="41" fillId="24" borderId="0" xfId="0" applyFont="1" applyFill="1" applyBorder="1" applyAlignment="1" applyProtection="1">
      <alignment/>
      <protection/>
    </xf>
    <xf numFmtId="189" fontId="13" fillId="24" borderId="0" xfId="0" applyNumberFormat="1" applyFont="1" applyFill="1" applyBorder="1" applyAlignment="1" applyProtection="1">
      <alignment horizontal="center"/>
      <protection/>
    </xf>
    <xf numFmtId="2" fontId="13" fillId="24" borderId="0" xfId="0" applyNumberFormat="1" applyFont="1" applyFill="1" applyAlignment="1" applyProtection="1">
      <alignment/>
      <protection/>
    </xf>
    <xf numFmtId="0" fontId="44" fillId="24" borderId="0" xfId="0" applyFont="1" applyFill="1" applyBorder="1" applyAlignment="1" applyProtection="1">
      <alignment/>
      <protection/>
    </xf>
    <xf numFmtId="187" fontId="13" fillId="24" borderId="0" xfId="0" applyNumberFormat="1" applyFont="1" applyFill="1" applyAlignment="1" applyProtection="1">
      <alignment/>
      <protection/>
    </xf>
    <xf numFmtId="4" fontId="17" fillId="24" borderId="0" xfId="0" applyNumberFormat="1" applyFont="1" applyFill="1" applyAlignment="1" applyProtection="1">
      <alignment/>
      <protection/>
    </xf>
    <xf numFmtId="4" fontId="13" fillId="24" borderId="0" xfId="0" applyNumberFormat="1" applyFont="1" applyFill="1" applyAlignment="1" applyProtection="1">
      <alignment/>
      <protection/>
    </xf>
    <xf numFmtId="0" fontId="17" fillId="24" borderId="0" xfId="0" applyFont="1" applyFill="1" applyAlignment="1" applyProtection="1">
      <alignment horizontal="center"/>
      <protection/>
    </xf>
    <xf numFmtId="0" fontId="13" fillId="24" borderId="0" xfId="0" applyFont="1" applyFill="1" applyAlignment="1" applyProtection="1">
      <alignment horizontal="left"/>
      <protection/>
    </xf>
    <xf numFmtId="4" fontId="13" fillId="24" borderId="0" xfId="0" applyNumberFormat="1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 vertical="center"/>
      <protection/>
    </xf>
    <xf numFmtId="189" fontId="13" fillId="24" borderId="0" xfId="0" applyNumberFormat="1" applyFont="1" applyFill="1" applyBorder="1" applyAlignment="1" applyProtection="1">
      <alignment/>
      <protection/>
    </xf>
    <xf numFmtId="0" fontId="38" fillId="24" borderId="0" xfId="0" applyFont="1" applyFill="1" applyBorder="1" applyAlignment="1" applyProtection="1">
      <alignment/>
      <protection/>
    </xf>
    <xf numFmtId="0" fontId="14" fillId="7" borderId="0" xfId="0" applyFont="1" applyFill="1" applyBorder="1" applyAlignment="1" applyProtection="1">
      <alignment/>
      <protection/>
    </xf>
    <xf numFmtId="189" fontId="16" fillId="24" borderId="0" xfId="0" applyNumberFormat="1" applyFont="1" applyFill="1" applyBorder="1" applyAlignment="1" applyProtection="1">
      <alignment/>
      <protection/>
    </xf>
    <xf numFmtId="0" fontId="16" fillId="24" borderId="0" xfId="0" applyFont="1" applyFill="1" applyBorder="1" applyAlignment="1" applyProtection="1">
      <alignment/>
      <protection/>
    </xf>
    <xf numFmtId="2" fontId="13" fillId="24" borderId="0" xfId="0" applyNumberFormat="1" applyFont="1" applyFill="1" applyBorder="1" applyAlignment="1" applyProtection="1">
      <alignment/>
      <protection/>
    </xf>
    <xf numFmtId="2" fontId="13" fillId="24" borderId="0" xfId="0" applyNumberFormat="1" applyFont="1" applyFill="1" applyBorder="1" applyAlignment="1" applyProtection="1">
      <alignment/>
      <protection/>
    </xf>
    <xf numFmtId="1" fontId="13" fillId="24" borderId="0" xfId="0" applyNumberFormat="1" applyFont="1" applyFill="1" applyBorder="1" applyAlignment="1" applyProtection="1">
      <alignment horizontal="right"/>
      <protection/>
    </xf>
    <xf numFmtId="0" fontId="42" fillId="24" borderId="0" xfId="0" applyFont="1" applyFill="1" applyBorder="1" applyAlignment="1" applyProtection="1">
      <alignment/>
      <protection/>
    </xf>
    <xf numFmtId="0" fontId="39" fillId="24" borderId="0" xfId="0" applyFont="1" applyFill="1" applyAlignment="1" applyProtection="1">
      <alignment/>
      <protection/>
    </xf>
    <xf numFmtId="0" fontId="45" fillId="7" borderId="23" xfId="0" applyFont="1" applyFill="1" applyBorder="1" applyAlignment="1" applyProtection="1">
      <alignment/>
      <protection/>
    </xf>
    <xf numFmtId="0" fontId="45" fillId="7" borderId="0" xfId="0" applyFont="1" applyFill="1" applyBorder="1" applyAlignment="1" applyProtection="1">
      <alignment/>
      <protection/>
    </xf>
    <xf numFmtId="0" fontId="13" fillId="24" borderId="0" xfId="0" applyFont="1" applyFill="1" applyAlignment="1">
      <alignment/>
    </xf>
    <xf numFmtId="0" fontId="13" fillId="24" borderId="20" xfId="0" applyFont="1" applyFill="1" applyBorder="1" applyAlignment="1">
      <alignment/>
    </xf>
    <xf numFmtId="0" fontId="13" fillId="24" borderId="2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1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13" fillId="24" borderId="0" xfId="0" applyFont="1" applyFill="1" applyBorder="1" applyAlignment="1">
      <alignment horizontal="center"/>
    </xf>
    <xf numFmtId="0" fontId="1" fillId="24" borderId="0" xfId="0" applyFont="1" applyFill="1" applyBorder="1" applyAlignment="1" applyProtection="1">
      <alignment horizontal="center"/>
      <protection locked="0"/>
    </xf>
    <xf numFmtId="0" fontId="36" fillId="24" borderId="22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1" fillId="24" borderId="21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 horizontal="center"/>
    </xf>
    <xf numFmtId="0" fontId="15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37" fillId="24" borderId="0" xfId="0" applyFont="1" applyFill="1" applyAlignment="1">
      <alignment horizontal="center"/>
    </xf>
    <xf numFmtId="2" fontId="13" fillId="24" borderId="0" xfId="0" applyNumberFormat="1" applyFont="1" applyFill="1" applyAlignment="1">
      <alignment/>
    </xf>
    <xf numFmtId="189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0" fontId="13" fillId="24" borderId="24" xfId="0" applyFont="1" applyFill="1" applyBorder="1" applyAlignment="1">
      <alignment/>
    </xf>
    <xf numFmtId="0" fontId="13" fillId="24" borderId="0" xfId="0" applyFont="1" applyFill="1" applyBorder="1" applyAlignment="1">
      <alignment vertical="center" textRotation="90"/>
    </xf>
    <xf numFmtId="0" fontId="13" fillId="24" borderId="25" xfId="0" applyFont="1" applyFill="1" applyBorder="1" applyAlignment="1">
      <alignment/>
    </xf>
    <xf numFmtId="0" fontId="13" fillId="24" borderId="24" xfId="0" applyFont="1" applyFill="1" applyBorder="1" applyAlignment="1">
      <alignment/>
    </xf>
    <xf numFmtId="3" fontId="13" fillId="24" borderId="25" xfId="0" applyNumberFormat="1" applyFont="1" applyFill="1" applyBorder="1" applyAlignment="1" applyProtection="1">
      <alignment/>
      <protection/>
    </xf>
    <xf numFmtId="0" fontId="40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3" fontId="13" fillId="24" borderId="0" xfId="0" applyNumberFormat="1" applyFont="1" applyFill="1" applyBorder="1" applyAlignment="1" applyProtection="1">
      <alignment horizontal="center"/>
      <protection/>
    </xf>
    <xf numFmtId="44" fontId="13" fillId="24" borderId="0" xfId="60" applyFont="1" applyFill="1" applyBorder="1" applyAlignment="1">
      <alignment/>
    </xf>
    <xf numFmtId="0" fontId="13" fillId="24" borderId="0" xfId="0" applyFont="1" applyFill="1" applyBorder="1" applyAlignment="1" applyProtection="1">
      <alignment/>
      <protection locked="0"/>
    </xf>
    <xf numFmtId="0" fontId="41" fillId="24" borderId="0" xfId="0" applyFont="1" applyFill="1" applyBorder="1" applyAlignment="1">
      <alignment/>
    </xf>
    <xf numFmtId="4" fontId="17" fillId="24" borderId="0" xfId="0" applyNumberFormat="1" applyFont="1" applyFill="1" applyBorder="1" applyAlignment="1" applyProtection="1">
      <alignment/>
      <protection locked="0"/>
    </xf>
    <xf numFmtId="0" fontId="13" fillId="24" borderId="24" xfId="0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51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2" fontId="16" fillId="24" borderId="0" xfId="0" applyNumberFormat="1" applyFont="1" applyFill="1" applyBorder="1" applyAlignment="1">
      <alignment/>
    </xf>
    <xf numFmtId="2" fontId="48" fillId="24" borderId="0" xfId="0" applyNumberFormat="1" applyFont="1" applyFill="1" applyBorder="1" applyAlignment="1">
      <alignment horizontal="center"/>
    </xf>
    <xf numFmtId="189" fontId="48" fillId="24" borderId="0" xfId="0" applyNumberFormat="1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189" fontId="13" fillId="24" borderId="0" xfId="0" applyNumberFormat="1" applyFont="1" applyFill="1" applyBorder="1" applyAlignment="1">
      <alignment/>
    </xf>
    <xf numFmtId="189" fontId="16" fillId="24" borderId="0" xfId="0" applyNumberFormat="1" applyFont="1" applyFill="1" applyBorder="1" applyAlignment="1">
      <alignment/>
    </xf>
    <xf numFmtId="0" fontId="13" fillId="24" borderId="26" xfId="0" applyFont="1" applyFill="1" applyBorder="1" applyAlignment="1">
      <alignment/>
    </xf>
    <xf numFmtId="0" fontId="13" fillId="24" borderId="27" xfId="0" applyFont="1" applyFill="1" applyBorder="1" applyAlignment="1">
      <alignment/>
    </xf>
    <xf numFmtId="0" fontId="13" fillId="24" borderId="27" xfId="0" applyFont="1" applyFill="1" applyBorder="1" applyAlignment="1">
      <alignment horizontal="center"/>
    </xf>
    <xf numFmtId="0" fontId="13" fillId="24" borderId="27" xfId="0" applyFont="1" applyFill="1" applyBorder="1" applyAlignment="1" applyProtection="1">
      <alignment horizontal="center"/>
      <protection/>
    </xf>
    <xf numFmtId="0" fontId="13" fillId="24" borderId="28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3" fillId="24" borderId="29" xfId="0" applyFont="1" applyFill="1" applyBorder="1" applyAlignment="1">
      <alignment horizontal="center"/>
    </xf>
    <xf numFmtId="1" fontId="16" fillId="24" borderId="0" xfId="0" applyNumberFormat="1" applyFont="1" applyFill="1" applyBorder="1" applyAlignment="1" applyProtection="1">
      <alignment/>
      <protection/>
    </xf>
    <xf numFmtId="0" fontId="42" fillId="24" borderId="0" xfId="0" applyFont="1" applyFill="1" applyAlignment="1">
      <alignment/>
    </xf>
    <xf numFmtId="0" fontId="13" fillId="24" borderId="29" xfId="0" applyFont="1" applyFill="1" applyBorder="1" applyAlignment="1" applyProtection="1">
      <alignment horizontal="center"/>
      <protection/>
    </xf>
    <xf numFmtId="0" fontId="42" fillId="24" borderId="0" xfId="0" applyFont="1" applyFill="1" applyBorder="1" applyAlignment="1">
      <alignment/>
    </xf>
    <xf numFmtId="2" fontId="13" fillId="24" borderId="0" xfId="0" applyNumberFormat="1" applyFont="1" applyFill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 horizontal="center"/>
      <protection locked="0"/>
    </xf>
    <xf numFmtId="0" fontId="55" fillId="24" borderId="0" xfId="0" applyFont="1" applyFill="1" applyAlignment="1" applyProtection="1">
      <alignment/>
      <protection/>
    </xf>
    <xf numFmtId="0" fontId="55" fillId="24" borderId="0" xfId="0" applyFont="1" applyFill="1" applyAlignment="1">
      <alignment/>
    </xf>
    <xf numFmtId="0" fontId="55" fillId="24" borderId="0" xfId="0" applyFont="1" applyFill="1" applyBorder="1" applyAlignment="1" applyProtection="1">
      <alignment/>
      <protection/>
    </xf>
    <xf numFmtId="0" fontId="55" fillId="24" borderId="30" xfId="0" applyFont="1" applyFill="1" applyBorder="1" applyAlignment="1" applyProtection="1">
      <alignment/>
      <protection/>
    </xf>
    <xf numFmtId="0" fontId="55" fillId="24" borderId="31" xfId="0" applyFont="1" applyFill="1" applyBorder="1" applyAlignment="1">
      <alignment horizontal="center"/>
    </xf>
    <xf numFmtId="0" fontId="55" fillId="24" borderId="32" xfId="0" applyFont="1" applyFill="1" applyBorder="1" applyAlignment="1">
      <alignment horizontal="center"/>
    </xf>
    <xf numFmtId="0" fontId="55" fillId="24" borderId="0" xfId="0" applyFont="1" applyFill="1" applyBorder="1" applyAlignment="1">
      <alignment/>
    </xf>
    <xf numFmtId="0" fontId="55" fillId="24" borderId="30" xfId="0" applyFont="1" applyFill="1" applyBorder="1" applyAlignment="1">
      <alignment/>
    </xf>
    <xf numFmtId="0" fontId="55" fillId="24" borderId="0" xfId="0" applyFont="1" applyFill="1" applyBorder="1" applyAlignment="1">
      <alignment horizontal="center"/>
    </xf>
    <xf numFmtId="0" fontId="55" fillId="24" borderId="0" xfId="0" applyFont="1" applyFill="1" applyBorder="1" applyAlignment="1" applyProtection="1">
      <alignment/>
      <protection locked="0"/>
    </xf>
    <xf numFmtId="0" fontId="55" fillId="24" borderId="23" xfId="0" applyFont="1" applyFill="1" applyBorder="1" applyAlignment="1" applyProtection="1">
      <alignment/>
      <protection/>
    </xf>
    <xf numFmtId="0" fontId="55" fillId="24" borderId="33" xfId="0" applyFont="1" applyFill="1" applyBorder="1" applyAlignment="1">
      <alignment horizontal="center"/>
    </xf>
    <xf numFmtId="0" fontId="55" fillId="24" borderId="23" xfId="0" applyFont="1" applyFill="1" applyBorder="1" applyAlignment="1">
      <alignment/>
    </xf>
    <xf numFmtId="2" fontId="55" fillId="24" borderId="0" xfId="0" applyNumberFormat="1" applyFont="1" applyFill="1" applyBorder="1" applyAlignment="1">
      <alignment horizontal="center"/>
    </xf>
    <xf numFmtId="2" fontId="55" fillId="24" borderId="33" xfId="0" applyNumberFormat="1" applyFont="1" applyFill="1" applyBorder="1" applyAlignment="1">
      <alignment horizontal="center"/>
    </xf>
    <xf numFmtId="2" fontId="55" fillId="24" borderId="0" xfId="0" applyNumberFormat="1" applyFont="1" applyFill="1" applyBorder="1" applyAlignment="1">
      <alignment/>
    </xf>
    <xf numFmtId="0" fontId="55" fillId="24" borderId="34" xfId="0" applyFont="1" applyFill="1" applyBorder="1" applyAlignment="1" applyProtection="1">
      <alignment/>
      <protection/>
    </xf>
    <xf numFmtId="0" fontId="55" fillId="24" borderId="20" xfId="0" applyFont="1" applyFill="1" applyBorder="1" applyAlignment="1">
      <alignment horizontal="center"/>
    </xf>
    <xf numFmtId="0" fontId="55" fillId="24" borderId="35" xfId="0" applyFont="1" applyFill="1" applyBorder="1" applyAlignment="1">
      <alignment horizontal="center"/>
    </xf>
    <xf numFmtId="0" fontId="55" fillId="24" borderId="0" xfId="0" applyFont="1" applyFill="1" applyBorder="1" applyAlignment="1">
      <alignment/>
    </xf>
    <xf numFmtId="0" fontId="55" fillId="24" borderId="34" xfId="0" applyFont="1" applyFill="1" applyBorder="1" applyAlignment="1">
      <alignment/>
    </xf>
    <xf numFmtId="2" fontId="55" fillId="24" borderId="20" xfId="0" applyNumberFormat="1" applyFont="1" applyFill="1" applyBorder="1" applyAlignment="1">
      <alignment horizontal="center"/>
    </xf>
    <xf numFmtId="2" fontId="55" fillId="24" borderId="35" xfId="0" applyNumberFormat="1" applyFont="1" applyFill="1" applyBorder="1" applyAlignment="1">
      <alignment horizontal="center"/>
    </xf>
    <xf numFmtId="0" fontId="55" fillId="24" borderId="0" xfId="0" applyFont="1" applyFill="1" applyBorder="1" applyAlignment="1" applyProtection="1">
      <alignment horizontal="center"/>
      <protection/>
    </xf>
    <xf numFmtId="0" fontId="55" fillId="24" borderId="0" xfId="0" applyFont="1" applyFill="1" applyAlignment="1" applyProtection="1">
      <alignment horizontal="center"/>
      <protection/>
    </xf>
    <xf numFmtId="0" fontId="55" fillId="24" borderId="0" xfId="0" applyFont="1" applyFill="1" applyBorder="1" applyAlignment="1">
      <alignment horizontal="left"/>
    </xf>
    <xf numFmtId="189" fontId="55" fillId="24" borderId="0" xfId="0" applyNumberFormat="1" applyFont="1" applyFill="1" applyBorder="1" applyAlignment="1">
      <alignment horizontal="center"/>
    </xf>
    <xf numFmtId="0" fontId="55" fillId="24" borderId="30" xfId="0" applyFont="1" applyFill="1" applyBorder="1" applyAlignment="1">
      <alignment horizontal="center"/>
    </xf>
    <xf numFmtId="2" fontId="55" fillId="24" borderId="23" xfId="0" applyNumberFormat="1" applyFont="1" applyFill="1" applyBorder="1" applyAlignment="1">
      <alignment horizontal="center"/>
    </xf>
    <xf numFmtId="0" fontId="55" fillId="24" borderId="23" xfId="0" applyFont="1" applyFill="1" applyBorder="1" applyAlignment="1">
      <alignment horizontal="center"/>
    </xf>
    <xf numFmtId="2" fontId="55" fillId="24" borderId="0" xfId="0" applyNumberFormat="1" applyFont="1" applyFill="1" applyAlignment="1" applyProtection="1">
      <alignment/>
      <protection/>
    </xf>
    <xf numFmtId="2" fontId="55" fillId="24" borderId="30" xfId="0" applyNumberFormat="1" applyFont="1" applyFill="1" applyBorder="1" applyAlignment="1">
      <alignment horizontal="center"/>
    </xf>
    <xf numFmtId="2" fontId="55" fillId="24" borderId="32" xfId="0" applyNumberFormat="1" applyFont="1" applyFill="1" applyBorder="1" applyAlignment="1">
      <alignment horizontal="center"/>
    </xf>
    <xf numFmtId="0" fontId="55" fillId="24" borderId="0" xfId="0" applyFont="1" applyFill="1" applyBorder="1" applyAlignment="1">
      <alignment vertical="center"/>
    </xf>
    <xf numFmtId="2" fontId="55" fillId="24" borderId="34" xfId="0" applyNumberFormat="1" applyFont="1" applyFill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2" fontId="55" fillId="24" borderId="23" xfId="0" applyNumberFormat="1" applyFont="1" applyFill="1" applyBorder="1" applyAlignment="1">
      <alignment horizontal="center" vertical="center"/>
    </xf>
    <xf numFmtId="187" fontId="55" fillId="24" borderId="0" xfId="0" applyNumberFormat="1" applyFont="1" applyFill="1" applyBorder="1" applyAlignment="1">
      <alignment vertical="center"/>
    </xf>
    <xf numFmtId="0" fontId="55" fillId="24" borderId="30" xfId="0" applyFont="1" applyFill="1" applyBorder="1" applyAlignment="1">
      <alignment horizontal="center" vertical="center"/>
    </xf>
    <xf numFmtId="0" fontId="55" fillId="24" borderId="0" xfId="0" applyFont="1" applyFill="1" applyAlignment="1">
      <alignment horizontal="center"/>
    </xf>
    <xf numFmtId="0" fontId="55" fillId="24" borderId="33" xfId="0" applyFont="1" applyFill="1" applyBorder="1" applyAlignment="1">
      <alignment horizontal="center" vertical="center"/>
    </xf>
    <xf numFmtId="2" fontId="55" fillId="24" borderId="34" xfId="0" applyNumberFormat="1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/>
    </xf>
    <xf numFmtId="0" fontId="55" fillId="24" borderId="0" xfId="0" applyFont="1" applyFill="1" applyBorder="1" applyAlignment="1" applyProtection="1">
      <alignment horizontal="center"/>
      <protection locked="0"/>
    </xf>
    <xf numFmtId="2" fontId="55" fillId="24" borderId="0" xfId="0" applyNumberFormat="1" applyFont="1" applyFill="1" applyAlignment="1" applyProtection="1">
      <alignment horizontal="center"/>
      <protection/>
    </xf>
    <xf numFmtId="188" fontId="55" fillId="24" borderId="0" xfId="0" applyNumberFormat="1" applyFont="1" applyFill="1" applyAlignment="1" applyProtection="1">
      <alignment horizontal="center"/>
      <protection/>
    </xf>
    <xf numFmtId="189" fontId="55" fillId="24" borderId="23" xfId="0" applyNumberFormat="1" applyFont="1" applyFill="1" applyBorder="1" applyAlignment="1">
      <alignment horizontal="center"/>
    </xf>
    <xf numFmtId="189" fontId="55" fillId="24" borderId="33" xfId="0" applyNumberFormat="1" applyFont="1" applyFill="1" applyBorder="1" applyAlignment="1">
      <alignment horizontal="center"/>
    </xf>
    <xf numFmtId="187" fontId="55" fillId="24" borderId="0" xfId="0" applyNumberFormat="1" applyFont="1" applyFill="1" applyBorder="1" applyAlignment="1">
      <alignment horizontal="center" vertical="center"/>
    </xf>
    <xf numFmtId="0" fontId="56" fillId="24" borderId="0" xfId="0" applyFont="1" applyFill="1" applyBorder="1" applyAlignment="1" applyProtection="1">
      <alignment/>
      <protection/>
    </xf>
    <xf numFmtId="2" fontId="55" fillId="24" borderId="0" xfId="0" applyNumberFormat="1" applyFont="1" applyFill="1" applyBorder="1" applyAlignment="1" applyProtection="1">
      <alignment horizontal="center"/>
      <protection/>
    </xf>
    <xf numFmtId="187" fontId="55" fillId="24" borderId="0" xfId="0" applyNumberFormat="1" applyFont="1" applyFill="1" applyAlignment="1" applyProtection="1">
      <alignment/>
      <protection/>
    </xf>
    <xf numFmtId="0" fontId="55" fillId="24" borderId="0" xfId="0" applyFont="1" applyFill="1" applyAlignment="1" applyProtection="1">
      <alignment/>
      <protection/>
    </xf>
    <xf numFmtId="0" fontId="55" fillId="24" borderId="33" xfId="0" applyFont="1" applyFill="1" applyBorder="1" applyAlignment="1">
      <alignment/>
    </xf>
    <xf numFmtId="4" fontId="55" fillId="24" borderId="0" xfId="0" applyNumberFormat="1" applyFont="1" applyFill="1" applyAlignment="1" applyProtection="1">
      <alignment/>
      <protection/>
    </xf>
    <xf numFmtId="0" fontId="55" fillId="24" borderId="0" xfId="0" applyFont="1" applyFill="1" applyAlignment="1">
      <alignment/>
    </xf>
    <xf numFmtId="0" fontId="55" fillId="24" borderId="0" xfId="0" applyFont="1" applyFill="1" applyBorder="1" applyAlignment="1" applyProtection="1">
      <alignment/>
      <protection locked="0"/>
    </xf>
    <xf numFmtId="0" fontId="55" fillId="24" borderId="0" xfId="0" applyFont="1" applyFill="1" applyAlignment="1">
      <alignment horizontal="left"/>
    </xf>
    <xf numFmtId="1" fontId="55" fillId="24" borderId="0" xfId="0" applyNumberFormat="1" applyFont="1" applyFill="1" applyBorder="1" applyAlignment="1" applyProtection="1">
      <alignment horizontal="right"/>
      <protection locked="0"/>
    </xf>
    <xf numFmtId="189" fontId="55" fillId="24" borderId="0" xfId="0" applyNumberFormat="1" applyFont="1" applyFill="1" applyBorder="1" applyAlignment="1">
      <alignment/>
    </xf>
    <xf numFmtId="189" fontId="55" fillId="24" borderId="30" xfId="0" applyNumberFormat="1" applyFont="1" applyFill="1" applyBorder="1" applyAlignment="1">
      <alignment horizontal="center"/>
    </xf>
    <xf numFmtId="189" fontId="55" fillId="24" borderId="32" xfId="0" applyNumberFormat="1" applyFont="1" applyFill="1" applyBorder="1" applyAlignment="1">
      <alignment horizontal="center"/>
    </xf>
    <xf numFmtId="2" fontId="55" fillId="24" borderId="0" xfId="0" applyNumberFormat="1" applyFont="1" applyFill="1" applyBorder="1" applyAlignment="1">
      <alignment horizontal="right"/>
    </xf>
    <xf numFmtId="0" fontId="55" fillId="24" borderId="0" xfId="0" applyFont="1" applyFill="1" applyAlignment="1" applyProtection="1">
      <alignment/>
      <protection locked="0"/>
    </xf>
    <xf numFmtId="0" fontId="55" fillId="24" borderId="26" xfId="0" applyFont="1" applyFill="1" applyBorder="1" applyAlignment="1">
      <alignment/>
    </xf>
    <xf numFmtId="0" fontId="55" fillId="24" borderId="27" xfId="0" applyFont="1" applyFill="1" applyBorder="1" applyAlignment="1" applyProtection="1">
      <alignment horizontal="center"/>
      <protection/>
    </xf>
    <xf numFmtId="2" fontId="55" fillId="24" borderId="36" xfId="0" applyNumberFormat="1" applyFont="1" applyFill="1" applyBorder="1" applyAlignment="1" applyProtection="1">
      <alignment horizontal="center"/>
      <protection/>
    </xf>
    <xf numFmtId="0" fontId="55" fillId="24" borderId="24" xfId="0" applyFont="1" applyFill="1" applyBorder="1" applyAlignment="1">
      <alignment/>
    </xf>
    <xf numFmtId="2" fontId="55" fillId="24" borderId="25" xfId="0" applyNumberFormat="1" applyFont="1" applyFill="1" applyBorder="1" applyAlignment="1" applyProtection="1">
      <alignment horizontal="center"/>
      <protection/>
    </xf>
    <xf numFmtId="0" fontId="55" fillId="24" borderId="28" xfId="0" applyFont="1" applyFill="1" applyBorder="1" applyAlignment="1" applyProtection="1">
      <alignment/>
      <protection/>
    </xf>
    <xf numFmtId="0" fontId="55" fillId="24" borderId="29" xfId="0" applyFont="1" applyFill="1" applyBorder="1" applyAlignment="1" applyProtection="1">
      <alignment horizontal="center"/>
      <protection/>
    </xf>
    <xf numFmtId="2" fontId="55" fillId="24" borderId="37" xfId="0" applyNumberFormat="1" applyFont="1" applyFill="1" applyBorder="1" applyAlignment="1" applyProtection="1">
      <alignment horizontal="center"/>
      <protection/>
    </xf>
    <xf numFmtId="189" fontId="55" fillId="24" borderId="0" xfId="0" applyNumberFormat="1" applyFont="1" applyFill="1" applyAlignment="1">
      <alignment/>
    </xf>
    <xf numFmtId="0" fontId="57" fillId="24" borderId="0" xfId="0" applyFont="1" applyFill="1" applyAlignment="1" applyProtection="1">
      <alignment/>
      <protection/>
    </xf>
    <xf numFmtId="0" fontId="55" fillId="24" borderId="0" xfId="0" applyFont="1" applyFill="1" applyBorder="1" applyAlignment="1" applyProtection="1">
      <alignment/>
      <protection/>
    </xf>
    <xf numFmtId="0" fontId="55" fillId="24" borderId="38" xfId="0" applyFont="1" applyFill="1" applyBorder="1" applyAlignment="1">
      <alignment horizontal="center"/>
    </xf>
    <xf numFmtId="0" fontId="55" fillId="24" borderId="31" xfId="0" applyFont="1" applyFill="1" applyBorder="1" applyAlignment="1">
      <alignment/>
    </xf>
    <xf numFmtId="188" fontId="55" fillId="24" borderId="39" xfId="0" applyNumberFormat="1" applyFont="1" applyFill="1" applyBorder="1" applyAlignment="1">
      <alignment horizontal="center"/>
    </xf>
    <xf numFmtId="2" fontId="55" fillId="24" borderId="0" xfId="0" applyNumberFormat="1" applyFont="1" applyFill="1" applyAlignment="1">
      <alignment horizontal="center"/>
    </xf>
    <xf numFmtId="188" fontId="55" fillId="24" borderId="40" xfId="0" applyNumberFormat="1" applyFont="1" applyFill="1" applyBorder="1" applyAlignment="1">
      <alignment horizontal="center"/>
    </xf>
    <xf numFmtId="0" fontId="13" fillId="26" borderId="0" xfId="0" applyFont="1" applyFill="1" applyBorder="1" applyAlignment="1" applyProtection="1">
      <alignment/>
      <protection/>
    </xf>
    <xf numFmtId="0" fontId="15" fillId="24" borderId="0" xfId="0" applyFont="1" applyFill="1" applyAlignment="1" applyProtection="1">
      <alignment/>
      <protection/>
    </xf>
    <xf numFmtId="189" fontId="13" fillId="24" borderId="0" xfId="0" applyNumberFormat="1" applyFont="1" applyFill="1" applyAlignment="1" applyProtection="1">
      <alignment horizontal="center"/>
      <protection/>
    </xf>
    <xf numFmtId="0" fontId="13" fillId="24" borderId="24" xfId="0" applyFont="1" applyFill="1" applyBorder="1" applyAlignment="1" applyProtection="1">
      <alignment/>
      <protection/>
    </xf>
    <xf numFmtId="0" fontId="13" fillId="24" borderId="25" xfId="0" applyFont="1" applyFill="1" applyBorder="1" applyAlignment="1" applyProtection="1">
      <alignment/>
      <protection/>
    </xf>
    <xf numFmtId="0" fontId="13" fillId="24" borderId="24" xfId="0" applyFont="1" applyFill="1" applyBorder="1" applyAlignment="1" applyProtection="1">
      <alignment/>
      <protection/>
    </xf>
    <xf numFmtId="0" fontId="13" fillId="24" borderId="25" xfId="0" applyFont="1" applyFill="1" applyBorder="1" applyAlignment="1" applyProtection="1">
      <alignment/>
      <protection/>
    </xf>
    <xf numFmtId="44" fontId="13" fillId="24" borderId="0" xfId="60" applyFont="1" applyFill="1" applyBorder="1" applyAlignment="1" applyProtection="1">
      <alignment/>
      <protection/>
    </xf>
    <xf numFmtId="4" fontId="17" fillId="24" borderId="0" xfId="0" applyNumberFormat="1" applyFont="1" applyFill="1" applyBorder="1" applyAlignment="1" applyProtection="1">
      <alignment/>
      <protection/>
    </xf>
    <xf numFmtId="0" fontId="13" fillId="24" borderId="24" xfId="0" applyFont="1" applyFill="1" applyBorder="1" applyAlignment="1" applyProtection="1">
      <alignment horizontal="center"/>
      <protection/>
    </xf>
    <xf numFmtId="2" fontId="48" fillId="24" borderId="0" xfId="0" applyNumberFormat="1" applyFont="1" applyFill="1" applyBorder="1" applyAlignment="1" applyProtection="1">
      <alignment horizontal="center"/>
      <protection/>
    </xf>
    <xf numFmtId="2" fontId="13" fillId="24" borderId="25" xfId="0" applyNumberFormat="1" applyFont="1" applyFill="1" applyBorder="1" applyAlignment="1" applyProtection="1">
      <alignment/>
      <protection/>
    </xf>
    <xf numFmtId="0" fontId="13" fillId="24" borderId="26" xfId="0" applyFont="1" applyFill="1" applyBorder="1" applyAlignment="1" applyProtection="1">
      <alignment/>
      <protection/>
    </xf>
    <xf numFmtId="0" fontId="13" fillId="24" borderId="27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 horizontal="left"/>
      <protection/>
    </xf>
    <xf numFmtId="0" fontId="13" fillId="24" borderId="28" xfId="0" applyFont="1" applyFill="1" applyBorder="1" applyAlignment="1" applyProtection="1">
      <alignment/>
      <protection/>
    </xf>
    <xf numFmtId="0" fontId="13" fillId="24" borderId="29" xfId="0" applyFont="1" applyFill="1" applyBorder="1" applyAlignment="1" applyProtection="1">
      <alignment/>
      <protection/>
    </xf>
    <xf numFmtId="0" fontId="42" fillId="24" borderId="0" xfId="0" applyFont="1" applyFill="1" applyAlignment="1" applyProtection="1">
      <alignment/>
      <protection/>
    </xf>
    <xf numFmtId="0" fontId="13" fillId="24" borderId="31" xfId="0" applyFont="1" applyFill="1" applyBorder="1" applyAlignment="1" applyProtection="1">
      <alignment horizontal="center"/>
      <protection/>
    </xf>
    <xf numFmtId="0" fontId="13" fillId="24" borderId="32" xfId="0" applyFont="1" applyFill="1" applyBorder="1" applyAlignment="1" applyProtection="1">
      <alignment horizontal="center"/>
      <protection/>
    </xf>
    <xf numFmtId="2" fontId="13" fillId="24" borderId="33" xfId="0" applyNumberFormat="1" applyFont="1" applyFill="1" applyBorder="1" applyAlignment="1" applyProtection="1">
      <alignment horizontal="center"/>
      <protection/>
    </xf>
    <xf numFmtId="188" fontId="13" fillId="24" borderId="0" xfId="0" applyNumberFormat="1" applyFont="1" applyFill="1" applyBorder="1" applyAlignment="1" applyProtection="1">
      <alignment horizontal="center"/>
      <protection/>
    </xf>
    <xf numFmtId="188" fontId="13" fillId="24" borderId="33" xfId="0" applyNumberFormat="1" applyFont="1" applyFill="1" applyBorder="1" applyAlignment="1" applyProtection="1">
      <alignment horizontal="center"/>
      <protection/>
    </xf>
    <xf numFmtId="189" fontId="13" fillId="24" borderId="33" xfId="0" applyNumberFormat="1" applyFont="1" applyFill="1" applyBorder="1" applyAlignment="1" applyProtection="1">
      <alignment horizontal="center"/>
      <protection/>
    </xf>
    <xf numFmtId="188" fontId="13" fillId="24" borderId="35" xfId="0" applyNumberFormat="1" applyFont="1" applyFill="1" applyBorder="1" applyAlignment="1" applyProtection="1">
      <alignment horizontal="center"/>
      <protection/>
    </xf>
    <xf numFmtId="0" fontId="13" fillId="24" borderId="31" xfId="0" applyFont="1" applyFill="1" applyBorder="1" applyAlignment="1" applyProtection="1">
      <alignment/>
      <protection/>
    </xf>
    <xf numFmtId="187" fontId="55" fillId="24" borderId="0" xfId="0" applyNumberFormat="1" applyFont="1" applyFill="1" applyBorder="1" applyAlignment="1">
      <alignment horizontal="center"/>
    </xf>
    <xf numFmtId="188" fontId="55" fillId="24" borderId="33" xfId="0" applyNumberFormat="1" applyFont="1" applyFill="1" applyBorder="1" applyAlignment="1">
      <alignment horizontal="center"/>
    </xf>
    <xf numFmtId="0" fontId="55" fillId="24" borderId="20" xfId="0" applyFont="1" applyFill="1" applyBorder="1" applyAlignment="1">
      <alignment/>
    </xf>
    <xf numFmtId="188" fontId="55" fillId="24" borderId="35" xfId="0" applyNumberFormat="1" applyFont="1" applyFill="1" applyBorder="1" applyAlignment="1">
      <alignment horizontal="center"/>
    </xf>
    <xf numFmtId="0" fontId="13" fillId="24" borderId="30" xfId="0" applyFont="1" applyFill="1" applyBorder="1" applyAlignment="1" applyProtection="1">
      <alignment/>
      <protection/>
    </xf>
    <xf numFmtId="0" fontId="13" fillId="24" borderId="23" xfId="0" applyFont="1" applyFill="1" applyBorder="1" applyAlignment="1" applyProtection="1">
      <alignment/>
      <protection/>
    </xf>
    <xf numFmtId="0" fontId="13" fillId="24" borderId="33" xfId="0" applyFont="1" applyFill="1" applyBorder="1" applyAlignment="1" applyProtection="1">
      <alignment horizontal="center"/>
      <protection/>
    </xf>
    <xf numFmtId="0" fontId="13" fillId="24" borderId="34" xfId="0" applyFont="1" applyFill="1" applyBorder="1" applyAlignment="1" applyProtection="1">
      <alignment/>
      <protection/>
    </xf>
    <xf numFmtId="0" fontId="13" fillId="24" borderId="35" xfId="0" applyFont="1" applyFill="1" applyBorder="1" applyAlignment="1" applyProtection="1">
      <alignment horizontal="center"/>
      <protection/>
    </xf>
    <xf numFmtId="2" fontId="13" fillId="24" borderId="20" xfId="0" applyNumberFormat="1" applyFont="1" applyFill="1" applyBorder="1" applyAlignment="1" applyProtection="1">
      <alignment horizontal="center"/>
      <protection/>
    </xf>
    <xf numFmtId="2" fontId="13" fillId="24" borderId="35" xfId="0" applyNumberFormat="1" applyFont="1" applyFill="1" applyBorder="1" applyAlignment="1" applyProtection="1">
      <alignment horizontal="center"/>
      <protection/>
    </xf>
    <xf numFmtId="2" fontId="13" fillId="24" borderId="41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Alignment="1" applyProtection="1">
      <alignment/>
      <protection locked="0"/>
    </xf>
    <xf numFmtId="0" fontId="14" fillId="24" borderId="0" xfId="0" applyFont="1" applyFill="1" applyAlignment="1" applyProtection="1">
      <alignment/>
      <protection/>
    </xf>
    <xf numFmtId="0" fontId="13" fillId="24" borderId="30" xfId="0" applyFont="1" applyFill="1" applyBorder="1" applyAlignment="1" applyProtection="1">
      <alignment horizontal="center"/>
      <protection/>
    </xf>
    <xf numFmtId="3" fontId="13" fillId="24" borderId="0" xfId="0" applyNumberFormat="1" applyFont="1" applyFill="1" applyAlignment="1" applyProtection="1">
      <alignment/>
      <protection/>
    </xf>
    <xf numFmtId="2" fontId="13" fillId="24" borderId="23" xfId="0" applyNumberFormat="1" applyFont="1" applyFill="1" applyBorder="1" applyAlignment="1" applyProtection="1">
      <alignment horizontal="center"/>
      <protection/>
    </xf>
    <xf numFmtId="0" fontId="13" fillId="24" borderId="23" xfId="0" applyFont="1" applyFill="1" applyBorder="1" applyAlignment="1" applyProtection="1">
      <alignment horizontal="center"/>
      <protection/>
    </xf>
    <xf numFmtId="188" fontId="13" fillId="24" borderId="0" xfId="0" applyNumberFormat="1" applyFont="1" applyFill="1" applyAlignment="1" applyProtection="1">
      <alignment/>
      <protection/>
    </xf>
    <xf numFmtId="0" fontId="13" fillId="24" borderId="0" xfId="0" applyFont="1" applyFill="1" applyAlignment="1" applyProtection="1">
      <alignment horizontal="right"/>
      <protection/>
    </xf>
    <xf numFmtId="2" fontId="13" fillId="24" borderId="30" xfId="0" applyNumberFormat="1" applyFont="1" applyFill="1" applyBorder="1" applyAlignment="1" applyProtection="1">
      <alignment horizontal="center"/>
      <protection/>
    </xf>
    <xf numFmtId="2" fontId="13" fillId="24" borderId="32" xfId="0" applyNumberFormat="1" applyFont="1" applyFill="1" applyBorder="1" applyAlignment="1" applyProtection="1">
      <alignment horizontal="center"/>
      <protection/>
    </xf>
    <xf numFmtId="2" fontId="13" fillId="24" borderId="34" xfId="0" applyNumberFormat="1" applyFont="1" applyFill="1" applyBorder="1" applyAlignment="1" applyProtection="1">
      <alignment horizontal="center"/>
      <protection/>
    </xf>
    <xf numFmtId="0" fontId="13" fillId="24" borderId="34" xfId="0" applyFont="1" applyFill="1" applyBorder="1" applyAlignment="1" applyProtection="1">
      <alignment horizontal="center"/>
      <protection/>
    </xf>
    <xf numFmtId="2" fontId="13" fillId="24" borderId="23" xfId="0" applyNumberFormat="1" applyFont="1" applyFill="1" applyBorder="1" applyAlignment="1" applyProtection="1">
      <alignment horizontal="center" vertical="center"/>
      <protection/>
    </xf>
    <xf numFmtId="0" fontId="13" fillId="24" borderId="30" xfId="0" applyFont="1" applyFill="1" applyBorder="1" applyAlignment="1" applyProtection="1">
      <alignment horizontal="center" vertical="center"/>
      <protection/>
    </xf>
    <xf numFmtId="189" fontId="13" fillId="24" borderId="0" xfId="0" applyNumberFormat="1" applyFont="1" applyFill="1" applyAlignment="1" applyProtection="1">
      <alignment/>
      <protection/>
    </xf>
    <xf numFmtId="0" fontId="13" fillId="24" borderId="33" xfId="0" applyFont="1" applyFill="1" applyBorder="1" applyAlignment="1" applyProtection="1">
      <alignment horizontal="center" vertical="center"/>
      <protection/>
    </xf>
    <xf numFmtId="2" fontId="13" fillId="24" borderId="34" xfId="0" applyNumberFormat="1" applyFont="1" applyFill="1" applyBorder="1" applyAlignment="1" applyProtection="1">
      <alignment horizontal="center" vertical="center"/>
      <protection/>
    </xf>
    <xf numFmtId="0" fontId="13" fillId="24" borderId="0" xfId="0" applyFont="1" applyFill="1" applyBorder="1" applyAlignment="1" applyProtection="1">
      <alignment horizontal="center" vertical="center"/>
      <protection/>
    </xf>
    <xf numFmtId="188" fontId="13" fillId="24" borderId="0" xfId="0" applyNumberFormat="1" applyFont="1" applyFill="1" applyAlignment="1" applyProtection="1">
      <alignment horizontal="center"/>
      <protection/>
    </xf>
    <xf numFmtId="189" fontId="13" fillId="24" borderId="23" xfId="0" applyNumberFormat="1" applyFont="1" applyFill="1" applyBorder="1" applyAlignment="1" applyProtection="1">
      <alignment horizontal="center"/>
      <protection/>
    </xf>
    <xf numFmtId="187" fontId="13" fillId="24" borderId="0" xfId="0" applyNumberFormat="1" applyFont="1" applyFill="1" applyBorder="1" applyAlignment="1" applyProtection="1">
      <alignment horizontal="center" vertical="center"/>
      <protection/>
    </xf>
    <xf numFmtId="0" fontId="13" fillId="24" borderId="33" xfId="0" applyFont="1" applyFill="1" applyBorder="1" applyAlignment="1" applyProtection="1">
      <alignment/>
      <protection/>
    </xf>
    <xf numFmtId="189" fontId="13" fillId="24" borderId="30" xfId="0" applyNumberFormat="1" applyFont="1" applyFill="1" applyBorder="1" applyAlignment="1" applyProtection="1">
      <alignment horizontal="center"/>
      <protection/>
    </xf>
    <xf numFmtId="189" fontId="13" fillId="24" borderId="32" xfId="0" applyNumberFormat="1" applyFont="1" applyFill="1" applyBorder="1" applyAlignment="1" applyProtection="1">
      <alignment horizontal="center"/>
      <protection/>
    </xf>
    <xf numFmtId="2" fontId="13" fillId="24" borderId="0" xfId="0" applyNumberFormat="1" applyFont="1" applyFill="1" applyBorder="1" applyAlignment="1" applyProtection="1">
      <alignment horizontal="right"/>
      <protection/>
    </xf>
    <xf numFmtId="0" fontId="13" fillId="24" borderId="29" xfId="0" applyFont="1" applyFill="1" applyBorder="1" applyAlignment="1" applyProtection="1">
      <alignment/>
      <protection/>
    </xf>
    <xf numFmtId="0" fontId="13" fillId="24" borderId="26" xfId="0" applyFont="1" applyFill="1" applyBorder="1" applyAlignment="1" applyProtection="1">
      <alignment/>
      <protection/>
    </xf>
    <xf numFmtId="2" fontId="13" fillId="24" borderId="27" xfId="0" applyNumberFormat="1" applyFont="1" applyFill="1" applyBorder="1" applyAlignment="1" applyProtection="1">
      <alignment horizontal="center"/>
      <protection/>
    </xf>
    <xf numFmtId="2" fontId="13" fillId="24" borderId="36" xfId="0" applyNumberFormat="1" applyFont="1" applyFill="1" applyBorder="1" applyAlignment="1" applyProtection="1">
      <alignment horizontal="center"/>
      <protection/>
    </xf>
    <xf numFmtId="188" fontId="13" fillId="24" borderId="0" xfId="0" applyNumberFormat="1" applyFont="1" applyFill="1" applyBorder="1" applyAlignment="1" applyProtection="1">
      <alignment/>
      <protection/>
    </xf>
    <xf numFmtId="2" fontId="13" fillId="24" borderId="25" xfId="0" applyNumberFormat="1" applyFont="1" applyFill="1" applyBorder="1" applyAlignment="1" applyProtection="1">
      <alignment horizontal="center"/>
      <protection/>
    </xf>
    <xf numFmtId="0" fontId="13" fillId="24" borderId="28" xfId="0" applyFont="1" applyFill="1" applyBorder="1" applyAlignment="1" applyProtection="1">
      <alignment/>
      <protection/>
    </xf>
    <xf numFmtId="2" fontId="13" fillId="24" borderId="29" xfId="0" applyNumberFormat="1" applyFont="1" applyFill="1" applyBorder="1" applyAlignment="1" applyProtection="1">
      <alignment horizontal="center"/>
      <protection/>
    </xf>
    <xf numFmtId="2" fontId="13" fillId="24" borderId="37" xfId="0" applyNumberFormat="1" applyFont="1" applyFill="1" applyBorder="1" applyAlignment="1" applyProtection="1">
      <alignment horizontal="center"/>
      <protection/>
    </xf>
    <xf numFmtId="0" fontId="44" fillId="24" borderId="0" xfId="0" applyFont="1" applyFill="1" applyAlignment="1" applyProtection="1">
      <alignment/>
      <protection/>
    </xf>
    <xf numFmtId="0" fontId="13" fillId="24" borderId="38" xfId="0" applyFont="1" applyFill="1" applyBorder="1" applyAlignment="1" applyProtection="1">
      <alignment horizontal="center"/>
      <protection/>
    </xf>
    <xf numFmtId="188" fontId="13" fillId="24" borderId="39" xfId="0" applyNumberFormat="1" applyFont="1" applyFill="1" applyBorder="1" applyAlignment="1" applyProtection="1">
      <alignment horizontal="center"/>
      <protection/>
    </xf>
    <xf numFmtId="188" fontId="13" fillId="24" borderId="40" xfId="0" applyNumberFormat="1" applyFont="1" applyFill="1" applyBorder="1" applyAlignment="1" applyProtection="1">
      <alignment horizontal="center"/>
      <protection/>
    </xf>
    <xf numFmtId="0" fontId="13" fillId="24" borderId="27" xfId="0" applyFont="1" applyFill="1" applyBorder="1" applyAlignment="1">
      <alignment horizontal="left"/>
    </xf>
    <xf numFmtId="0" fontId="13" fillId="24" borderId="36" xfId="0" applyFont="1" applyFill="1" applyBorder="1" applyAlignment="1">
      <alignment horizontal="left"/>
    </xf>
    <xf numFmtId="0" fontId="13" fillId="24" borderId="29" xfId="0" applyFont="1" applyFill="1" applyBorder="1" applyAlignment="1">
      <alignment horizontal="left"/>
    </xf>
    <xf numFmtId="0" fontId="13" fillId="24" borderId="37" xfId="0" applyFont="1" applyFill="1" applyBorder="1" applyAlignment="1">
      <alignment horizontal="left"/>
    </xf>
    <xf numFmtId="0" fontId="13" fillId="24" borderId="0" xfId="0" applyFont="1" applyFill="1" applyBorder="1" applyAlignment="1">
      <alignment horizontal="left"/>
    </xf>
    <xf numFmtId="0" fontId="13" fillId="24" borderId="25" xfId="0" applyFont="1" applyFill="1" applyBorder="1" applyAlignment="1">
      <alignment horizontal="left"/>
    </xf>
    <xf numFmtId="2" fontId="13" fillId="24" borderId="0" xfId="0" applyNumberFormat="1" applyFont="1" applyFill="1" applyBorder="1" applyAlignment="1">
      <alignment horizontal="left"/>
    </xf>
    <xf numFmtId="0" fontId="13" fillId="24" borderId="19" xfId="0" applyFont="1" applyFill="1" applyBorder="1" applyAlignment="1" applyProtection="1">
      <alignment/>
      <protection/>
    </xf>
    <xf numFmtId="0" fontId="13" fillId="24" borderId="18" xfId="0" applyFont="1" applyFill="1" applyBorder="1" applyAlignment="1" applyProtection="1">
      <alignment/>
      <protection/>
    </xf>
    <xf numFmtId="0" fontId="13" fillId="24" borderId="18" xfId="0" applyFont="1" applyFill="1" applyBorder="1" applyAlignment="1" applyProtection="1">
      <alignment horizontal="center"/>
      <protection/>
    </xf>
    <xf numFmtId="0" fontId="13" fillId="24" borderId="42" xfId="0" applyFont="1" applyFill="1" applyBorder="1" applyAlignment="1" applyProtection="1">
      <alignment/>
      <protection/>
    </xf>
    <xf numFmtId="0" fontId="48" fillId="24" borderId="0" xfId="0" applyFont="1" applyFill="1" applyAlignment="1" applyProtection="1">
      <alignment/>
      <protection/>
    </xf>
    <xf numFmtId="0" fontId="48" fillId="24" borderId="0" xfId="0" applyFont="1" applyFill="1" applyAlignment="1">
      <alignment/>
    </xf>
    <xf numFmtId="0" fontId="48" fillId="24" borderId="0" xfId="0" applyFont="1" applyFill="1" applyBorder="1" applyAlignment="1" applyProtection="1">
      <alignment/>
      <protection/>
    </xf>
    <xf numFmtId="2" fontId="55" fillId="24" borderId="0" xfId="0" applyNumberFormat="1" applyFont="1" applyFill="1" applyBorder="1" applyAlignment="1">
      <alignment horizontal="center" vertical="center"/>
    </xf>
    <xf numFmtId="0" fontId="55" fillId="24" borderId="26" xfId="0" applyFont="1" applyFill="1" applyBorder="1" applyAlignment="1">
      <alignment horizontal="center"/>
    </xf>
    <xf numFmtId="2" fontId="55" fillId="24" borderId="36" xfId="0" applyNumberFormat="1" applyFont="1" applyFill="1" applyBorder="1" applyAlignment="1">
      <alignment horizontal="center"/>
    </xf>
    <xf numFmtId="2" fontId="55" fillId="24" borderId="26" xfId="0" applyNumberFormat="1" applyFont="1" applyFill="1" applyBorder="1" applyAlignment="1">
      <alignment horizontal="center"/>
    </xf>
    <xf numFmtId="0" fontId="55" fillId="24" borderId="36" xfId="0" applyFont="1" applyFill="1" applyBorder="1" applyAlignment="1">
      <alignment horizontal="center"/>
    </xf>
    <xf numFmtId="0" fontId="55" fillId="24" borderId="28" xfId="0" applyFont="1" applyFill="1" applyBorder="1" applyAlignment="1">
      <alignment horizontal="center"/>
    </xf>
    <xf numFmtId="2" fontId="55" fillId="24" borderId="37" xfId="0" applyNumberFormat="1" applyFont="1" applyFill="1" applyBorder="1" applyAlignment="1">
      <alignment horizontal="center"/>
    </xf>
    <xf numFmtId="2" fontId="55" fillId="24" borderId="28" xfId="0" applyNumberFormat="1" applyFont="1" applyFill="1" applyBorder="1" applyAlignment="1">
      <alignment horizontal="center"/>
    </xf>
    <xf numFmtId="0" fontId="55" fillId="24" borderId="37" xfId="0" applyFont="1" applyFill="1" applyBorder="1" applyAlignment="1">
      <alignment horizontal="center"/>
    </xf>
    <xf numFmtId="0" fontId="13" fillId="24" borderId="37" xfId="0" applyFont="1" applyFill="1" applyBorder="1" applyAlignment="1">
      <alignment/>
    </xf>
    <xf numFmtId="0" fontId="55" fillId="24" borderId="24" xfId="0" applyFont="1" applyFill="1" applyBorder="1" applyAlignment="1">
      <alignment horizontal="center"/>
    </xf>
    <xf numFmtId="0" fontId="55" fillId="24" borderId="25" xfId="0" applyFont="1" applyFill="1" applyBorder="1" applyAlignment="1">
      <alignment horizontal="center"/>
    </xf>
    <xf numFmtId="0" fontId="48" fillId="7" borderId="0" xfId="0" applyFont="1" applyFill="1" applyAlignment="1" applyProtection="1">
      <alignment/>
      <protection/>
    </xf>
    <xf numFmtId="0" fontId="48" fillId="7" borderId="0" xfId="0" applyFont="1" applyFill="1" applyBorder="1" applyAlignment="1" applyProtection="1">
      <alignment/>
      <protection/>
    </xf>
    <xf numFmtId="0" fontId="14" fillId="7" borderId="0" xfId="0" applyFont="1" applyFill="1" applyBorder="1" applyAlignment="1" applyProtection="1">
      <alignment/>
      <protection/>
    </xf>
    <xf numFmtId="0" fontId="13" fillId="24" borderId="29" xfId="0" applyFont="1" applyFill="1" applyBorder="1" applyAlignment="1" applyProtection="1">
      <alignment horizontal="left"/>
      <protection/>
    </xf>
    <xf numFmtId="0" fontId="13" fillId="24" borderId="37" xfId="0" applyFont="1" applyFill="1" applyBorder="1" applyAlignment="1" applyProtection="1">
      <alignment horizontal="left"/>
      <protection/>
    </xf>
    <xf numFmtId="0" fontId="55" fillId="24" borderId="31" xfId="0" applyFont="1" applyFill="1" applyBorder="1" applyAlignment="1" applyProtection="1">
      <alignment horizontal="center"/>
      <protection/>
    </xf>
    <xf numFmtId="0" fontId="55" fillId="24" borderId="32" xfId="0" applyFont="1" applyFill="1" applyBorder="1" applyAlignment="1" applyProtection="1">
      <alignment horizontal="center"/>
      <protection/>
    </xf>
    <xf numFmtId="0" fontId="55" fillId="24" borderId="33" xfId="0" applyFont="1" applyFill="1" applyBorder="1" applyAlignment="1" applyProtection="1">
      <alignment horizontal="center"/>
      <protection/>
    </xf>
    <xf numFmtId="2" fontId="55" fillId="24" borderId="33" xfId="0" applyNumberFormat="1" applyFont="1" applyFill="1" applyBorder="1" applyAlignment="1" applyProtection="1">
      <alignment horizontal="center"/>
      <protection/>
    </xf>
    <xf numFmtId="2" fontId="55" fillId="24" borderId="0" xfId="0" applyNumberFormat="1" applyFont="1" applyFill="1" applyBorder="1" applyAlignment="1" applyProtection="1">
      <alignment/>
      <protection/>
    </xf>
    <xf numFmtId="0" fontId="55" fillId="24" borderId="20" xfId="0" applyFont="1" applyFill="1" applyBorder="1" applyAlignment="1" applyProtection="1">
      <alignment horizontal="center"/>
      <protection/>
    </xf>
    <xf numFmtId="0" fontId="55" fillId="24" borderId="35" xfId="0" applyFont="1" applyFill="1" applyBorder="1" applyAlignment="1" applyProtection="1">
      <alignment horizontal="center"/>
      <protection/>
    </xf>
    <xf numFmtId="2" fontId="55" fillId="24" borderId="20" xfId="0" applyNumberFormat="1" applyFont="1" applyFill="1" applyBorder="1" applyAlignment="1" applyProtection="1">
      <alignment horizontal="center"/>
      <protection/>
    </xf>
    <xf numFmtId="2" fontId="55" fillId="24" borderId="35" xfId="0" applyNumberFormat="1" applyFont="1" applyFill="1" applyBorder="1" applyAlignment="1" applyProtection="1">
      <alignment horizontal="center"/>
      <protection/>
    </xf>
    <xf numFmtId="0" fontId="62" fillId="24" borderId="0" xfId="0" applyFont="1" applyFill="1" applyAlignment="1" applyProtection="1">
      <alignment/>
      <protection/>
    </xf>
    <xf numFmtId="0" fontId="55" fillId="24" borderId="0" xfId="0" applyFont="1" applyFill="1" applyBorder="1" applyAlignment="1" applyProtection="1">
      <alignment horizontal="left"/>
      <protection/>
    </xf>
    <xf numFmtId="189" fontId="55" fillId="24" borderId="0" xfId="0" applyNumberFormat="1" applyFont="1" applyFill="1" applyBorder="1" applyAlignment="1" applyProtection="1">
      <alignment horizontal="center"/>
      <protection/>
    </xf>
    <xf numFmtId="0" fontId="55" fillId="24" borderId="30" xfId="0" applyFont="1" applyFill="1" applyBorder="1" applyAlignment="1" applyProtection="1">
      <alignment horizontal="center"/>
      <protection/>
    </xf>
    <xf numFmtId="2" fontId="55" fillId="24" borderId="32" xfId="0" applyNumberFormat="1" applyFont="1" applyFill="1" applyBorder="1" applyAlignment="1" applyProtection="1">
      <alignment horizontal="center"/>
      <protection/>
    </xf>
    <xf numFmtId="0" fontId="55" fillId="24" borderId="34" xfId="0" applyFont="1" applyFill="1" applyBorder="1" applyAlignment="1" applyProtection="1">
      <alignment horizontal="center"/>
      <protection/>
    </xf>
    <xf numFmtId="3" fontId="55" fillId="24" borderId="0" xfId="0" applyNumberFormat="1" applyFont="1" applyFill="1" applyAlignment="1" applyProtection="1">
      <alignment/>
      <protection/>
    </xf>
    <xf numFmtId="2" fontId="55" fillId="24" borderId="23" xfId="0" applyNumberFormat="1" applyFont="1" applyFill="1" applyBorder="1" applyAlignment="1" applyProtection="1">
      <alignment horizontal="center"/>
      <protection/>
    </xf>
    <xf numFmtId="0" fontId="55" fillId="24" borderId="23" xfId="0" applyFont="1" applyFill="1" applyBorder="1" applyAlignment="1" applyProtection="1">
      <alignment horizontal="center"/>
      <protection/>
    </xf>
    <xf numFmtId="188" fontId="55" fillId="24" borderId="0" xfId="0" applyNumberFormat="1" applyFont="1" applyFill="1" applyAlignment="1" applyProtection="1">
      <alignment/>
      <protection/>
    </xf>
    <xf numFmtId="0" fontId="55" fillId="24" borderId="0" xfId="0" applyFont="1" applyFill="1" applyAlignment="1" applyProtection="1">
      <alignment horizontal="right"/>
      <protection/>
    </xf>
    <xf numFmtId="2" fontId="55" fillId="24" borderId="30" xfId="0" applyNumberFormat="1" applyFont="1" applyFill="1" applyBorder="1" applyAlignment="1" applyProtection="1">
      <alignment horizontal="center"/>
      <protection/>
    </xf>
    <xf numFmtId="0" fontId="55" fillId="24" borderId="0" xfId="0" applyFont="1" applyFill="1" applyBorder="1" applyAlignment="1" applyProtection="1">
      <alignment vertical="center"/>
      <protection/>
    </xf>
    <xf numFmtId="2" fontId="55" fillId="24" borderId="34" xfId="0" applyNumberFormat="1" applyFont="1" applyFill="1" applyBorder="1" applyAlignment="1" applyProtection="1">
      <alignment horizontal="center"/>
      <protection/>
    </xf>
    <xf numFmtId="2" fontId="55" fillId="24" borderId="23" xfId="0" applyNumberFormat="1" applyFont="1" applyFill="1" applyBorder="1" applyAlignment="1" applyProtection="1">
      <alignment horizontal="center" vertical="center"/>
      <protection/>
    </xf>
    <xf numFmtId="187" fontId="55" fillId="24" borderId="0" xfId="0" applyNumberFormat="1" applyFont="1" applyFill="1" applyBorder="1" applyAlignment="1" applyProtection="1">
      <alignment vertical="center"/>
      <protection/>
    </xf>
    <xf numFmtId="0" fontId="55" fillId="24" borderId="30" xfId="0" applyFont="1" applyFill="1" applyBorder="1" applyAlignment="1" applyProtection="1">
      <alignment horizontal="center" vertical="center"/>
      <protection/>
    </xf>
    <xf numFmtId="189" fontId="55" fillId="24" borderId="30" xfId="0" applyNumberFormat="1" applyFont="1" applyFill="1" applyBorder="1" applyAlignment="1" applyProtection="1">
      <alignment horizontal="center"/>
      <protection/>
    </xf>
    <xf numFmtId="189" fontId="55" fillId="24" borderId="23" xfId="0" applyNumberFormat="1" applyFont="1" applyFill="1" applyBorder="1" applyAlignment="1" applyProtection="1">
      <alignment horizontal="center"/>
      <protection/>
    </xf>
    <xf numFmtId="189" fontId="55" fillId="24" borderId="0" xfId="0" applyNumberFormat="1" applyFont="1" applyFill="1" applyAlignment="1" applyProtection="1">
      <alignment/>
      <protection/>
    </xf>
    <xf numFmtId="189" fontId="55" fillId="24" borderId="34" xfId="0" applyNumberFormat="1" applyFont="1" applyFill="1" applyBorder="1" applyAlignment="1" applyProtection="1">
      <alignment horizontal="center"/>
      <protection/>
    </xf>
    <xf numFmtId="0" fontId="55" fillId="24" borderId="33" xfId="0" applyFont="1" applyFill="1" applyBorder="1" applyAlignment="1" applyProtection="1">
      <alignment horizontal="center" vertical="center"/>
      <protection/>
    </xf>
    <xf numFmtId="0" fontId="55" fillId="24" borderId="43" xfId="0" applyFont="1" applyFill="1" applyBorder="1" applyAlignment="1" applyProtection="1">
      <alignment horizontal="center"/>
      <protection/>
    </xf>
    <xf numFmtId="2" fontId="55" fillId="24" borderId="34" xfId="0" applyNumberFormat="1" applyFont="1" applyFill="1" applyBorder="1" applyAlignment="1" applyProtection="1">
      <alignment horizontal="center" vertical="center"/>
      <protection/>
    </xf>
    <xf numFmtId="189" fontId="55" fillId="24" borderId="33" xfId="0" applyNumberFormat="1" applyFont="1" applyFill="1" applyBorder="1" applyAlignment="1" applyProtection="1">
      <alignment horizontal="center"/>
      <protection/>
    </xf>
    <xf numFmtId="189" fontId="55" fillId="24" borderId="0" xfId="0" applyNumberFormat="1" applyFont="1" applyFill="1" applyAlignment="1" applyProtection="1">
      <alignment horizontal="center"/>
      <protection/>
    </xf>
    <xf numFmtId="187" fontId="55" fillId="24" borderId="0" xfId="0" applyNumberFormat="1" applyFont="1" applyFill="1" applyBorder="1" applyAlignment="1" applyProtection="1">
      <alignment horizontal="center" vertical="center"/>
      <protection/>
    </xf>
    <xf numFmtId="0" fontId="55" fillId="24" borderId="33" xfId="0" applyFont="1" applyFill="1" applyBorder="1" applyAlignment="1" applyProtection="1">
      <alignment/>
      <protection/>
    </xf>
    <xf numFmtId="189" fontId="55" fillId="24" borderId="0" xfId="0" applyNumberFormat="1" applyFont="1" applyFill="1" applyAlignment="1" applyProtection="1">
      <alignment/>
      <protection/>
    </xf>
    <xf numFmtId="0" fontId="55" fillId="24" borderId="0" xfId="0" applyFont="1" applyFill="1" applyAlignment="1" applyProtection="1">
      <alignment horizontal="left"/>
      <protection/>
    </xf>
    <xf numFmtId="1" fontId="55" fillId="24" borderId="0" xfId="0" applyNumberFormat="1" applyFont="1" applyFill="1" applyBorder="1" applyAlignment="1" applyProtection="1">
      <alignment horizontal="right"/>
      <protection/>
    </xf>
    <xf numFmtId="189" fontId="55" fillId="24" borderId="0" xfId="0" applyNumberFormat="1" applyFont="1" applyFill="1" applyBorder="1" applyAlignment="1" applyProtection="1">
      <alignment/>
      <protection/>
    </xf>
    <xf numFmtId="189" fontId="55" fillId="24" borderId="32" xfId="0" applyNumberFormat="1" applyFont="1" applyFill="1" applyBorder="1" applyAlignment="1" applyProtection="1">
      <alignment horizontal="center"/>
      <protection/>
    </xf>
    <xf numFmtId="2" fontId="55" fillId="24" borderId="0" xfId="0" applyNumberFormat="1" applyFont="1" applyFill="1" applyBorder="1" applyAlignment="1" applyProtection="1">
      <alignment horizontal="right"/>
      <protection/>
    </xf>
    <xf numFmtId="2" fontId="55" fillId="24" borderId="44" xfId="0" applyNumberFormat="1" applyFont="1" applyFill="1" applyBorder="1" applyAlignment="1" applyProtection="1">
      <alignment horizontal="center"/>
      <protection/>
    </xf>
    <xf numFmtId="0" fontId="55" fillId="24" borderId="29" xfId="0" applyFont="1" applyFill="1" applyBorder="1" applyAlignment="1" applyProtection="1">
      <alignment/>
      <protection/>
    </xf>
    <xf numFmtId="0" fontId="55" fillId="24" borderId="26" xfId="0" applyFont="1" applyFill="1" applyBorder="1" applyAlignment="1" applyProtection="1">
      <alignment/>
      <protection/>
    </xf>
    <xf numFmtId="2" fontId="55" fillId="24" borderId="27" xfId="0" applyNumberFormat="1" applyFont="1" applyFill="1" applyBorder="1" applyAlignment="1" applyProtection="1">
      <alignment horizontal="center"/>
      <protection/>
    </xf>
    <xf numFmtId="188" fontId="55" fillId="24" borderId="0" xfId="0" applyNumberFormat="1" applyFont="1" applyFill="1" applyBorder="1" applyAlignment="1" applyProtection="1">
      <alignment horizontal="center"/>
      <protection/>
    </xf>
    <xf numFmtId="188" fontId="55" fillId="24" borderId="0" xfId="0" applyNumberFormat="1" applyFont="1" applyFill="1" applyBorder="1" applyAlignment="1" applyProtection="1">
      <alignment/>
      <protection/>
    </xf>
    <xf numFmtId="0" fontId="55" fillId="24" borderId="24" xfId="0" applyFont="1" applyFill="1" applyBorder="1" applyAlignment="1" applyProtection="1">
      <alignment/>
      <protection/>
    </xf>
    <xf numFmtId="2" fontId="55" fillId="24" borderId="29" xfId="0" applyNumberFormat="1" applyFont="1" applyFill="1" applyBorder="1" applyAlignment="1" applyProtection="1">
      <alignment horizontal="center"/>
      <protection/>
    </xf>
    <xf numFmtId="0" fontId="56" fillId="24" borderId="0" xfId="0" applyFont="1" applyFill="1" applyAlignment="1" applyProtection="1">
      <alignment/>
      <protection/>
    </xf>
    <xf numFmtId="190" fontId="55" fillId="24" borderId="34" xfId="0" applyNumberFormat="1" applyFont="1" applyFill="1" applyBorder="1" applyAlignment="1" applyProtection="1">
      <alignment horizontal="center"/>
      <protection/>
    </xf>
    <xf numFmtId="0" fontId="55" fillId="24" borderId="38" xfId="0" applyFont="1" applyFill="1" applyBorder="1" applyAlignment="1" applyProtection="1">
      <alignment horizontal="center"/>
      <protection/>
    </xf>
    <xf numFmtId="0" fontId="55" fillId="24" borderId="31" xfId="0" applyFont="1" applyFill="1" applyBorder="1" applyAlignment="1" applyProtection="1">
      <alignment/>
      <protection/>
    </xf>
    <xf numFmtId="188" fontId="55" fillId="24" borderId="39" xfId="0" applyNumberFormat="1" applyFont="1" applyFill="1" applyBorder="1" applyAlignment="1" applyProtection="1">
      <alignment horizontal="center"/>
      <protection/>
    </xf>
    <xf numFmtId="188" fontId="55" fillId="24" borderId="33" xfId="0" applyNumberFormat="1" applyFont="1" applyFill="1" applyBorder="1" applyAlignment="1" applyProtection="1">
      <alignment horizontal="center"/>
      <protection/>
    </xf>
    <xf numFmtId="188" fontId="55" fillId="24" borderId="40" xfId="0" applyNumberFormat="1" applyFont="1" applyFill="1" applyBorder="1" applyAlignment="1" applyProtection="1">
      <alignment horizontal="center"/>
      <protection/>
    </xf>
    <xf numFmtId="188" fontId="55" fillId="24" borderId="35" xfId="0" applyNumberFormat="1" applyFont="1" applyFill="1" applyBorder="1" applyAlignment="1" applyProtection="1">
      <alignment horizontal="center"/>
      <protection/>
    </xf>
    <xf numFmtId="190" fontId="55" fillId="24" borderId="0" xfId="0" applyNumberFormat="1" applyFont="1" applyFill="1" applyBorder="1" applyAlignment="1" applyProtection="1">
      <alignment horizontal="center"/>
      <protection/>
    </xf>
    <xf numFmtId="0" fontId="55" fillId="24" borderId="20" xfId="0" applyFont="1" applyFill="1" applyBorder="1" applyAlignment="1" applyProtection="1">
      <alignment/>
      <protection/>
    </xf>
    <xf numFmtId="189" fontId="55" fillId="24" borderId="0" xfId="0" applyNumberFormat="1" applyFont="1" applyFill="1" applyBorder="1" applyAlignment="1" applyProtection="1">
      <alignment horizontal="center" vertical="center"/>
      <protection/>
    </xf>
    <xf numFmtId="189" fontId="55" fillId="24" borderId="30" xfId="0" applyNumberFormat="1" applyFont="1" applyFill="1" applyBorder="1" applyAlignment="1" applyProtection="1">
      <alignment horizontal="center" vertical="center"/>
      <protection/>
    </xf>
    <xf numFmtId="190" fontId="55" fillId="24" borderId="0" xfId="0" applyNumberFormat="1" applyFont="1" applyFill="1" applyAlignment="1" applyProtection="1">
      <alignment horizontal="center"/>
      <protection/>
    </xf>
    <xf numFmtId="190" fontId="55" fillId="24" borderId="33" xfId="0" applyNumberFormat="1" applyFont="1" applyFill="1" applyBorder="1" applyAlignment="1" applyProtection="1">
      <alignment horizontal="center"/>
      <protection/>
    </xf>
    <xf numFmtId="2" fontId="55" fillId="24" borderId="43" xfId="0" applyNumberFormat="1" applyFont="1" applyFill="1" applyBorder="1" applyAlignment="1" applyProtection="1">
      <alignment horizontal="center"/>
      <protection/>
    </xf>
    <xf numFmtId="190" fontId="55" fillId="24" borderId="0" xfId="0" applyNumberFormat="1" applyFont="1" applyFill="1" applyBorder="1" applyAlignment="1" applyProtection="1">
      <alignment/>
      <protection/>
    </xf>
    <xf numFmtId="190" fontId="55" fillId="24" borderId="0" xfId="0" applyNumberFormat="1" applyFont="1" applyFill="1" applyAlignment="1" applyProtection="1">
      <alignment/>
      <protection/>
    </xf>
    <xf numFmtId="188" fontId="55" fillId="24" borderId="30" xfId="0" applyNumberFormat="1" applyFont="1" applyFill="1" applyBorder="1" applyAlignment="1" applyProtection="1">
      <alignment horizontal="center"/>
      <protection/>
    </xf>
    <xf numFmtId="189" fontId="55" fillId="24" borderId="0" xfId="0" applyNumberFormat="1" applyFont="1" applyFill="1" applyBorder="1" applyAlignment="1" applyProtection="1">
      <alignment horizontal="right"/>
      <protection/>
    </xf>
    <xf numFmtId="188" fontId="55" fillId="24" borderId="34" xfId="0" applyNumberFormat="1" applyFont="1" applyFill="1" applyBorder="1" applyAlignment="1" applyProtection="1">
      <alignment horizontal="center"/>
      <protection/>
    </xf>
    <xf numFmtId="0" fontId="55" fillId="24" borderId="45" xfId="0" applyFont="1" applyFill="1" applyBorder="1" applyAlignment="1" applyProtection="1">
      <alignment horizontal="center"/>
      <protection/>
    </xf>
    <xf numFmtId="188" fontId="55" fillId="24" borderId="23" xfId="0" applyNumberFormat="1" applyFont="1" applyFill="1" applyBorder="1" applyAlignment="1" applyProtection="1">
      <alignment horizontal="center"/>
      <protection/>
    </xf>
    <xf numFmtId="0" fontId="48" fillId="24" borderId="30" xfId="0" applyFont="1" applyFill="1" applyBorder="1" applyAlignment="1" applyProtection="1">
      <alignment/>
      <protection/>
    </xf>
    <xf numFmtId="0" fontId="48" fillId="24" borderId="31" xfId="0" applyFont="1" applyFill="1" applyBorder="1" applyAlignment="1" applyProtection="1">
      <alignment horizontal="center"/>
      <protection/>
    </xf>
    <xf numFmtId="0" fontId="48" fillId="24" borderId="32" xfId="0" applyFont="1" applyFill="1" applyBorder="1" applyAlignment="1" applyProtection="1">
      <alignment horizontal="center"/>
      <protection/>
    </xf>
    <xf numFmtId="0" fontId="48" fillId="24" borderId="0" xfId="0" applyFont="1" applyFill="1" applyBorder="1" applyAlignment="1" applyProtection="1">
      <alignment horizontal="center"/>
      <protection/>
    </xf>
    <xf numFmtId="0" fontId="48" fillId="24" borderId="0" xfId="0" applyFont="1" applyFill="1" applyBorder="1" applyAlignment="1" applyProtection="1">
      <alignment/>
      <protection locked="0"/>
    </xf>
    <xf numFmtId="0" fontId="48" fillId="24" borderId="23" xfId="0" applyFont="1" applyFill="1" applyBorder="1" applyAlignment="1" applyProtection="1">
      <alignment/>
      <protection/>
    </xf>
    <xf numFmtId="0" fontId="48" fillId="24" borderId="33" xfId="0" applyFont="1" applyFill="1" applyBorder="1" applyAlignment="1" applyProtection="1">
      <alignment horizontal="center"/>
      <protection/>
    </xf>
    <xf numFmtId="2" fontId="48" fillId="24" borderId="33" xfId="0" applyNumberFormat="1" applyFont="1" applyFill="1" applyBorder="1" applyAlignment="1" applyProtection="1">
      <alignment horizontal="center"/>
      <protection/>
    </xf>
    <xf numFmtId="2" fontId="48" fillId="24" borderId="0" xfId="0" applyNumberFormat="1" applyFont="1" applyFill="1" applyBorder="1" applyAlignment="1" applyProtection="1">
      <alignment/>
      <protection/>
    </xf>
    <xf numFmtId="0" fontId="48" fillId="24" borderId="34" xfId="0" applyFont="1" applyFill="1" applyBorder="1" applyAlignment="1" applyProtection="1">
      <alignment/>
      <protection/>
    </xf>
    <xf numFmtId="0" fontId="48" fillId="24" borderId="20" xfId="0" applyFont="1" applyFill="1" applyBorder="1" applyAlignment="1" applyProtection="1">
      <alignment horizontal="center"/>
      <protection/>
    </xf>
    <xf numFmtId="0" fontId="48" fillId="24" borderId="35" xfId="0" applyFont="1" applyFill="1" applyBorder="1" applyAlignment="1" applyProtection="1">
      <alignment horizontal="center"/>
      <protection/>
    </xf>
    <xf numFmtId="0" fontId="48" fillId="24" borderId="0" xfId="0" applyFont="1" applyFill="1" applyBorder="1" applyAlignment="1" applyProtection="1">
      <alignment/>
      <protection/>
    </xf>
    <xf numFmtId="2" fontId="48" fillId="24" borderId="20" xfId="0" applyNumberFormat="1" applyFont="1" applyFill="1" applyBorder="1" applyAlignment="1" applyProtection="1">
      <alignment horizontal="center"/>
      <protection/>
    </xf>
    <xf numFmtId="2" fontId="48" fillId="24" borderId="35" xfId="0" applyNumberFormat="1" applyFont="1" applyFill="1" applyBorder="1" applyAlignment="1" applyProtection="1">
      <alignment horizontal="center"/>
      <protection/>
    </xf>
    <xf numFmtId="2" fontId="48" fillId="24" borderId="41" xfId="0" applyNumberFormat="1" applyFont="1" applyFill="1" applyBorder="1" applyAlignment="1" applyProtection="1">
      <alignment horizontal="center"/>
      <protection/>
    </xf>
    <xf numFmtId="0" fontId="48" fillId="24" borderId="0" xfId="0" applyFont="1" applyFill="1" applyAlignment="1" applyProtection="1">
      <alignment/>
      <protection locked="0"/>
    </xf>
    <xf numFmtId="0" fontId="48" fillId="24" borderId="0" xfId="0" applyFont="1" applyFill="1" applyAlignment="1" applyProtection="1">
      <alignment horizontal="center"/>
      <protection/>
    </xf>
    <xf numFmtId="0" fontId="63" fillId="24" borderId="0" xfId="0" applyFont="1" applyFill="1" applyAlignment="1" applyProtection="1">
      <alignment/>
      <protection/>
    </xf>
    <xf numFmtId="0" fontId="48" fillId="24" borderId="0" xfId="0" applyFont="1" applyFill="1" applyBorder="1" applyAlignment="1" applyProtection="1">
      <alignment horizontal="left"/>
      <protection/>
    </xf>
    <xf numFmtId="189" fontId="48" fillId="24" borderId="0" xfId="0" applyNumberFormat="1" applyFont="1" applyFill="1" applyBorder="1" applyAlignment="1" applyProtection="1">
      <alignment horizontal="center"/>
      <protection/>
    </xf>
    <xf numFmtId="0" fontId="48" fillId="24" borderId="30" xfId="0" applyFont="1" applyFill="1" applyBorder="1" applyAlignment="1" applyProtection="1">
      <alignment horizontal="center"/>
      <protection/>
    </xf>
    <xf numFmtId="2" fontId="48" fillId="24" borderId="32" xfId="0" applyNumberFormat="1" applyFont="1" applyFill="1" applyBorder="1" applyAlignment="1" applyProtection="1">
      <alignment horizontal="center"/>
      <protection/>
    </xf>
    <xf numFmtId="0" fontId="48" fillId="24" borderId="34" xfId="0" applyFont="1" applyFill="1" applyBorder="1" applyAlignment="1" applyProtection="1">
      <alignment horizontal="center"/>
      <protection/>
    </xf>
    <xf numFmtId="3" fontId="48" fillId="24" borderId="0" xfId="0" applyNumberFormat="1" applyFont="1" applyFill="1" applyAlignment="1" applyProtection="1">
      <alignment/>
      <protection/>
    </xf>
    <xf numFmtId="2" fontId="48" fillId="24" borderId="23" xfId="0" applyNumberFormat="1" applyFont="1" applyFill="1" applyBorder="1" applyAlignment="1" applyProtection="1">
      <alignment horizontal="center"/>
      <protection/>
    </xf>
    <xf numFmtId="0" fontId="48" fillId="24" borderId="23" xfId="0" applyFont="1" applyFill="1" applyBorder="1" applyAlignment="1" applyProtection="1">
      <alignment horizontal="center"/>
      <protection/>
    </xf>
    <xf numFmtId="188" fontId="48" fillId="24" borderId="0" xfId="0" applyNumberFormat="1" applyFont="1" applyFill="1" applyAlignment="1" applyProtection="1">
      <alignment/>
      <protection/>
    </xf>
    <xf numFmtId="2" fontId="48" fillId="24" borderId="0" xfId="0" applyNumberFormat="1" applyFont="1" applyFill="1" applyAlignment="1" applyProtection="1">
      <alignment/>
      <protection/>
    </xf>
    <xf numFmtId="0" fontId="48" fillId="24" borderId="0" xfId="0" applyFont="1" applyFill="1" applyAlignment="1" applyProtection="1">
      <alignment horizontal="right"/>
      <protection/>
    </xf>
    <xf numFmtId="2" fontId="48" fillId="24" borderId="30" xfId="0" applyNumberFormat="1" applyFont="1" applyFill="1" applyBorder="1" applyAlignment="1" applyProtection="1">
      <alignment horizontal="center"/>
      <protection/>
    </xf>
    <xf numFmtId="0" fontId="48" fillId="24" borderId="0" xfId="0" applyFont="1" applyFill="1" applyBorder="1" applyAlignment="1" applyProtection="1">
      <alignment vertical="center"/>
      <protection/>
    </xf>
    <xf numFmtId="2" fontId="48" fillId="24" borderId="34" xfId="0" applyNumberFormat="1" applyFont="1" applyFill="1" applyBorder="1" applyAlignment="1" applyProtection="1">
      <alignment horizontal="center"/>
      <protection/>
    </xf>
    <xf numFmtId="2" fontId="48" fillId="24" borderId="23" xfId="0" applyNumberFormat="1" applyFont="1" applyFill="1" applyBorder="1" applyAlignment="1" applyProtection="1">
      <alignment horizontal="center" vertical="center"/>
      <protection/>
    </xf>
    <xf numFmtId="187" fontId="48" fillId="24" borderId="0" xfId="0" applyNumberFormat="1" applyFont="1" applyFill="1" applyBorder="1" applyAlignment="1" applyProtection="1">
      <alignment vertical="center"/>
      <protection/>
    </xf>
    <xf numFmtId="0" fontId="48" fillId="24" borderId="30" xfId="0" applyFont="1" applyFill="1" applyBorder="1" applyAlignment="1" applyProtection="1">
      <alignment horizontal="center" vertical="center"/>
      <protection/>
    </xf>
    <xf numFmtId="189" fontId="48" fillId="24" borderId="30" xfId="0" applyNumberFormat="1" applyFont="1" applyFill="1" applyBorder="1" applyAlignment="1" applyProtection="1">
      <alignment horizontal="center"/>
      <protection/>
    </xf>
    <xf numFmtId="189" fontId="48" fillId="24" borderId="23" xfId="0" applyNumberFormat="1" applyFont="1" applyFill="1" applyBorder="1" applyAlignment="1" applyProtection="1">
      <alignment horizontal="center"/>
      <protection/>
    </xf>
    <xf numFmtId="189" fontId="48" fillId="24" borderId="0" xfId="0" applyNumberFormat="1" applyFont="1" applyFill="1" applyAlignment="1" applyProtection="1">
      <alignment/>
      <protection/>
    </xf>
    <xf numFmtId="189" fontId="48" fillId="24" borderId="34" xfId="0" applyNumberFormat="1" applyFont="1" applyFill="1" applyBorder="1" applyAlignment="1" applyProtection="1">
      <alignment horizontal="center"/>
      <protection/>
    </xf>
    <xf numFmtId="0" fontId="48" fillId="24" borderId="43" xfId="0" applyFont="1" applyFill="1" applyBorder="1" applyAlignment="1" applyProtection="1">
      <alignment/>
      <protection/>
    </xf>
    <xf numFmtId="0" fontId="48" fillId="24" borderId="33" xfId="0" applyFont="1" applyFill="1" applyBorder="1" applyAlignment="1" applyProtection="1">
      <alignment horizontal="center" vertical="center"/>
      <protection/>
    </xf>
    <xf numFmtId="0" fontId="48" fillId="24" borderId="43" xfId="0" applyFont="1" applyFill="1" applyBorder="1" applyAlignment="1" applyProtection="1">
      <alignment horizontal="center"/>
      <protection/>
    </xf>
    <xf numFmtId="2" fontId="48" fillId="24" borderId="34" xfId="0" applyNumberFormat="1" applyFont="1" applyFill="1" applyBorder="1" applyAlignment="1" applyProtection="1">
      <alignment horizontal="center" vertical="center"/>
      <protection/>
    </xf>
    <xf numFmtId="0" fontId="48" fillId="24" borderId="0" xfId="0" applyFont="1" applyFill="1" applyBorder="1" applyAlignment="1" applyProtection="1">
      <alignment horizontal="center" vertical="center"/>
      <protection/>
    </xf>
    <xf numFmtId="0" fontId="48" fillId="24" borderId="0" xfId="0" applyFont="1" applyFill="1" applyBorder="1" applyAlignment="1" applyProtection="1">
      <alignment horizontal="center"/>
      <protection locked="0"/>
    </xf>
    <xf numFmtId="2" fontId="48" fillId="24" borderId="0" xfId="0" applyNumberFormat="1" applyFont="1" applyFill="1" applyAlignment="1" applyProtection="1">
      <alignment horizontal="center"/>
      <protection/>
    </xf>
    <xf numFmtId="188" fontId="48" fillId="24" borderId="0" xfId="0" applyNumberFormat="1" applyFont="1" applyFill="1" applyAlignment="1" applyProtection="1">
      <alignment horizontal="center"/>
      <protection/>
    </xf>
    <xf numFmtId="189" fontId="48" fillId="24" borderId="33" xfId="0" applyNumberFormat="1" applyFont="1" applyFill="1" applyBorder="1" applyAlignment="1" applyProtection="1">
      <alignment horizontal="center"/>
      <protection/>
    </xf>
    <xf numFmtId="189" fontId="48" fillId="24" borderId="0" xfId="0" applyNumberFormat="1" applyFont="1" applyFill="1" applyAlignment="1" applyProtection="1">
      <alignment horizontal="center"/>
      <protection/>
    </xf>
    <xf numFmtId="187" fontId="48" fillId="24" borderId="0" xfId="0" applyNumberFormat="1" applyFont="1" applyFill="1" applyBorder="1" applyAlignment="1" applyProtection="1">
      <alignment horizontal="center" vertical="center"/>
      <protection/>
    </xf>
    <xf numFmtId="0" fontId="64" fillId="24" borderId="0" xfId="0" applyFont="1" applyFill="1" applyBorder="1" applyAlignment="1" applyProtection="1">
      <alignment/>
      <protection/>
    </xf>
    <xf numFmtId="187" fontId="48" fillId="24" borderId="0" xfId="0" applyNumberFormat="1" applyFont="1" applyFill="1" applyAlignment="1" applyProtection="1">
      <alignment/>
      <protection/>
    </xf>
    <xf numFmtId="0" fontId="48" fillId="24" borderId="0" xfId="0" applyFont="1" applyFill="1" applyAlignment="1" applyProtection="1">
      <alignment/>
      <protection/>
    </xf>
    <xf numFmtId="0" fontId="48" fillId="24" borderId="33" xfId="0" applyFont="1" applyFill="1" applyBorder="1" applyAlignment="1" applyProtection="1">
      <alignment/>
      <protection/>
    </xf>
    <xf numFmtId="4" fontId="48" fillId="24" borderId="0" xfId="0" applyNumberFormat="1" applyFont="1" applyFill="1" applyAlignment="1" applyProtection="1">
      <alignment/>
      <protection/>
    </xf>
    <xf numFmtId="189" fontId="48" fillId="24" borderId="0" xfId="0" applyNumberFormat="1" applyFont="1" applyFill="1" applyAlignment="1" applyProtection="1">
      <alignment/>
      <protection/>
    </xf>
    <xf numFmtId="0" fontId="48" fillId="24" borderId="0" xfId="0" applyFont="1" applyFill="1" applyAlignment="1" applyProtection="1">
      <alignment horizontal="left"/>
      <protection/>
    </xf>
    <xf numFmtId="1" fontId="48" fillId="24" borderId="0" xfId="0" applyNumberFormat="1" applyFont="1" applyFill="1" applyBorder="1" applyAlignment="1" applyProtection="1">
      <alignment horizontal="right"/>
      <protection/>
    </xf>
    <xf numFmtId="189" fontId="48" fillId="24" borderId="0" xfId="0" applyNumberFormat="1" applyFont="1" applyFill="1" applyBorder="1" applyAlignment="1" applyProtection="1">
      <alignment/>
      <protection/>
    </xf>
    <xf numFmtId="189" fontId="48" fillId="24" borderId="32" xfId="0" applyNumberFormat="1" applyFont="1" applyFill="1" applyBorder="1" applyAlignment="1" applyProtection="1">
      <alignment horizontal="center"/>
      <protection/>
    </xf>
    <xf numFmtId="2" fontId="48" fillId="24" borderId="0" xfId="0" applyNumberFormat="1" applyFont="1" applyFill="1" applyBorder="1" applyAlignment="1" applyProtection="1">
      <alignment horizontal="right"/>
      <protection/>
    </xf>
    <xf numFmtId="189" fontId="48" fillId="24" borderId="44" xfId="0" applyNumberFormat="1" applyFont="1" applyFill="1" applyBorder="1" applyAlignment="1" applyProtection="1">
      <alignment horizontal="center"/>
      <protection/>
    </xf>
    <xf numFmtId="2" fontId="48" fillId="24" borderId="45" xfId="0" applyNumberFormat="1" applyFont="1" applyFill="1" applyBorder="1" applyAlignment="1" applyProtection="1">
      <alignment horizontal="center"/>
      <protection/>
    </xf>
    <xf numFmtId="2" fontId="48" fillId="24" borderId="44" xfId="0" applyNumberFormat="1" applyFont="1" applyFill="1" applyBorder="1" applyAlignment="1" applyProtection="1">
      <alignment horizontal="center"/>
      <protection/>
    </xf>
    <xf numFmtId="189" fontId="48" fillId="24" borderId="45" xfId="0" applyNumberFormat="1" applyFont="1" applyFill="1" applyBorder="1" applyAlignment="1" applyProtection="1">
      <alignment horizontal="center"/>
      <protection/>
    </xf>
    <xf numFmtId="2" fontId="48" fillId="24" borderId="31" xfId="0" applyNumberFormat="1" applyFont="1" applyFill="1" applyBorder="1" applyAlignment="1" applyProtection="1">
      <alignment horizontal="center"/>
      <protection/>
    </xf>
    <xf numFmtId="0" fontId="48" fillId="24" borderId="32" xfId="0" applyFont="1" applyFill="1" applyBorder="1" applyAlignment="1" applyProtection="1">
      <alignment/>
      <protection/>
    </xf>
    <xf numFmtId="0" fontId="48" fillId="24" borderId="35" xfId="0" applyFont="1" applyFill="1" applyBorder="1" applyAlignment="1" applyProtection="1">
      <alignment/>
      <protection/>
    </xf>
    <xf numFmtId="0" fontId="48" fillId="24" borderId="29" xfId="0" applyFont="1" applyFill="1" applyBorder="1" applyAlignment="1" applyProtection="1">
      <alignment/>
      <protection/>
    </xf>
    <xf numFmtId="0" fontId="48" fillId="24" borderId="26" xfId="0" applyFont="1" applyFill="1" applyBorder="1" applyAlignment="1" applyProtection="1">
      <alignment/>
      <protection/>
    </xf>
    <xf numFmtId="0" fontId="48" fillId="24" borderId="27" xfId="0" applyFont="1" applyFill="1" applyBorder="1" applyAlignment="1" applyProtection="1">
      <alignment horizontal="center"/>
      <protection/>
    </xf>
    <xf numFmtId="2" fontId="48" fillId="24" borderId="27" xfId="0" applyNumberFormat="1" applyFont="1" applyFill="1" applyBorder="1" applyAlignment="1" applyProtection="1">
      <alignment horizontal="center"/>
      <protection/>
    </xf>
    <xf numFmtId="2" fontId="48" fillId="24" borderId="36" xfId="0" applyNumberFormat="1" applyFont="1" applyFill="1" applyBorder="1" applyAlignment="1" applyProtection="1">
      <alignment horizontal="center"/>
      <protection/>
    </xf>
    <xf numFmtId="188" fontId="48" fillId="24" borderId="0" xfId="0" applyNumberFormat="1" applyFont="1" applyFill="1" applyBorder="1" applyAlignment="1" applyProtection="1">
      <alignment horizontal="center"/>
      <protection/>
    </xf>
    <xf numFmtId="188" fontId="48" fillId="24" borderId="0" xfId="0" applyNumberFormat="1" applyFont="1" applyFill="1" applyBorder="1" applyAlignment="1" applyProtection="1">
      <alignment/>
      <protection/>
    </xf>
    <xf numFmtId="0" fontId="48" fillId="24" borderId="24" xfId="0" applyFont="1" applyFill="1" applyBorder="1" applyAlignment="1" applyProtection="1">
      <alignment/>
      <protection/>
    </xf>
    <xf numFmtId="2" fontId="48" fillId="24" borderId="25" xfId="0" applyNumberFormat="1" applyFont="1" applyFill="1" applyBorder="1" applyAlignment="1" applyProtection="1">
      <alignment horizontal="center"/>
      <protection/>
    </xf>
    <xf numFmtId="0" fontId="48" fillId="24" borderId="28" xfId="0" applyFont="1" applyFill="1" applyBorder="1" applyAlignment="1" applyProtection="1">
      <alignment/>
      <protection/>
    </xf>
    <xf numFmtId="0" fontId="48" fillId="24" borderId="29" xfId="0" applyFont="1" applyFill="1" applyBorder="1" applyAlignment="1" applyProtection="1">
      <alignment horizontal="center"/>
      <protection/>
    </xf>
    <xf numFmtId="2" fontId="48" fillId="24" borderId="29" xfId="0" applyNumberFormat="1" applyFont="1" applyFill="1" applyBorder="1" applyAlignment="1" applyProtection="1">
      <alignment horizontal="center"/>
      <protection/>
    </xf>
    <xf numFmtId="2" fontId="48" fillId="24" borderId="37" xfId="0" applyNumberFormat="1" applyFont="1" applyFill="1" applyBorder="1" applyAlignment="1" applyProtection="1">
      <alignment horizontal="center"/>
      <protection/>
    </xf>
    <xf numFmtId="190" fontId="48" fillId="24" borderId="32" xfId="0" applyNumberFormat="1" applyFont="1" applyFill="1" applyBorder="1" applyAlignment="1" applyProtection="1">
      <alignment horizontal="center"/>
      <protection/>
    </xf>
    <xf numFmtId="190" fontId="48" fillId="24" borderId="30" xfId="0" applyNumberFormat="1" applyFont="1" applyFill="1" applyBorder="1" applyAlignment="1" applyProtection="1">
      <alignment horizontal="center"/>
      <protection/>
    </xf>
    <xf numFmtId="0" fontId="64" fillId="24" borderId="0" xfId="0" applyFont="1" applyFill="1" applyAlignment="1" applyProtection="1">
      <alignment/>
      <protection/>
    </xf>
    <xf numFmtId="190" fontId="48" fillId="24" borderId="35" xfId="0" applyNumberFormat="1" applyFont="1" applyFill="1" applyBorder="1" applyAlignment="1" applyProtection="1">
      <alignment horizontal="center"/>
      <protection/>
    </xf>
    <xf numFmtId="190" fontId="48" fillId="24" borderId="34" xfId="0" applyNumberFormat="1" applyFont="1" applyFill="1" applyBorder="1" applyAlignment="1" applyProtection="1">
      <alignment horizontal="center"/>
      <protection/>
    </xf>
    <xf numFmtId="189" fontId="48" fillId="24" borderId="35" xfId="0" applyNumberFormat="1" applyFont="1" applyFill="1" applyBorder="1" applyAlignment="1" applyProtection="1">
      <alignment horizontal="center"/>
      <protection/>
    </xf>
    <xf numFmtId="0" fontId="65" fillId="24" borderId="0" xfId="0" applyFont="1" applyFill="1" applyAlignment="1" applyProtection="1">
      <alignment/>
      <protection/>
    </xf>
    <xf numFmtId="0" fontId="48" fillId="24" borderId="38" xfId="0" applyFont="1" applyFill="1" applyBorder="1" applyAlignment="1" applyProtection="1">
      <alignment horizontal="center"/>
      <protection/>
    </xf>
    <xf numFmtId="0" fontId="48" fillId="24" borderId="31" xfId="0" applyFont="1" applyFill="1" applyBorder="1" applyAlignment="1" applyProtection="1">
      <alignment/>
      <protection/>
    </xf>
    <xf numFmtId="188" fontId="48" fillId="24" borderId="39" xfId="0" applyNumberFormat="1" applyFont="1" applyFill="1" applyBorder="1" applyAlignment="1" applyProtection="1">
      <alignment horizontal="center"/>
      <protection/>
    </xf>
    <xf numFmtId="188" fontId="48" fillId="24" borderId="33" xfId="0" applyNumberFormat="1" applyFont="1" applyFill="1" applyBorder="1" applyAlignment="1" applyProtection="1">
      <alignment horizontal="center"/>
      <protection/>
    </xf>
    <xf numFmtId="188" fontId="48" fillId="24" borderId="40" xfId="0" applyNumberFormat="1" applyFont="1" applyFill="1" applyBorder="1" applyAlignment="1" applyProtection="1">
      <alignment horizontal="center"/>
      <protection/>
    </xf>
    <xf numFmtId="188" fontId="48" fillId="24" borderId="35" xfId="0" applyNumberFormat="1" applyFont="1" applyFill="1" applyBorder="1" applyAlignment="1" applyProtection="1">
      <alignment horizontal="center"/>
      <protection/>
    </xf>
    <xf numFmtId="14" fontId="13" fillId="24" borderId="46" xfId="0" applyNumberFormat="1" applyFont="1" applyFill="1" applyBorder="1" applyAlignment="1" applyProtection="1">
      <alignment horizontal="center"/>
      <protection/>
    </xf>
    <xf numFmtId="0" fontId="1" fillId="24" borderId="20" xfId="0" applyFont="1" applyFill="1" applyBorder="1" applyAlignment="1">
      <alignment/>
    </xf>
    <xf numFmtId="4" fontId="16" fillId="24" borderId="0" xfId="0" applyNumberFormat="1" applyFont="1" applyFill="1" applyAlignment="1" applyProtection="1">
      <alignment horizontal="center"/>
      <protection/>
    </xf>
    <xf numFmtId="0" fontId="1" fillId="24" borderId="47" xfId="0" applyFont="1" applyFill="1" applyBorder="1" applyAlignment="1" applyProtection="1">
      <alignment horizontal="center" vertical="center"/>
      <protection/>
    </xf>
    <xf numFmtId="0" fontId="1" fillId="24" borderId="46" xfId="0" applyFont="1" applyFill="1" applyBorder="1" applyAlignment="1" applyProtection="1">
      <alignment horizontal="center" vertical="center"/>
      <protection/>
    </xf>
    <xf numFmtId="0" fontId="13" fillId="24" borderId="0" xfId="0" applyFont="1" applyFill="1" applyBorder="1" applyAlignment="1" applyProtection="1">
      <alignment horizontal="center"/>
      <protection/>
    </xf>
    <xf numFmtId="14" fontId="13" fillId="24" borderId="48" xfId="0" applyNumberFormat="1" applyFont="1" applyFill="1" applyBorder="1" applyAlignment="1" applyProtection="1">
      <alignment horizontal="center"/>
      <protection/>
    </xf>
    <xf numFmtId="0" fontId="14" fillId="7" borderId="45" xfId="0" applyFont="1" applyFill="1" applyBorder="1" applyAlignment="1" applyProtection="1">
      <alignment horizontal="center"/>
      <protection/>
    </xf>
    <xf numFmtId="0" fontId="11" fillId="24" borderId="0" xfId="0" applyFont="1" applyFill="1" applyAlignment="1">
      <alignment horizontal="left"/>
    </xf>
    <xf numFmtId="0" fontId="14" fillId="7" borderId="44" xfId="0" applyFont="1" applyFill="1" applyBorder="1" applyAlignment="1" applyProtection="1">
      <alignment horizontal="center"/>
      <protection/>
    </xf>
    <xf numFmtId="0" fontId="14" fillId="7" borderId="43" xfId="0" applyFont="1" applyFill="1" applyBorder="1" applyAlignment="1" applyProtection="1">
      <alignment horizontal="center"/>
      <protection/>
    </xf>
    <xf numFmtId="0" fontId="7" fillId="24" borderId="0" xfId="0" applyFont="1" applyFill="1" applyAlignment="1">
      <alignment horizontal="right"/>
    </xf>
    <xf numFmtId="0" fontId="9" fillId="24" borderId="0" xfId="0" applyFont="1" applyFill="1" applyAlignment="1">
      <alignment horizontal="center"/>
    </xf>
    <xf numFmtId="0" fontId="10" fillId="25" borderId="0" xfId="0" applyFont="1" applyFill="1" applyAlignment="1" applyProtection="1">
      <alignment horizontal="center"/>
      <protection locked="0"/>
    </xf>
    <xf numFmtId="0" fontId="12" fillId="25" borderId="19" xfId="0" applyFont="1" applyFill="1" applyBorder="1" applyAlignment="1" applyProtection="1">
      <alignment horizontal="left"/>
      <protection locked="0"/>
    </xf>
    <xf numFmtId="0" fontId="12" fillId="25" borderId="18" xfId="0" applyFont="1" applyFill="1" applyBorder="1" applyAlignment="1" applyProtection="1">
      <alignment horizontal="left"/>
      <protection locked="0"/>
    </xf>
    <xf numFmtId="0" fontId="12" fillId="25" borderId="29" xfId="0" applyFont="1" applyFill="1" applyBorder="1" applyAlignment="1" applyProtection="1">
      <alignment horizontal="left"/>
      <protection locked="0"/>
    </xf>
    <xf numFmtId="0" fontId="11" fillId="24" borderId="0" xfId="0" applyFont="1" applyFill="1" applyAlignment="1">
      <alignment horizontal="right"/>
    </xf>
    <xf numFmtId="0" fontId="12" fillId="25" borderId="42" xfId="0" applyFont="1" applyFill="1" applyBorder="1" applyAlignment="1" applyProtection="1">
      <alignment horizontal="left"/>
      <protection locked="0"/>
    </xf>
    <xf numFmtId="0" fontId="7" fillId="24" borderId="0" xfId="0" applyFont="1" applyFill="1" applyAlignment="1">
      <alignment horizontal="center"/>
    </xf>
    <xf numFmtId="0" fontId="1" fillId="25" borderId="18" xfId="0" applyFont="1" applyFill="1" applyBorder="1" applyAlignment="1">
      <alignment horizontal="center"/>
    </xf>
    <xf numFmtId="14" fontId="13" fillId="24" borderId="49" xfId="0" applyNumberFormat="1" applyFont="1" applyFill="1" applyBorder="1" applyAlignment="1" applyProtection="1">
      <alignment horizontal="center"/>
      <protection/>
    </xf>
    <xf numFmtId="0" fontId="1" fillId="24" borderId="50" xfId="0" applyFont="1" applyFill="1" applyBorder="1" applyAlignment="1" applyProtection="1">
      <alignment horizontal="left"/>
      <protection/>
    </xf>
    <xf numFmtId="0" fontId="1" fillId="24" borderId="51" xfId="0" applyFont="1" applyFill="1" applyBorder="1" applyAlignment="1" applyProtection="1">
      <alignment horizontal="left"/>
      <protection/>
    </xf>
    <xf numFmtId="0" fontId="1" fillId="24" borderId="52" xfId="0" applyFont="1" applyFill="1" applyBorder="1" applyAlignment="1" applyProtection="1">
      <alignment horizontal="left"/>
      <protection/>
    </xf>
    <xf numFmtId="22" fontId="36" fillId="24" borderId="22" xfId="0" applyNumberFormat="1" applyFont="1" applyFill="1" applyBorder="1" applyAlignment="1" applyProtection="1">
      <alignment horizontal="right"/>
      <protection/>
    </xf>
    <xf numFmtId="22" fontId="36" fillId="24" borderId="0" xfId="0" applyNumberFormat="1" applyFont="1" applyFill="1" applyBorder="1" applyAlignment="1" applyProtection="1">
      <alignment horizontal="right"/>
      <protection/>
    </xf>
    <xf numFmtId="2" fontId="13" fillId="24" borderId="0" xfId="0" applyNumberFormat="1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36" fillId="24" borderId="53" xfId="0" applyFont="1" applyFill="1" applyBorder="1" applyAlignment="1" applyProtection="1">
      <alignment horizontal="right"/>
      <protection/>
    </xf>
    <xf numFmtId="3" fontId="6" fillId="24" borderId="0" xfId="0" applyNumberFormat="1" applyFont="1" applyFill="1" applyAlignment="1" applyProtection="1">
      <alignment horizontal="center"/>
      <protection locked="0"/>
    </xf>
    <xf numFmtId="3" fontId="17" fillId="24" borderId="0" xfId="0" applyNumberFormat="1" applyFont="1" applyFill="1" applyAlignment="1" applyProtection="1">
      <alignment horizontal="center"/>
      <protection locked="0"/>
    </xf>
    <xf numFmtId="0" fontId="1" fillId="24" borderId="0" xfId="0" applyFont="1" applyFill="1" applyAlignment="1" applyProtection="1">
      <alignment horizontal="center"/>
      <protection/>
    </xf>
    <xf numFmtId="3" fontId="13" fillId="24" borderId="0" xfId="0" applyNumberFormat="1" applyFont="1" applyFill="1" applyAlignment="1" applyProtection="1">
      <alignment horizontal="center"/>
      <protection/>
    </xf>
    <xf numFmtId="0" fontId="14" fillId="24" borderId="31" xfId="0" applyFont="1" applyFill="1" applyBorder="1" applyAlignment="1" applyProtection="1">
      <alignment horizontal="center"/>
      <protection/>
    </xf>
    <xf numFmtId="3" fontId="17" fillId="24" borderId="0" xfId="0" applyNumberFormat="1" applyFont="1" applyFill="1" applyAlignment="1" applyProtection="1">
      <alignment horizontal="center"/>
      <protection/>
    </xf>
    <xf numFmtId="0" fontId="13" fillId="24" borderId="0" xfId="0" applyFont="1" applyFill="1" applyAlignment="1" applyProtection="1">
      <alignment horizontal="center"/>
      <protection/>
    </xf>
    <xf numFmtId="2" fontId="13" fillId="24" borderId="0" xfId="0" applyNumberFormat="1" applyFont="1" applyFill="1" applyAlignment="1" applyProtection="1">
      <alignment horizontal="center"/>
      <protection/>
    </xf>
    <xf numFmtId="2" fontId="16" fillId="24" borderId="0" xfId="0" applyNumberFormat="1" applyFont="1" applyFill="1" applyAlignment="1" applyProtection="1">
      <alignment horizontal="center"/>
      <protection/>
    </xf>
    <xf numFmtId="0" fontId="14" fillId="26" borderId="44" xfId="0" applyFont="1" applyFill="1" applyBorder="1" applyAlignment="1">
      <alignment horizontal="center"/>
    </xf>
    <xf numFmtId="0" fontId="14" fillId="26" borderId="43" xfId="0" applyFont="1" applyFill="1" applyBorder="1" applyAlignment="1">
      <alignment horizontal="center"/>
    </xf>
    <xf numFmtId="0" fontId="14" fillId="26" borderId="45" xfId="0" applyFont="1" applyFill="1" applyBorder="1" applyAlignment="1">
      <alignment horizontal="center"/>
    </xf>
    <xf numFmtId="0" fontId="13" fillId="24" borderId="34" xfId="0" applyFont="1" applyFill="1" applyBorder="1" applyAlignment="1" applyProtection="1">
      <alignment horizontal="center"/>
      <protection locked="0"/>
    </xf>
    <xf numFmtId="0" fontId="13" fillId="24" borderId="20" xfId="0" applyFont="1" applyFill="1" applyBorder="1" applyAlignment="1" applyProtection="1">
      <alignment horizontal="center"/>
      <protection locked="0"/>
    </xf>
    <xf numFmtId="0" fontId="13" fillId="24" borderId="35" xfId="0" applyFont="1" applyFill="1" applyBorder="1" applyAlignment="1" applyProtection="1">
      <alignment horizontal="center"/>
      <protection locked="0"/>
    </xf>
    <xf numFmtId="4" fontId="17" fillId="24" borderId="0" xfId="0" applyNumberFormat="1" applyFont="1" applyFill="1" applyAlignment="1" applyProtection="1">
      <alignment horizontal="center"/>
      <protection locked="0"/>
    </xf>
    <xf numFmtId="4" fontId="13" fillId="24" borderId="0" xfId="0" applyNumberFormat="1" applyFont="1" applyFill="1" applyAlignment="1" applyProtection="1">
      <alignment horizontal="center"/>
      <protection/>
    </xf>
    <xf numFmtId="2" fontId="16" fillId="24" borderId="0" xfId="0" applyNumberFormat="1" applyFont="1" applyFill="1" applyBorder="1" applyAlignment="1">
      <alignment horizontal="center"/>
    </xf>
    <xf numFmtId="0" fontId="49" fillId="7" borderId="19" xfId="0" applyFont="1" applyFill="1" applyBorder="1" applyAlignment="1">
      <alignment horizontal="center"/>
    </xf>
    <xf numFmtId="0" fontId="49" fillId="7" borderId="18" xfId="0" applyFont="1" applyFill="1" applyBorder="1" applyAlignment="1">
      <alignment horizontal="center"/>
    </xf>
    <xf numFmtId="0" fontId="49" fillId="7" borderId="42" xfId="0" applyFont="1" applyFill="1" applyBorder="1" applyAlignment="1">
      <alignment horizontal="center"/>
    </xf>
    <xf numFmtId="2" fontId="13" fillId="24" borderId="0" xfId="0" applyNumberFormat="1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2" fontId="13" fillId="24" borderId="0" xfId="0" applyNumberFormat="1" applyFont="1" applyFill="1" applyBorder="1" applyAlignment="1">
      <alignment horizontal="center"/>
    </xf>
    <xf numFmtId="2" fontId="13" fillId="24" borderId="25" xfId="0" applyNumberFormat="1" applyFont="1" applyFill="1" applyBorder="1" applyAlignment="1">
      <alignment horizontal="center"/>
    </xf>
    <xf numFmtId="3" fontId="13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3" fontId="13" fillId="24" borderId="0" xfId="0" applyNumberFormat="1" applyFont="1" applyFill="1" applyAlignment="1">
      <alignment horizontal="center"/>
    </xf>
    <xf numFmtId="0" fontId="1" fillId="24" borderId="0" xfId="0" applyFont="1" applyFill="1" applyAlignment="1" applyProtection="1">
      <alignment horizontal="right" vertical="center"/>
      <protection/>
    </xf>
    <xf numFmtId="0" fontId="14" fillId="24" borderId="31" xfId="0" applyFont="1" applyFill="1" applyBorder="1" applyAlignment="1">
      <alignment horizontal="center"/>
    </xf>
    <xf numFmtId="0" fontId="1" fillId="24" borderId="50" xfId="0" applyFont="1" applyFill="1" applyBorder="1" applyAlignment="1">
      <alignment horizontal="left"/>
    </xf>
    <xf numFmtId="0" fontId="1" fillId="24" borderId="51" xfId="0" applyFont="1" applyFill="1" applyBorder="1" applyAlignment="1">
      <alignment horizontal="left"/>
    </xf>
    <xf numFmtId="0" fontId="1" fillId="24" borderId="52" xfId="0" applyFont="1" applyFill="1" applyBorder="1" applyAlignment="1">
      <alignment horizontal="left"/>
    </xf>
    <xf numFmtId="14" fontId="13" fillId="24" borderId="48" xfId="0" applyNumberFormat="1" applyFont="1" applyFill="1" applyBorder="1" applyAlignment="1">
      <alignment horizontal="center"/>
    </xf>
    <xf numFmtId="0" fontId="13" fillId="24" borderId="46" xfId="0" applyFont="1" applyFill="1" applyBorder="1" applyAlignment="1">
      <alignment horizontal="center"/>
    </xf>
    <xf numFmtId="0" fontId="13" fillId="24" borderId="49" xfId="0" applyFont="1" applyFill="1" applyBorder="1" applyAlignment="1">
      <alignment horizontal="center"/>
    </xf>
    <xf numFmtId="0" fontId="1" fillId="24" borderId="48" xfId="0" applyFont="1" applyFill="1" applyBorder="1" applyAlignment="1" applyProtection="1">
      <alignment horizontal="center"/>
      <protection locked="0"/>
    </xf>
    <xf numFmtId="0" fontId="1" fillId="24" borderId="46" xfId="0" applyFont="1" applyFill="1" applyBorder="1" applyAlignment="1" applyProtection="1">
      <alignment horizontal="center"/>
      <protection locked="0"/>
    </xf>
    <xf numFmtId="0" fontId="1" fillId="24" borderId="49" xfId="0" applyFont="1" applyFill="1" applyBorder="1" applyAlignment="1" applyProtection="1">
      <alignment horizontal="center"/>
      <protection locked="0"/>
    </xf>
    <xf numFmtId="22" fontId="36" fillId="24" borderId="0" xfId="0" applyNumberFormat="1" applyFont="1" applyFill="1" applyBorder="1" applyAlignment="1">
      <alignment horizontal="right"/>
    </xf>
    <xf numFmtId="22" fontId="36" fillId="24" borderId="53" xfId="0" applyNumberFormat="1" applyFont="1" applyFill="1" applyBorder="1" applyAlignment="1">
      <alignment horizontal="right"/>
    </xf>
    <xf numFmtId="0" fontId="36" fillId="24" borderId="0" xfId="0" applyFont="1" applyFill="1" applyBorder="1" applyAlignment="1">
      <alignment horizontal="right"/>
    </xf>
    <xf numFmtId="0" fontId="36" fillId="24" borderId="53" xfId="0" applyFont="1" applyFill="1" applyBorder="1" applyAlignment="1">
      <alignment horizontal="right"/>
    </xf>
    <xf numFmtId="3" fontId="48" fillId="24" borderId="0" xfId="0" applyNumberFormat="1" applyFont="1" applyFill="1" applyAlignment="1" applyProtection="1">
      <alignment horizontal="center"/>
      <protection/>
    </xf>
    <xf numFmtId="189" fontId="13" fillId="24" borderId="0" xfId="0" applyNumberFormat="1" applyFont="1" applyFill="1" applyAlignment="1">
      <alignment horizontal="center"/>
    </xf>
    <xf numFmtId="3" fontId="17" fillId="24" borderId="0" xfId="0" applyNumberFormat="1" applyFont="1" applyFill="1" applyBorder="1" applyAlignment="1" applyProtection="1">
      <alignment horizontal="center"/>
      <protection locked="0"/>
    </xf>
    <xf numFmtId="0" fontId="13" fillId="24" borderId="0" xfId="0" applyFont="1" applyFill="1" applyBorder="1" applyAlignment="1" applyProtection="1">
      <alignment horizontal="center"/>
      <protection locked="0"/>
    </xf>
    <xf numFmtId="199" fontId="17" fillId="24" borderId="0" xfId="0" applyNumberFormat="1" applyFont="1" applyFill="1" applyAlignment="1" applyProtection="1">
      <alignment horizontal="center"/>
      <protection locked="0"/>
    </xf>
    <xf numFmtId="4" fontId="13" fillId="24" borderId="0" xfId="0" applyNumberFormat="1" applyFont="1" applyFill="1" applyAlignment="1">
      <alignment horizontal="center"/>
    </xf>
    <xf numFmtId="2" fontId="17" fillId="24" borderId="0" xfId="0" applyNumberFormat="1" applyFont="1" applyFill="1" applyAlignment="1" applyProtection="1">
      <alignment horizontal="center"/>
      <protection locked="0"/>
    </xf>
    <xf numFmtId="2" fontId="17" fillId="24" borderId="0" xfId="0" applyNumberFormat="1" applyFont="1" applyFill="1" applyBorder="1" applyAlignment="1" applyProtection="1">
      <alignment horizontal="center"/>
      <protection locked="0"/>
    </xf>
    <xf numFmtId="0" fontId="13" fillId="24" borderId="30" xfId="0" applyFont="1" applyFill="1" applyBorder="1" applyAlignment="1" applyProtection="1">
      <alignment horizontal="center"/>
      <protection locked="0"/>
    </xf>
    <xf numFmtId="0" fontId="13" fillId="24" borderId="31" xfId="0" applyFont="1" applyFill="1" applyBorder="1" applyAlignment="1" applyProtection="1">
      <alignment horizontal="center"/>
      <protection locked="0"/>
    </xf>
    <xf numFmtId="0" fontId="13" fillId="24" borderId="32" xfId="0" applyFont="1" applyFill="1" applyBorder="1" applyAlignment="1" applyProtection="1">
      <alignment horizontal="center"/>
      <protection locked="0"/>
    </xf>
    <xf numFmtId="0" fontId="45" fillId="27" borderId="44" xfId="0" applyFont="1" applyFill="1" applyBorder="1" applyAlignment="1" applyProtection="1">
      <alignment horizontal="center"/>
      <protection/>
    </xf>
    <xf numFmtId="0" fontId="45" fillId="27" borderId="43" xfId="0" applyFont="1" applyFill="1" applyBorder="1" applyAlignment="1" applyProtection="1">
      <alignment horizontal="center"/>
      <protection/>
    </xf>
    <xf numFmtId="0" fontId="45" fillId="27" borderId="45" xfId="0" applyFont="1" applyFill="1" applyBorder="1" applyAlignment="1" applyProtection="1">
      <alignment horizontal="center"/>
      <protection/>
    </xf>
    <xf numFmtId="0" fontId="61" fillId="27" borderId="44" xfId="0" applyFont="1" applyFill="1" applyBorder="1" applyAlignment="1" applyProtection="1">
      <alignment horizontal="center"/>
      <protection/>
    </xf>
    <xf numFmtId="0" fontId="61" fillId="27" borderId="43" xfId="0" applyFont="1" applyFill="1" applyBorder="1" applyAlignment="1" applyProtection="1">
      <alignment horizontal="center"/>
      <protection/>
    </xf>
    <xf numFmtId="0" fontId="61" fillId="27" borderId="45" xfId="0" applyFont="1" applyFill="1" applyBorder="1" applyAlignment="1" applyProtection="1">
      <alignment horizontal="center"/>
      <protection/>
    </xf>
    <xf numFmtId="2" fontId="42" fillId="24" borderId="0" xfId="0" applyNumberFormat="1" applyFont="1" applyFill="1" applyBorder="1" applyAlignment="1" applyProtection="1">
      <alignment horizontal="center"/>
      <protection/>
    </xf>
    <xf numFmtId="0" fontId="42" fillId="24" borderId="0" xfId="0" applyFont="1" applyFill="1" applyBorder="1" applyAlignment="1" applyProtection="1">
      <alignment horizontal="center"/>
      <protection/>
    </xf>
    <xf numFmtId="0" fontId="13" fillId="24" borderId="25" xfId="0" applyFont="1" applyFill="1" applyBorder="1" applyAlignment="1" applyProtection="1">
      <alignment horizontal="center"/>
      <protection/>
    </xf>
    <xf numFmtId="0" fontId="13" fillId="24" borderId="29" xfId="0" applyFont="1" applyFill="1" applyBorder="1" applyAlignment="1" applyProtection="1">
      <alignment horizontal="left"/>
      <protection/>
    </xf>
    <xf numFmtId="0" fontId="13" fillId="24" borderId="37" xfId="0" applyFont="1" applyFill="1" applyBorder="1" applyAlignment="1" applyProtection="1">
      <alignment horizontal="left"/>
      <protection/>
    </xf>
    <xf numFmtId="0" fontId="13" fillId="24" borderId="0" xfId="0" applyFont="1" applyFill="1" applyBorder="1" applyAlignment="1" applyProtection="1">
      <alignment horizontal="left"/>
      <protection/>
    </xf>
    <xf numFmtId="0" fontId="13" fillId="24" borderId="25" xfId="0" applyFont="1" applyFill="1" applyBorder="1" applyAlignment="1" applyProtection="1">
      <alignment horizontal="left"/>
      <protection/>
    </xf>
    <xf numFmtId="0" fontId="13" fillId="24" borderId="0" xfId="0" applyFont="1" applyFill="1" applyAlignment="1" applyProtection="1">
      <alignment horizontal="left"/>
      <protection/>
    </xf>
    <xf numFmtId="0" fontId="49" fillId="7" borderId="19" xfId="0" applyFont="1" applyFill="1" applyBorder="1" applyAlignment="1" applyProtection="1">
      <alignment horizontal="center"/>
      <protection/>
    </xf>
    <xf numFmtId="0" fontId="49" fillId="7" borderId="18" xfId="0" applyFont="1" applyFill="1" applyBorder="1" applyAlignment="1" applyProtection="1">
      <alignment horizontal="center"/>
      <protection/>
    </xf>
    <xf numFmtId="0" fontId="49" fillId="7" borderId="42" xfId="0" applyFont="1" applyFill="1" applyBorder="1" applyAlignment="1" applyProtection="1">
      <alignment horizontal="center"/>
      <protection/>
    </xf>
    <xf numFmtId="0" fontId="13" fillId="24" borderId="27" xfId="0" applyFont="1" applyFill="1" applyBorder="1" applyAlignment="1" applyProtection="1">
      <alignment horizontal="left"/>
      <protection/>
    </xf>
    <xf numFmtId="0" fontId="13" fillId="24" borderId="36" xfId="0" applyFont="1" applyFill="1" applyBorder="1" applyAlignment="1" applyProtection="1">
      <alignment horizontal="left"/>
      <protection/>
    </xf>
    <xf numFmtId="189" fontId="13" fillId="24" borderId="0" xfId="0" applyNumberFormat="1" applyFont="1" applyFill="1" applyAlignment="1" applyProtection="1">
      <alignment horizontal="center"/>
      <protection/>
    </xf>
    <xf numFmtId="0" fontId="13" fillId="24" borderId="46" xfId="0" applyFont="1" applyFill="1" applyBorder="1" applyAlignment="1" applyProtection="1">
      <alignment horizontal="center"/>
      <protection/>
    </xf>
    <xf numFmtId="0" fontId="13" fillId="24" borderId="49" xfId="0" applyFont="1" applyFill="1" applyBorder="1" applyAlignment="1" applyProtection="1">
      <alignment horizontal="center"/>
      <protection/>
    </xf>
    <xf numFmtId="0" fontId="1" fillId="24" borderId="48" xfId="0" applyFont="1" applyFill="1" applyBorder="1" applyAlignment="1" applyProtection="1">
      <alignment horizontal="center"/>
      <protection/>
    </xf>
    <xf numFmtId="0" fontId="1" fillId="24" borderId="46" xfId="0" applyFont="1" applyFill="1" applyBorder="1" applyAlignment="1" applyProtection="1">
      <alignment horizontal="center"/>
      <protection/>
    </xf>
    <xf numFmtId="0" fontId="1" fillId="24" borderId="49" xfId="0" applyFont="1" applyFill="1" applyBorder="1" applyAlignment="1" applyProtection="1">
      <alignment horizontal="center"/>
      <protection/>
    </xf>
    <xf numFmtId="22" fontId="36" fillId="24" borderId="53" xfId="0" applyNumberFormat="1" applyFont="1" applyFill="1" applyBorder="1" applyAlignment="1" applyProtection="1">
      <alignment horizontal="right"/>
      <protection/>
    </xf>
    <xf numFmtId="2" fontId="13" fillId="24" borderId="0" xfId="0" applyNumberFormat="1" applyFont="1" applyFill="1" applyBorder="1" applyAlignment="1" applyProtection="1">
      <alignment horizontal="left"/>
      <protection/>
    </xf>
    <xf numFmtId="3" fontId="13" fillId="24" borderId="25" xfId="0" applyNumberFormat="1" applyFont="1" applyFill="1" applyBorder="1" applyAlignment="1" applyProtection="1">
      <alignment horizontal="center"/>
      <protection/>
    </xf>
    <xf numFmtId="0" fontId="13" fillId="24" borderId="18" xfId="0" applyFont="1" applyFill="1" applyBorder="1" applyAlignment="1" applyProtection="1">
      <alignment horizontal="center"/>
      <protection/>
    </xf>
    <xf numFmtId="0" fontId="13" fillId="24" borderId="42" xfId="0" applyFont="1" applyFill="1" applyBorder="1" applyAlignment="1" applyProtection="1">
      <alignment horizontal="center"/>
      <protection/>
    </xf>
    <xf numFmtId="0" fontId="13" fillId="24" borderId="19" xfId="0" applyFont="1" applyFill="1" applyBorder="1" applyAlignment="1" applyProtection="1">
      <alignment horizontal="center"/>
      <protection/>
    </xf>
    <xf numFmtId="3" fontId="16" fillId="24" borderId="0" xfId="0" applyNumberFormat="1" applyFont="1" applyFill="1" applyAlignment="1" applyProtection="1">
      <alignment horizontal="center"/>
      <protection/>
    </xf>
    <xf numFmtId="2" fontId="13" fillId="24" borderId="28" xfId="0" applyNumberFormat="1" applyFont="1" applyFill="1" applyBorder="1" applyAlignment="1" applyProtection="1">
      <alignment horizontal="center"/>
      <protection/>
    </xf>
    <xf numFmtId="0" fontId="13" fillId="24" borderId="37" xfId="0" applyFont="1" applyFill="1" applyBorder="1" applyAlignment="1" applyProtection="1">
      <alignment horizontal="center"/>
      <protection/>
    </xf>
    <xf numFmtId="2" fontId="13" fillId="24" borderId="27" xfId="0" applyNumberFormat="1" applyFont="1" applyFill="1" applyBorder="1" applyAlignment="1" applyProtection="1">
      <alignment horizontal="left"/>
      <protection/>
    </xf>
    <xf numFmtId="0" fontId="13" fillId="24" borderId="28" xfId="0" applyFont="1" applyFill="1" applyBorder="1" applyAlignment="1" applyProtection="1">
      <alignment horizontal="center"/>
      <protection/>
    </xf>
    <xf numFmtId="0" fontId="13" fillId="24" borderId="29" xfId="0" applyFont="1" applyFill="1" applyBorder="1" applyAlignment="1" applyProtection="1">
      <alignment horizontal="center"/>
      <protection/>
    </xf>
    <xf numFmtId="0" fontId="45" fillId="7" borderId="44" xfId="0" applyFont="1" applyFill="1" applyBorder="1" applyAlignment="1" applyProtection="1">
      <alignment horizontal="center"/>
      <protection/>
    </xf>
    <xf numFmtId="0" fontId="45" fillId="7" borderId="43" xfId="0" applyFont="1" applyFill="1" applyBorder="1" applyAlignment="1" applyProtection="1">
      <alignment horizontal="center"/>
      <protection/>
    </xf>
    <xf numFmtId="0" fontId="13" fillId="24" borderId="26" xfId="0" applyFont="1" applyFill="1" applyBorder="1" applyAlignment="1" applyProtection="1">
      <alignment horizontal="center" vertical="center"/>
      <protection/>
    </xf>
    <xf numFmtId="0" fontId="13" fillId="24" borderId="27" xfId="0" applyFont="1" applyFill="1" applyBorder="1" applyAlignment="1" applyProtection="1">
      <alignment horizontal="center" vertical="center"/>
      <protection/>
    </xf>
    <xf numFmtId="0" fontId="13" fillId="24" borderId="36" xfId="0" applyFont="1" applyFill="1" applyBorder="1" applyAlignment="1" applyProtection="1">
      <alignment horizontal="center" vertical="center"/>
      <protection/>
    </xf>
    <xf numFmtId="0" fontId="13" fillId="24" borderId="28" xfId="0" applyFont="1" applyFill="1" applyBorder="1" applyAlignment="1" applyProtection="1">
      <alignment horizontal="center" vertical="center"/>
      <protection/>
    </xf>
    <xf numFmtId="0" fontId="13" fillId="24" borderId="29" xfId="0" applyFont="1" applyFill="1" applyBorder="1" applyAlignment="1" applyProtection="1">
      <alignment horizontal="center" vertical="center"/>
      <protection/>
    </xf>
    <xf numFmtId="0" fontId="13" fillId="24" borderId="3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dxfs count="24"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'F1'!$BY$10:$BY$14</c:f>
              <c:numCache>
                <c:ptCount val="5"/>
                <c:pt idx="0">
                  <c:v>-0.4</c:v>
                </c:pt>
                <c:pt idx="1">
                  <c:v>0.4</c:v>
                </c:pt>
                <c:pt idx="2">
                  <c:v>0.4</c:v>
                </c:pt>
                <c:pt idx="3">
                  <c:v>-0.4</c:v>
                </c:pt>
                <c:pt idx="4">
                  <c:v>-0.4</c:v>
                </c:pt>
              </c:numCache>
            </c:numRef>
          </c:xVal>
          <c:yVal>
            <c:numRef>
              <c:f>'F1'!$BZ$10:$BZ$14</c:f>
              <c:numCache>
                <c:ptCount val="5"/>
                <c:pt idx="0">
                  <c:v>0.4</c:v>
                </c:pt>
                <c:pt idx="1">
                  <c:v>0.4</c:v>
                </c:pt>
                <c:pt idx="2">
                  <c:v>-0.4</c:v>
                </c:pt>
                <c:pt idx="3">
                  <c:v>-0.4</c:v>
                </c:pt>
                <c:pt idx="4">
                  <c:v>0.4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'F1'!$CA$10:$CA$14</c:f>
              <c:numCache>
                <c:ptCount val="5"/>
                <c:pt idx="0">
                  <c:v>-0.16666666666666669</c:v>
                </c:pt>
                <c:pt idx="1">
                  <c:v>0.16666666666666669</c:v>
                </c:pt>
                <c:pt idx="2">
                  <c:v>0.16666666666666669</c:v>
                </c:pt>
                <c:pt idx="3">
                  <c:v>-0.16666666666666669</c:v>
                </c:pt>
                <c:pt idx="4">
                  <c:v>-0.16666666666666669</c:v>
                </c:pt>
              </c:numCache>
            </c:numRef>
          </c:xVal>
          <c:yVal>
            <c:numRef>
              <c:f>'F1'!$CB$10:$CB$14</c:f>
              <c:numCache>
                <c:ptCount val="5"/>
                <c:pt idx="0">
                  <c:v>0.16666666666666669</c:v>
                </c:pt>
                <c:pt idx="1">
                  <c:v>0.16666666666666669</c:v>
                </c:pt>
                <c:pt idx="2">
                  <c:v>-0.16666666666666669</c:v>
                </c:pt>
                <c:pt idx="3">
                  <c:v>-0.16666666666666669</c:v>
                </c:pt>
                <c:pt idx="4">
                  <c:v>0.16666666666666669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'F1'!$CE$32:$CE$33</c:f>
              <c:numCache>
                <c:ptCount val="2"/>
                <c:pt idx="0">
                  <c:v>0.6</c:v>
                </c:pt>
                <c:pt idx="1">
                  <c:v>0.466666667</c:v>
                </c:pt>
              </c:numCache>
            </c:numRef>
          </c:xVal>
          <c:yVal>
            <c:numRef>
              <c:f>'F1'!$CF$32:$CF$33</c:f>
              <c:numCach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'F1'!$CE$35:$CE$36</c:f>
              <c:numCache>
                <c:ptCount val="2"/>
                <c:pt idx="0">
                  <c:v>0.6</c:v>
                </c:pt>
                <c:pt idx="1">
                  <c:v>0.4666666667</c:v>
                </c:pt>
              </c:numCache>
            </c:numRef>
          </c:xVal>
          <c:yVal>
            <c:numRef>
              <c:f>'F1'!$CF$35:$CF$36</c:f>
              <c:numCache>
                <c:ptCount val="2"/>
                <c:pt idx="0">
                  <c:v>-0.4</c:v>
                </c:pt>
                <c:pt idx="1">
                  <c:v>-0.4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LF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'F1'!$CE$38:$CE$40</c:f>
              <c:numCache>
                <c:ptCount val="3"/>
                <c:pt idx="0">
                  <c:v>0.5333333333</c:v>
                </c:pt>
                <c:pt idx="1">
                  <c:v>0.53333333</c:v>
                </c:pt>
                <c:pt idx="2">
                  <c:v>0.5333333333</c:v>
                </c:pt>
              </c:numCache>
            </c:numRef>
          </c:xVal>
          <c:yVal>
            <c:numRef>
              <c:f>'F1'!$CF$38:$CF$40</c:f>
              <c:numCache>
                <c:ptCount val="3"/>
                <c:pt idx="0">
                  <c:v>0.466666666667</c:v>
                </c:pt>
                <c:pt idx="1">
                  <c:v>0</c:v>
                </c:pt>
                <c:pt idx="2">
                  <c:v>-0.4666666667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'F1'!$CH$32:$CH$33</c:f>
              <c:numCache>
                <c:ptCount val="2"/>
                <c:pt idx="0">
                  <c:v>-0.4</c:v>
                </c:pt>
                <c:pt idx="1">
                  <c:v>-0.4</c:v>
                </c:pt>
              </c:numCache>
            </c:numRef>
          </c:xVal>
          <c:yVal>
            <c:numRef>
              <c:f>'F1'!$CI$32:$CI$33</c:f>
              <c:numCache>
                <c:ptCount val="2"/>
                <c:pt idx="0">
                  <c:v>0.6</c:v>
                </c:pt>
                <c:pt idx="1">
                  <c:v>0.4666666667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'F1'!$CH$35:$CH$36</c:f>
              <c:numCach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xVal>
          <c:yVal>
            <c:numRef>
              <c:f>'F1'!$CI$35:$CI$36</c:f>
              <c:numCache>
                <c:ptCount val="2"/>
                <c:pt idx="0">
                  <c:v>0.6</c:v>
                </c:pt>
                <c:pt idx="1">
                  <c:v>0.466666666667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WF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'F1'!$CH$38:$CH$40</c:f>
              <c:numCache>
                <c:ptCount val="3"/>
                <c:pt idx="0">
                  <c:v>-0.46666666667</c:v>
                </c:pt>
                <c:pt idx="1">
                  <c:v>0</c:v>
                </c:pt>
                <c:pt idx="2">
                  <c:v>0.46666666666667</c:v>
                </c:pt>
              </c:numCache>
            </c:numRef>
          </c:xVal>
          <c:yVal>
            <c:numRef>
              <c:f>'F1'!$CI$38:$CI$40</c:f>
              <c:numCache>
                <c:ptCount val="3"/>
                <c:pt idx="0">
                  <c:v>0.53333333333</c:v>
                </c:pt>
                <c:pt idx="1">
                  <c:v>0.53333333333</c:v>
                </c:pt>
                <c:pt idx="2">
                  <c:v>0.5333333333</c:v>
                </c:pt>
              </c:numCache>
            </c:numRef>
          </c:yVal>
          <c:smooth val="0"/>
        </c:ser>
        <c:axId val="39062426"/>
        <c:axId val="16017515"/>
      </c:scatterChart>
      <c:valAx>
        <c:axId val="39062426"/>
        <c:scaling>
          <c:orientation val="minMax"/>
          <c:max val="0.65"/>
          <c:min val="-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0000"/>
            </a:solidFill>
            <a:prstDash val="sysDot"/>
          </a:ln>
        </c:spPr>
        <c:crossAx val="16017515"/>
        <c:crosses val="autoZero"/>
        <c:crossBetween val="midCat"/>
        <c:dispUnits/>
      </c:valAx>
      <c:valAx>
        <c:axId val="16017515"/>
        <c:scaling>
          <c:orientation val="minMax"/>
          <c:max val="0.65"/>
          <c:min val="-0.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0000"/>
            </a:solidFill>
            <a:prstDash val="sysDot"/>
          </a:ln>
        </c:spPr>
        <c:crossAx val="390624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325"/>
          <c:w val="0.999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'F1'!$CD$10:$CD$21</c:f>
              <c:numCache>
                <c:ptCount val="12"/>
                <c:pt idx="0">
                  <c:v>-0.14285714285714288</c:v>
                </c:pt>
                <c:pt idx="1">
                  <c:v>-0.14285714285714288</c:v>
                </c:pt>
                <c:pt idx="2">
                  <c:v>-0.3428571428571429</c:v>
                </c:pt>
                <c:pt idx="3">
                  <c:v>-0.3428571428571429</c:v>
                </c:pt>
                <c:pt idx="4">
                  <c:v>-0.12571428571428572</c:v>
                </c:pt>
                <c:pt idx="5">
                  <c:v>-0.12571428571428572</c:v>
                </c:pt>
                <c:pt idx="6">
                  <c:v>0.12571428571428572</c:v>
                </c:pt>
                <c:pt idx="7">
                  <c:v>0.12571428571428572</c:v>
                </c:pt>
                <c:pt idx="8">
                  <c:v>0.3428571428571429</c:v>
                </c:pt>
                <c:pt idx="9">
                  <c:v>0.3428571428571429</c:v>
                </c:pt>
                <c:pt idx="10">
                  <c:v>0.14285714285714288</c:v>
                </c:pt>
                <c:pt idx="11">
                  <c:v>0.14285714285714288</c:v>
                </c:pt>
              </c:numCache>
            </c:numRef>
          </c:xVal>
          <c:yVal>
            <c:numRef>
              <c:f>'F1'!$CE$10:$CE$21</c:f>
              <c:numCache>
                <c:ptCount val="12"/>
                <c:pt idx="0">
                  <c:v>0.45714285714285724</c:v>
                </c:pt>
                <c:pt idx="1">
                  <c:v>0.3428571428571429</c:v>
                </c:pt>
                <c:pt idx="2">
                  <c:v>0.3428571428571429</c:v>
                </c:pt>
                <c:pt idx="3">
                  <c:v>-0.3428571428571429</c:v>
                </c:pt>
                <c:pt idx="4">
                  <c:v>-0.3428571428571429</c:v>
                </c:pt>
                <c:pt idx="5">
                  <c:v>-0.28571428571428575</c:v>
                </c:pt>
                <c:pt idx="6">
                  <c:v>-0.28571428571428575</c:v>
                </c:pt>
                <c:pt idx="7">
                  <c:v>-0.3428571428571429</c:v>
                </c:pt>
                <c:pt idx="8">
                  <c:v>-0.3428571428571429</c:v>
                </c:pt>
                <c:pt idx="9">
                  <c:v>0.3428571428571429</c:v>
                </c:pt>
                <c:pt idx="10">
                  <c:v>0.3428571428571429</c:v>
                </c:pt>
                <c:pt idx="11">
                  <c:v>0.45714285714285724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'F1'!$CD$25:$CD$29</c:f>
              <c:numCache>
                <c:ptCount val="5"/>
                <c:pt idx="0">
                  <c:v>-0.12571428571428572</c:v>
                </c:pt>
                <c:pt idx="1">
                  <c:v>0.12571428571428572</c:v>
                </c:pt>
                <c:pt idx="2">
                  <c:v>0.12571428571428572</c:v>
                </c:pt>
                <c:pt idx="3">
                  <c:v>-0.12571428571428572</c:v>
                </c:pt>
                <c:pt idx="4">
                  <c:v>-0.12571428571428572</c:v>
                </c:pt>
              </c:numCache>
            </c:numRef>
          </c:xVal>
          <c:yVal>
            <c:numRef>
              <c:f>'F1'!$CE$25:$CE$29</c:f>
              <c:numCache>
                <c:ptCount val="5"/>
                <c:pt idx="0">
                  <c:v>-0.28571428571428575</c:v>
                </c:pt>
                <c:pt idx="1">
                  <c:v>-0.28571428571428575</c:v>
                </c:pt>
                <c:pt idx="2">
                  <c:v>-0.5142857142857143</c:v>
                </c:pt>
                <c:pt idx="3">
                  <c:v>-0.5142857142857143</c:v>
                </c:pt>
                <c:pt idx="4">
                  <c:v>-0.28571428571428575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'F1'!$CG$14:$CG$19</c:f>
              <c:numCache>
                <c:ptCount val="6"/>
                <c:pt idx="0">
                  <c:v>-0.2</c:v>
                </c:pt>
                <c:pt idx="1">
                  <c:v>-0.028571428571428577</c:v>
                </c:pt>
                <c:pt idx="2">
                  <c:v>-0.028571428571428577</c:v>
                </c:pt>
                <c:pt idx="3">
                  <c:v>0.028571428571428577</c:v>
                </c:pt>
                <c:pt idx="4">
                  <c:v>0.028571428571428577</c:v>
                </c:pt>
                <c:pt idx="5">
                  <c:v>0.2</c:v>
                </c:pt>
              </c:numCache>
            </c:numRef>
          </c:xVal>
          <c:yVal>
            <c:numRef>
              <c:f>'F1'!$CH$14:$CH$19</c:f>
              <c:numCache>
                <c:ptCount val="6"/>
                <c:pt idx="0">
                  <c:v>0.45714285714285724</c:v>
                </c:pt>
                <c:pt idx="1">
                  <c:v>0.45714285714285724</c:v>
                </c:pt>
                <c:pt idx="2">
                  <c:v>0.48571428571428577</c:v>
                </c:pt>
                <c:pt idx="3">
                  <c:v>0.4285714285714286</c:v>
                </c:pt>
                <c:pt idx="4">
                  <c:v>0.45714285714285724</c:v>
                </c:pt>
                <c:pt idx="5">
                  <c:v>0.45714285714285724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'F1'!$BY$21:$BY$26</c:f>
              <c:numCache>
                <c:ptCount val="6"/>
                <c:pt idx="0">
                  <c:v>-0.22857142857142862</c:v>
                </c:pt>
                <c:pt idx="1">
                  <c:v>-0.28571428571428575</c:v>
                </c:pt>
                <c:pt idx="2">
                  <c:v>-0.28571428571428575</c:v>
                </c:pt>
                <c:pt idx="3">
                  <c:v>0.28571428571428575</c:v>
                </c:pt>
                <c:pt idx="4">
                  <c:v>0.28571428571428575</c:v>
                </c:pt>
                <c:pt idx="5">
                  <c:v>0.22857142857142862</c:v>
                </c:pt>
              </c:numCache>
            </c:numRef>
          </c:xVal>
          <c:yVal>
            <c:numRef>
              <c:f>'F1'!$BZ$21:$BZ$26</c:f>
              <c:numCache>
                <c:ptCount val="6"/>
                <c:pt idx="0">
                  <c:v>0.28571428571428575</c:v>
                </c:pt>
                <c:pt idx="1">
                  <c:v>0.28571428571428575</c:v>
                </c:pt>
                <c:pt idx="2">
                  <c:v>-0.2571428571428572</c:v>
                </c:pt>
                <c:pt idx="3">
                  <c:v>-0.2571428571428572</c:v>
                </c:pt>
                <c:pt idx="4">
                  <c:v>0.28571428571428575</c:v>
                </c:pt>
                <c:pt idx="5">
                  <c:v>0.28571428571428575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'F1'!$BY$29:$BY$33</c:f>
              <c:numCache>
                <c:ptCount val="5"/>
                <c:pt idx="0">
                  <c:v>-0.3428571428571429</c:v>
                </c:pt>
                <c:pt idx="1">
                  <c:v>-0.12571428571428572</c:v>
                </c:pt>
                <c:pt idx="3">
                  <c:v>0.12571428571428572</c:v>
                </c:pt>
                <c:pt idx="4">
                  <c:v>0.3428571428571429</c:v>
                </c:pt>
              </c:numCache>
            </c:numRef>
          </c:xVal>
          <c:yVal>
            <c:numRef>
              <c:f>'F1'!$BZ$29:$BZ$33</c:f>
              <c:numCache>
                <c:ptCount val="5"/>
                <c:pt idx="0">
                  <c:v>-0.4</c:v>
                </c:pt>
                <c:pt idx="1">
                  <c:v>-0.4</c:v>
                </c:pt>
                <c:pt idx="3">
                  <c:v>-0.4</c:v>
                </c:pt>
                <c:pt idx="4">
                  <c:v>-0.4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'F1'!$BY$37:$BY$39</c:f>
              <c:numCache>
                <c:ptCount val="3"/>
                <c:pt idx="0">
                  <c:v>-0.2571428571428572</c:v>
                </c:pt>
                <c:pt idx="2">
                  <c:v>0.2571428571428572</c:v>
                </c:pt>
              </c:numCache>
            </c:numRef>
          </c:xVal>
          <c:yVal>
            <c:numRef>
              <c:f>'F1'!$BZ$37:$BZ$39</c:f>
              <c:numCache>
                <c:ptCount val="3"/>
                <c:pt idx="0">
                  <c:v>0.2571428571428572</c:v>
                </c:pt>
                <c:pt idx="2">
                  <c:v>0.2571428571428572</c:v>
                </c:pt>
              </c:numCache>
            </c:numRef>
          </c:y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'F1'!$CB$43:$CB$59</c:f>
              <c:numCache>
                <c:ptCount val="17"/>
                <c:pt idx="0">
                  <c:v>-0.2571428571428572</c:v>
                </c:pt>
                <c:pt idx="2">
                  <c:v>-0.08571428571428574</c:v>
                </c:pt>
                <c:pt idx="4">
                  <c:v>0.08571428571428574</c:v>
                </c:pt>
                <c:pt idx="6">
                  <c:v>0.2571428571428572</c:v>
                </c:pt>
                <c:pt idx="8">
                  <c:v>0.2571428571428572</c:v>
                </c:pt>
                <c:pt idx="10">
                  <c:v>0.2571428571428572</c:v>
                </c:pt>
                <c:pt idx="12">
                  <c:v>0.2571428571428572</c:v>
                </c:pt>
                <c:pt idx="14">
                  <c:v>0.2571428571428572</c:v>
                </c:pt>
                <c:pt idx="16">
                  <c:v>0.2571428571428572</c:v>
                </c:pt>
              </c:numCache>
            </c:numRef>
          </c:xVal>
          <c:yVal>
            <c:numRef>
              <c:f>'F1'!$CC$43:$CC$59</c:f>
              <c:numCache>
                <c:ptCount val="17"/>
                <c:pt idx="0">
                  <c:v>-0.2285714285714286</c:v>
                </c:pt>
                <c:pt idx="2">
                  <c:v>-0.2285714285714286</c:v>
                </c:pt>
                <c:pt idx="4">
                  <c:v>-0.2285714285714286</c:v>
                </c:pt>
                <c:pt idx="6">
                  <c:v>-0.2285714285714286</c:v>
                </c:pt>
                <c:pt idx="8">
                  <c:v>-0.2285714285714286</c:v>
                </c:pt>
                <c:pt idx="10">
                  <c:v>-0.2285714285714286</c:v>
                </c:pt>
                <c:pt idx="12">
                  <c:v>-0.2285714285714286</c:v>
                </c:pt>
                <c:pt idx="14">
                  <c:v>-0.2285714285714286</c:v>
                </c:pt>
                <c:pt idx="16">
                  <c:v>-0.2285714285714286</c:v>
                </c:pt>
              </c:numCache>
            </c:numRef>
          </c:yVal>
          <c:smooth val="0"/>
        </c:ser>
        <c:ser>
          <c:idx val="6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'F1'!$CB$43:$CB$57</c:f>
              <c:numCache>
                <c:ptCount val="15"/>
                <c:pt idx="0">
                  <c:v>-0.2571428571428572</c:v>
                </c:pt>
                <c:pt idx="2">
                  <c:v>-0.08571428571428574</c:v>
                </c:pt>
                <c:pt idx="4">
                  <c:v>0.08571428571428574</c:v>
                </c:pt>
                <c:pt idx="6">
                  <c:v>0.2571428571428572</c:v>
                </c:pt>
                <c:pt idx="8">
                  <c:v>0.2571428571428572</c:v>
                </c:pt>
                <c:pt idx="10">
                  <c:v>0.2571428571428572</c:v>
                </c:pt>
                <c:pt idx="12">
                  <c:v>0.2571428571428572</c:v>
                </c:pt>
                <c:pt idx="14">
                  <c:v>0.2571428571428572</c:v>
                </c:pt>
              </c:numCache>
            </c:numRef>
          </c:xVal>
          <c:yVal>
            <c:numRef>
              <c:f>'F1'!$CC$43:$CC$57</c:f>
              <c:numCache>
                <c:ptCount val="15"/>
                <c:pt idx="0">
                  <c:v>-0.2285714285714286</c:v>
                </c:pt>
                <c:pt idx="2">
                  <c:v>-0.2285714285714286</c:v>
                </c:pt>
                <c:pt idx="4">
                  <c:v>-0.2285714285714286</c:v>
                </c:pt>
                <c:pt idx="6">
                  <c:v>-0.2285714285714286</c:v>
                </c:pt>
                <c:pt idx="8">
                  <c:v>-0.2285714285714286</c:v>
                </c:pt>
                <c:pt idx="10">
                  <c:v>-0.2285714285714286</c:v>
                </c:pt>
                <c:pt idx="12">
                  <c:v>-0.2285714285714286</c:v>
                </c:pt>
                <c:pt idx="14">
                  <c:v>-0.2285714285714286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'F1'!$BY$41:$BY$42</c:f>
              <c:numCache>
                <c:ptCount val="2"/>
                <c:pt idx="0">
                  <c:v>-0.2571428571428572</c:v>
                </c:pt>
                <c:pt idx="1">
                  <c:v>0.2571428571428572</c:v>
                </c:pt>
              </c:numCache>
            </c:numRef>
          </c:xVal>
          <c:yVal>
            <c:numRef>
              <c:f>'F1'!$BZ$41:$BZ$42</c:f>
              <c:numCache>
                <c:ptCount val="2"/>
                <c:pt idx="0">
                  <c:v>0.2571428571428572</c:v>
                </c:pt>
                <c:pt idx="1">
                  <c:v>0.2571428571428572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'F1'!$CK$38:$CK$40</c:f>
              <c:numCache>
                <c:ptCount val="3"/>
                <c:pt idx="0">
                  <c:v>0.533333333333</c:v>
                </c:pt>
                <c:pt idx="1">
                  <c:v>0.53333333333</c:v>
                </c:pt>
                <c:pt idx="2">
                  <c:v>0.5333333333</c:v>
                </c:pt>
              </c:numCache>
            </c:numRef>
          </c:xVal>
          <c:yVal>
            <c:numRef>
              <c:f>'F1'!$CL$38:$CL$40</c:f>
              <c:numCache>
                <c:ptCount val="3"/>
                <c:pt idx="0">
                  <c:v>0.4</c:v>
                </c:pt>
                <c:pt idx="1">
                  <c:v>0</c:v>
                </c:pt>
                <c:pt idx="2">
                  <c:v>-0.4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'F1'!$CK$32:$CK$33</c:f>
              <c:numCache>
                <c:ptCount val="2"/>
                <c:pt idx="0">
                  <c:v>0.6</c:v>
                </c:pt>
                <c:pt idx="1">
                  <c:v>0.46666666667</c:v>
                </c:pt>
              </c:numCache>
            </c:numRef>
          </c:xVal>
          <c:yVal>
            <c:numRef>
              <c:f>'F1'!$CL$32:$CL$33</c:f>
              <c:numCache>
                <c:ptCount val="2"/>
                <c:pt idx="0">
                  <c:v>0.3428571428571429</c:v>
                </c:pt>
                <c:pt idx="1">
                  <c:v>0.3428571428571429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'F1'!$CK$35:$CK$36</c:f>
              <c:numCache>
                <c:ptCount val="2"/>
                <c:pt idx="0">
                  <c:v>0.6</c:v>
                </c:pt>
                <c:pt idx="1">
                  <c:v>0.46666666667</c:v>
                </c:pt>
              </c:numCache>
            </c:numRef>
          </c:xVal>
          <c:yVal>
            <c:numRef>
              <c:f>'F1'!$CL$35:$CL$36</c:f>
              <c:numCache>
                <c:ptCount val="2"/>
                <c:pt idx="0">
                  <c:v>-0.3428571428571429</c:v>
                </c:pt>
                <c:pt idx="1">
                  <c:v>-0.3428571428571429</c:v>
                </c:pt>
              </c:numCache>
            </c:numRef>
          </c:yVal>
          <c:smooth val="0"/>
        </c:ser>
        <c:axId val="9939908"/>
        <c:axId val="22350309"/>
      </c:scatterChart>
      <c:valAx>
        <c:axId val="9939908"/>
        <c:scaling>
          <c:orientation val="minMax"/>
          <c:max val="0.65"/>
          <c:min val="-0.6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350309"/>
        <c:crosses val="autoZero"/>
        <c:crossBetween val="midCat"/>
        <c:dispUnits/>
      </c:valAx>
      <c:valAx>
        <c:axId val="22350309"/>
        <c:scaling>
          <c:orientation val="minMax"/>
          <c:max val="0.65"/>
          <c:min val="-0.6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9399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'F2'!$BY$10:$BY$14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'F2'!$BZ$10:$BZ$14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'F2'!$CA$10:$CA$14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'F2'!$CB$10:$CB$14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'F2'!$CJ$30:$CJ$34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'F2'!$CK$30:$CK$34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'F2'!$CJ$37:$CJ$41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'F2'!$CK$37:$CK$41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6935054"/>
        <c:axId val="65544575"/>
      </c:scatterChart>
      <c:valAx>
        <c:axId val="66935054"/>
        <c:scaling>
          <c:orientation val="minMax"/>
          <c:max val="0.5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0000"/>
            </a:solidFill>
            <a:prstDash val="sysDot"/>
          </a:ln>
        </c:spPr>
        <c:crossAx val="65544575"/>
        <c:crosses val="autoZero"/>
        <c:crossBetween val="midCat"/>
        <c:dispUnits/>
      </c:valAx>
      <c:valAx>
        <c:axId val="65544575"/>
        <c:scaling>
          <c:orientation val="minMax"/>
          <c:max val="0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0000"/>
            </a:solidFill>
            <a:prstDash val="sysDot"/>
          </a:ln>
        </c:spPr>
        <c:crossAx val="669350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"/>
          <c:w val="0.999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'F2'!$CD$10:$CD$25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'F2'!$CE$10:$CE$25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'F2'!$CO$15:$CO$19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'F2'!$CP$15:$CP$19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'F2'!$CG$14:$CG$19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'F2'!$CH$14:$CH$19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'F2'!$BY$21:$BY$26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'F2'!$BZ$21:$BZ$26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'F2'!$CD$28:$CD$35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'F2'!$CE$28:$CE$35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'F2'!$BY$37:$BY$39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'F2'!$BZ$37:$BZ$39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'F2'!$CB$43:$CB$92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'F2'!$CC$43:$CC$92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6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'F2'!$CB$43:$CB$91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'F2'!$CC$43:$CC$91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'F2'!$BY$41:$BY$42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'F2'!$BZ$41:$BZ$42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'F2'!$CO$22:$CO$26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'F2'!$CP$22:$CP$26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3030264"/>
        <c:axId val="7510329"/>
      </c:scatterChart>
      <c:valAx>
        <c:axId val="53030264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510329"/>
        <c:crosses val="autoZero"/>
        <c:crossBetween val="midCat"/>
        <c:dispUnits/>
      </c:valAx>
      <c:valAx>
        <c:axId val="7510329"/>
        <c:scaling>
          <c:orientation val="minMax"/>
          <c:max val="0.4"/>
          <c:min val="-0.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0302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'F3'!$CU$10:$CU$16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'F3'!$CV$10:$CV$16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'F3'!$CW$10:$CW$14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'F3'!$CX$10:$CX$14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'F3'!$CH$30:$CH$34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'F3'!$CI$30:$CI$34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'F3'!$CH$37:$CH$41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'F3'!$CI$37:$CI$41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'F3'!$CH$44:$CH$48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'F3'!$CI$44:$CI$48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'F3'!$CM$37:$CM$38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'F3'!$CN$37:$CN$38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'F3'!$CM$40:$CM$41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'F3'!$CN$40:$CN$41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'F3'!$CM$43:$CM$44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'F3'!$CN$43:$CN$44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'F3'!$CM$46:$CM$47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'F3'!$CN$46:$CN$47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'F3'!$CM$49:$CM$51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'F3'!$CN$49:$CN$51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'F3'!$CP$40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'F3'!$CQ$40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'F3'!$CP$42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'F3'!$CQ$42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'F3'!$CR$18:$CR$19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'F3'!$CS$18:$CS$19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'F3'!$CR$21:$CR$22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'F3'!$CS$21:$CS$22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'F3'!$CR$24:$CR$25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'F3'!$CS$24:$CS$25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'F3'!$CR$27:$CR$28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'F3'!$CS$27:$CS$28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'F3'!$CR$30:$CR$31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'F3'!$CS$30:$CS$31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'F3'!$CT$18:$CT$19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'F3'!$CU$18:$CU$19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'F3'!$CT$21:$CT$22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'F3'!$CU$21:$CU$22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'F3'!$CT$27:$CT$28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'F3'!$CU$27:$CU$28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'F3'!$CT$30:$CT$31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'F3'!$CU$30:$CU$31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'F3'!$CV$19:$CV$29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'F3'!$CW$19:$CW$29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'F3'!$CV$22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'F3'!$CW$22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'F3'!$CV$24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'F3'!$CW$24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'F3'!$CV$26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'F3'!$CW$26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84098"/>
        <c:axId val="4356883"/>
      </c:scatterChart>
      <c:valAx>
        <c:axId val="484098"/>
        <c:scaling>
          <c:orientation val="minMax"/>
          <c:max val="0.5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0000"/>
            </a:solidFill>
            <a:prstDash val="sysDot"/>
          </a:ln>
        </c:spPr>
        <c:crossAx val="4356883"/>
        <c:crosses val="autoZero"/>
        <c:crossBetween val="midCat"/>
        <c:dispUnits/>
      </c:valAx>
      <c:valAx>
        <c:axId val="4356883"/>
        <c:scaling>
          <c:orientation val="minMax"/>
          <c:max val="0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0000"/>
            </a:solidFill>
            <a:prstDash val="sysDot"/>
          </a:ln>
        </c:spPr>
        <c:crossAx val="4840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'F3'!$CD$10:$CD$29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'F3'!$CE$10:$CE$29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'F3'!$CO$15:$CO$19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'F3'!$CP$15:$CP$19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'F3'!$CG$14:$CG$19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'F3'!$CH$14:$CH$19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'F3'!$BY$21:$BY$26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'F3'!$BZ$21:$BZ$26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'F3'!$CJ$30:$CJ$40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'F3'!$CK$30:$CK$40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'F3'!$BY$37:$BY$39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'F3'!$BZ$37:$BZ$39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'F3'!$CB$43:$CB$92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'F3'!$CC$43:$CC$92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6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'F3'!$CB$43:$CB$91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'F3'!$CC$43:$CC$91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'F3'!$BY$41:$BY$42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'F3'!$BZ$41:$BZ$42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'F3'!$CO$22:$CO$26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'F3'!$CP$22:$CP$26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0"/>
          <c:order val="1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'F3'!$CO$29:$CO$33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'F3'!$CP$29:$CP$33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1"/>
          <c:order val="11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'F3'!$BY$28:$BY$29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'F3'!$BZ$28:$BZ$29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'F3'!$CS$35:$CS$36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'F3'!$CT$35:$CT$36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'F3'!$CS$38:$CS$39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'F3'!$CT$38:$CT$39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'F3'!$CS$41:$CS$43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'F3'!$CT$41:$CT$43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39211948"/>
        <c:axId val="17363213"/>
      </c:scatterChart>
      <c:valAx>
        <c:axId val="39211948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363213"/>
        <c:crosses val="autoZero"/>
        <c:crossBetween val="midCat"/>
        <c:dispUnits/>
      </c:valAx>
      <c:valAx>
        <c:axId val="17363213"/>
        <c:scaling>
          <c:orientation val="minMax"/>
          <c:max val="0.4"/>
          <c:min val="-0.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2119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'F4'!$BY$10:$BY$14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'F4'!$BZ$10:$BZ$14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'F4'!$CA$10:$CA$14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'F4'!$CB$10:$CB$14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'F4'!$CJ$30:$CJ$34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'F4'!$CK$30:$CK$34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'F4'!$CJ$37:$CJ$41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'F4'!$CK$37:$CK$41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'F4'!$CM$30:$CM$34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'F4'!$CN$30:$CN$34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'F4'!$CM$37:$CM$41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'F4'!$CN$37:$CN$41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'F4'!$CP$30:$CP$31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'F4'!$CQ$30:$CQ$31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'F4'!$CP$33:$CP$34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'F4'!$CQ$33:$CQ$34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'F4'!$CP$36:$CP$37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'F4'!$CQ$36:$CQ$37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'F4'!$CP$39:$CP$40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'F4'!$CQ$39:$CQ$40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'F4'!$CP$42:$CP$43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'F4'!$CQ$42:$CQ$43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'F4'!$CP$45:$CP$49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'F4'!$CQ$45:$CQ$49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2"/>
          <c:order val="1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'F4'!$CR$30:$CR$31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'F4'!$CS$30:$CS$31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'F4'!$CR$33:$CR$34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'F4'!$CS$33:$CS$34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'F4'!$CR$36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'F4'!$CS$36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'F4'!$CR$38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'F4'!$CS$38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'F4'!$CR$40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'F4'!$CS$40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'F4'!$CT$30:$CT$31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'F4'!$CU$30:$CU$31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'F4'!$CT$33:$CT$34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'F4'!$CU$33:$CU$34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'F4'!$CT$36:$CT$37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'F4'!$CU$36:$CU$37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'F4'!$CT$39:$CT$40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'F4'!$CU$39:$CU$40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'F4'!$CW$30:$CW$31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'F4'!$CX$30:$CX$31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'F4'!$CW$33:$CW$34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'F4'!$CX$33:$CX$34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'F4'!$CW$36:$CW$37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'F4'!$CX$36:$CX$37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'F4'!$CW$39:$CW$40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'F4'!$CX$39:$CX$40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'F4'!$CW$42:$CW$43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'F4'!$CX$42:$CX$43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L2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'F4'!$CW$45:$CW$49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'F4'!$CX$45:$CX$49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7"/>
          <c:order val="2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'F4'!$CY$30:$CY$31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'F4'!$CZ$30:$CZ$31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'F4'!$CY$33:$CY$34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'F4'!$CZ$33:$CZ$34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'F4'!$CY$36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'F4'!$CZ$36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'F4'!$CY$38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'F4'!$CZ$38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1"/>
          <c:order val="31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'F4'!$DA$30:$DA$31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'F4'!$DB$30:$DB$31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2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'F4'!$DA$33:$DA$34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'F4'!$DB$33:$DB$34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3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'F4'!$DA$36:$DA$37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'F4'!$DB$36:$DB$37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4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'F4'!$DA$39:$DA$40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'F4'!$DB$39:$DB$40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2051190"/>
        <c:axId val="64242983"/>
      </c:scatterChart>
      <c:valAx>
        <c:axId val="22051190"/>
        <c:scaling>
          <c:orientation val="minMax"/>
          <c:max val="0.6"/>
          <c:min val="-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0000"/>
            </a:solidFill>
            <a:prstDash val="sysDot"/>
          </a:ln>
        </c:spPr>
        <c:crossAx val="64242983"/>
        <c:crosses val="autoZero"/>
        <c:crossBetween val="midCat"/>
        <c:dispUnits/>
      </c:valAx>
      <c:valAx>
        <c:axId val="64242983"/>
        <c:scaling>
          <c:orientation val="minMax"/>
          <c:max val="0.6"/>
          <c:min val="-0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0000"/>
            </a:solidFill>
            <a:prstDash val="sysDot"/>
          </a:ln>
        </c:spPr>
        <c:crossAx val="220511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"/>
          <c:w val="0.999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'F4'!$CD$10:$CD$25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'F4'!$CE$10:$CE$25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'F4'!$CO$15:$CO$19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'F4'!$CP$15:$CP$19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'F4'!$CG$14:$CG$19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'F4'!$CH$14:$CH$19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'F4'!$BY$21:$BY$26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'F4'!$BZ$21:$BZ$26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'F4'!$CD$28:$CD$35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'F4'!$CE$28:$CE$35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'F4'!$BY$37:$BY$39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'F4'!$BZ$37:$BZ$39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'F4'!$CB$43:$CB$92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'F4'!$CC$43:$CC$92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6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'F4'!$CB$43:$CB$91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'F4'!$CC$43:$CC$91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'F4'!$BY$41:$BY$42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'F4'!$BZ$41:$BZ$42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'F4'!$CO$22:$CO$26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'F4'!$CP$22:$CP$26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'F4'!$CV$8:$CV$9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'F4'!$CW$8:$CW$9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'F4'!$CV$11:$CV$12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'F4'!$CW$11:$CW$12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'F4'!$CV$14:$CV$16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'F4'!$CW$14:$CW$16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3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'F4'!$CV$18:$CV$19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'F4'!$CW$18:$CW$19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'F4'!$CV$21:$CV$22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'F4'!$CW$21:$CW$22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'F4'!$CY$14:$CY$15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'F4'!$CZ$14:$CZ$15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'F4'!$CY$17:$CY$18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'F4'!$CZ$17:$CZ$18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1315936"/>
        <c:axId val="36299105"/>
      </c:scatterChart>
      <c:valAx>
        <c:axId val="41315936"/>
        <c:scaling>
          <c:orientation val="minMax"/>
          <c:max val="0.6"/>
          <c:min val="-0.6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299105"/>
        <c:crosses val="autoZero"/>
        <c:crossBetween val="midCat"/>
        <c:dispUnits/>
      </c:valAx>
      <c:valAx>
        <c:axId val="36299105"/>
        <c:scaling>
          <c:orientation val="minMax"/>
          <c:max val="0.4"/>
          <c:min val="-0.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3159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>
      <xdr:nvSpPr>
        <xdr:cNvPr id="1" name="Line 9"/>
        <xdr:cNvSpPr>
          <a:spLocks/>
        </xdr:cNvSpPr>
      </xdr:nvSpPr>
      <xdr:spPr>
        <a:xfrm>
          <a:off x="2857500" y="11449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58</xdr:row>
      <xdr:rowOff>0</xdr:rowOff>
    </xdr:from>
    <xdr:to>
      <xdr:col>26</xdr:col>
      <xdr:colOff>0</xdr:colOff>
      <xdr:row>58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6191250" y="11449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38100</xdr:rowOff>
    </xdr:from>
    <xdr:to>
      <xdr:col>26</xdr:col>
      <xdr:colOff>190500</xdr:colOff>
      <xdr:row>25</xdr:row>
      <xdr:rowOff>142875</xdr:rowOff>
    </xdr:to>
    <xdr:graphicFrame>
      <xdr:nvGraphicFramePr>
        <xdr:cNvPr id="3" name="Chart 109"/>
        <xdr:cNvGraphicFramePr/>
      </xdr:nvGraphicFramePr>
      <xdr:xfrm>
        <a:off x="3838575" y="2686050"/>
        <a:ext cx="25431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25</xdr:row>
      <xdr:rowOff>9525</xdr:rowOff>
    </xdr:from>
    <xdr:to>
      <xdr:col>26</xdr:col>
      <xdr:colOff>228600</xdr:colOff>
      <xdr:row>37</xdr:row>
      <xdr:rowOff>161925</xdr:rowOff>
    </xdr:to>
    <xdr:graphicFrame>
      <xdr:nvGraphicFramePr>
        <xdr:cNvPr id="4" name="Chart 118"/>
        <xdr:cNvGraphicFramePr/>
      </xdr:nvGraphicFramePr>
      <xdr:xfrm>
        <a:off x="3819525" y="4857750"/>
        <a:ext cx="26003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11449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58</xdr:row>
      <xdr:rowOff>0</xdr:rowOff>
    </xdr:from>
    <xdr:to>
      <xdr:col>26</xdr:col>
      <xdr:colOff>0</xdr:colOff>
      <xdr:row>58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91250" y="11449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14</xdr:row>
      <xdr:rowOff>19050</xdr:rowOff>
    </xdr:from>
    <xdr:to>
      <xdr:col>26</xdr:col>
      <xdr:colOff>190500</xdr:colOff>
      <xdr:row>25</xdr:row>
      <xdr:rowOff>28575</xdr:rowOff>
    </xdr:to>
    <xdr:graphicFrame>
      <xdr:nvGraphicFramePr>
        <xdr:cNvPr id="3" name="Chart 10"/>
        <xdr:cNvGraphicFramePr/>
      </xdr:nvGraphicFramePr>
      <xdr:xfrm>
        <a:off x="3895725" y="2667000"/>
        <a:ext cx="24860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25</xdr:row>
      <xdr:rowOff>19050</xdr:rowOff>
    </xdr:from>
    <xdr:to>
      <xdr:col>26</xdr:col>
      <xdr:colOff>219075</xdr:colOff>
      <xdr:row>36</xdr:row>
      <xdr:rowOff>28575</xdr:rowOff>
    </xdr:to>
    <xdr:graphicFrame>
      <xdr:nvGraphicFramePr>
        <xdr:cNvPr id="4" name="Chart 14"/>
        <xdr:cNvGraphicFramePr/>
      </xdr:nvGraphicFramePr>
      <xdr:xfrm>
        <a:off x="3819525" y="4867275"/>
        <a:ext cx="25908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11449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58</xdr:row>
      <xdr:rowOff>0</xdr:rowOff>
    </xdr:from>
    <xdr:to>
      <xdr:col>26</xdr:col>
      <xdr:colOff>0</xdr:colOff>
      <xdr:row>58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91250" y="11449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14</xdr:row>
      <xdr:rowOff>19050</xdr:rowOff>
    </xdr:from>
    <xdr:to>
      <xdr:col>26</xdr:col>
      <xdr:colOff>190500</xdr:colOff>
      <xdr:row>25</xdr:row>
      <xdr:rowOff>28575</xdr:rowOff>
    </xdr:to>
    <xdr:graphicFrame>
      <xdr:nvGraphicFramePr>
        <xdr:cNvPr id="3" name="Chart 10"/>
        <xdr:cNvGraphicFramePr/>
      </xdr:nvGraphicFramePr>
      <xdr:xfrm>
        <a:off x="3895725" y="2667000"/>
        <a:ext cx="24860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25</xdr:row>
      <xdr:rowOff>19050</xdr:rowOff>
    </xdr:from>
    <xdr:to>
      <xdr:col>26</xdr:col>
      <xdr:colOff>219075</xdr:colOff>
      <xdr:row>36</xdr:row>
      <xdr:rowOff>28575</xdr:rowOff>
    </xdr:to>
    <xdr:graphicFrame>
      <xdr:nvGraphicFramePr>
        <xdr:cNvPr id="4" name="Chart 14"/>
        <xdr:cNvGraphicFramePr/>
      </xdr:nvGraphicFramePr>
      <xdr:xfrm>
        <a:off x="3819525" y="4867275"/>
        <a:ext cx="25908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11449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58</xdr:row>
      <xdr:rowOff>0</xdr:rowOff>
    </xdr:from>
    <xdr:to>
      <xdr:col>26</xdr:col>
      <xdr:colOff>0</xdr:colOff>
      <xdr:row>58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91250" y="11449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14</xdr:row>
      <xdr:rowOff>19050</xdr:rowOff>
    </xdr:from>
    <xdr:to>
      <xdr:col>26</xdr:col>
      <xdr:colOff>190500</xdr:colOff>
      <xdr:row>25</xdr:row>
      <xdr:rowOff>28575</xdr:rowOff>
    </xdr:to>
    <xdr:graphicFrame>
      <xdr:nvGraphicFramePr>
        <xdr:cNvPr id="3" name="Chart 10"/>
        <xdr:cNvGraphicFramePr/>
      </xdr:nvGraphicFramePr>
      <xdr:xfrm>
        <a:off x="3895725" y="2667000"/>
        <a:ext cx="24860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25</xdr:row>
      <xdr:rowOff>19050</xdr:rowOff>
    </xdr:from>
    <xdr:to>
      <xdr:col>26</xdr:col>
      <xdr:colOff>219075</xdr:colOff>
      <xdr:row>36</xdr:row>
      <xdr:rowOff>28575</xdr:rowOff>
    </xdr:to>
    <xdr:graphicFrame>
      <xdr:nvGraphicFramePr>
        <xdr:cNvPr id="4" name="Chart 14"/>
        <xdr:cNvGraphicFramePr/>
      </xdr:nvGraphicFramePr>
      <xdr:xfrm>
        <a:off x="3819525" y="4867275"/>
        <a:ext cx="25908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42"/>
  <sheetViews>
    <sheetView zoomScalePageLayoutView="0" workbookViewId="0" topLeftCell="A1">
      <selection activeCell="D8" sqref="D8:I10"/>
    </sheetView>
  </sheetViews>
  <sheetFormatPr defaultColWidth="9.140625" defaultRowHeight="12.75"/>
  <cols>
    <col min="1" max="2" width="9.140625" style="1" customWidth="1"/>
    <col min="3" max="3" width="10.7109375" style="1" bestFit="1" customWidth="1"/>
    <col min="4" max="6" width="9.140625" style="1" customWidth="1"/>
    <col min="7" max="7" width="6.140625" style="1" customWidth="1"/>
    <col min="8" max="9" width="9.140625" style="1" customWidth="1"/>
    <col min="10" max="10" width="8.28125" style="1" customWidth="1"/>
    <col min="11" max="16384" width="9.140625" style="1" customWidth="1"/>
  </cols>
  <sheetData>
    <row r="1" spans="11:14" ht="15.75" thickBot="1">
      <c r="K1" s="4"/>
      <c r="L1" s="4"/>
      <c r="M1" s="4"/>
      <c r="N1" s="4"/>
    </row>
    <row r="2" spans="11:14" ht="15">
      <c r="K2" s="7" t="s">
        <v>5</v>
      </c>
      <c r="L2" s="8"/>
      <c r="M2" s="9"/>
      <c r="N2" s="4"/>
    </row>
    <row r="3" spans="11:14" ht="15">
      <c r="K3" s="10" t="s">
        <v>6</v>
      </c>
      <c r="L3" s="6"/>
      <c r="M3" s="11"/>
      <c r="N3" s="4"/>
    </row>
    <row r="4" spans="1:14" ht="41.25" thickBot="1">
      <c r="A4" s="521" t="s">
        <v>31</v>
      </c>
      <c r="B4" s="521"/>
      <c r="C4" s="521"/>
      <c r="D4" s="521"/>
      <c r="E4" s="521"/>
      <c r="F4" s="521"/>
      <c r="G4" s="521"/>
      <c r="H4" s="521"/>
      <c r="I4" s="521"/>
      <c r="J4" s="521"/>
      <c r="K4" s="12"/>
      <c r="L4" s="13"/>
      <c r="M4" s="14"/>
      <c r="N4" s="4"/>
    </row>
    <row r="5" spans="11:14" ht="19.5" customHeight="1">
      <c r="K5" s="4"/>
      <c r="L5" s="4"/>
      <c r="M5" s="4"/>
      <c r="N5" s="4"/>
    </row>
    <row r="6" spans="1:14" ht="31.5">
      <c r="A6" s="522" t="s">
        <v>256</v>
      </c>
      <c r="B6" s="522"/>
      <c r="C6" s="522"/>
      <c r="D6" s="522"/>
      <c r="E6" s="522"/>
      <c r="F6" s="522"/>
      <c r="G6" s="522"/>
      <c r="H6" s="522"/>
      <c r="I6" s="522"/>
      <c r="J6" s="522"/>
      <c r="K6" s="4" t="s">
        <v>30</v>
      </c>
      <c r="L6" s="4"/>
      <c r="M6" s="4"/>
      <c r="N6" s="4"/>
    </row>
    <row r="7" spans="11:14" ht="15">
      <c r="K7" s="4"/>
      <c r="L7" s="4"/>
      <c r="M7" s="4"/>
      <c r="N7" s="4"/>
    </row>
    <row r="8" spans="1:14" s="2" customFormat="1" ht="18">
      <c r="A8" s="526" t="s">
        <v>7</v>
      </c>
      <c r="B8" s="526"/>
      <c r="C8" s="526"/>
      <c r="D8" s="525" t="s">
        <v>257</v>
      </c>
      <c r="E8" s="525"/>
      <c r="F8" s="525"/>
      <c r="G8" s="525"/>
      <c r="H8" s="525"/>
      <c r="I8" s="525"/>
      <c r="J8" s="19"/>
      <c r="K8" s="20"/>
      <c r="L8" s="20"/>
      <c r="M8" s="20"/>
      <c r="N8" s="20"/>
    </row>
    <row r="9" spans="1:14" s="2" customFormat="1" ht="18">
      <c r="A9" s="526" t="s">
        <v>8</v>
      </c>
      <c r="B9" s="526"/>
      <c r="C9" s="526"/>
      <c r="D9" s="524" t="s">
        <v>258</v>
      </c>
      <c r="E9" s="524"/>
      <c r="F9" s="524"/>
      <c r="G9" s="524"/>
      <c r="H9" s="524"/>
      <c r="I9" s="524"/>
      <c r="J9" s="19"/>
      <c r="K9" s="20"/>
      <c r="L9" s="20"/>
      <c r="M9" s="20"/>
      <c r="N9" s="20"/>
    </row>
    <row r="10" spans="1:14" s="2" customFormat="1" ht="18">
      <c r="A10" s="526" t="s">
        <v>9</v>
      </c>
      <c r="B10" s="526"/>
      <c r="C10" s="526"/>
      <c r="D10" s="524" t="s">
        <v>259</v>
      </c>
      <c r="E10" s="524"/>
      <c r="F10" s="524"/>
      <c r="G10" s="527"/>
      <c r="H10" s="523" t="s">
        <v>260</v>
      </c>
      <c r="I10" s="524"/>
      <c r="J10" s="19"/>
      <c r="K10" s="20"/>
      <c r="L10" s="20"/>
      <c r="M10" s="20"/>
      <c r="N10" s="20"/>
    </row>
    <row r="11" spans="4:14" ht="15">
      <c r="D11" s="529"/>
      <c r="E11" s="529"/>
      <c r="F11" s="529"/>
      <c r="G11" s="529"/>
      <c r="H11" s="18"/>
      <c r="I11" s="16"/>
      <c r="J11" s="5"/>
      <c r="K11" s="4"/>
      <c r="L11" s="4"/>
      <c r="M11" s="4"/>
      <c r="N11" s="4"/>
    </row>
    <row r="12" spans="1:14" ht="18">
      <c r="A12" s="526" t="s">
        <v>10</v>
      </c>
      <c r="B12" s="526"/>
      <c r="C12" s="526"/>
      <c r="D12" s="17" t="s">
        <v>32</v>
      </c>
      <c r="E12" s="17"/>
      <c r="F12" s="17"/>
      <c r="G12" s="17"/>
      <c r="H12" s="17"/>
      <c r="I12" s="17"/>
      <c r="J12" s="19"/>
      <c r="K12" s="4"/>
      <c r="L12" s="4"/>
      <c r="M12" s="4"/>
      <c r="N12" s="4"/>
    </row>
    <row r="13" spans="11:14" s="2" customFormat="1" ht="16.5">
      <c r="K13" s="20"/>
      <c r="L13" s="20"/>
      <c r="M13" s="20"/>
      <c r="N13" s="20"/>
    </row>
    <row r="14" spans="1:14" s="2" customFormat="1" ht="18">
      <c r="A14" s="517" t="s">
        <v>14</v>
      </c>
      <c r="B14" s="517"/>
      <c r="C14" s="517"/>
      <c r="D14" s="517"/>
      <c r="K14" s="20"/>
      <c r="L14" s="20"/>
      <c r="M14" s="20"/>
      <c r="N14" s="20"/>
    </row>
    <row r="15" spans="2:14" s="2" customFormat="1" ht="16.5">
      <c r="B15" s="3" t="s">
        <v>4</v>
      </c>
      <c r="C15" s="1" t="s">
        <v>11</v>
      </c>
      <c r="D15" s="1"/>
      <c r="E15" s="1"/>
      <c r="F15" s="1"/>
      <c r="G15" s="1"/>
      <c r="H15" s="1"/>
      <c r="I15" s="1"/>
      <c r="J15" s="1"/>
      <c r="K15" s="20"/>
      <c r="L15" s="20"/>
      <c r="M15" s="20"/>
      <c r="N15" s="20"/>
    </row>
    <row r="16" spans="2:14" s="2" customFormat="1" ht="16.5">
      <c r="B16" s="3" t="s">
        <v>4</v>
      </c>
      <c r="C16" s="1" t="s">
        <v>12</v>
      </c>
      <c r="D16" s="1"/>
      <c r="E16" s="1"/>
      <c r="F16" s="1"/>
      <c r="G16" s="1"/>
      <c r="H16" s="1"/>
      <c r="I16" s="1"/>
      <c r="J16" s="1"/>
      <c r="K16" s="20"/>
      <c r="L16" s="20"/>
      <c r="M16" s="20"/>
      <c r="N16" s="20"/>
    </row>
    <row r="17" spans="2:14" s="2" customFormat="1" ht="16.5">
      <c r="B17" s="3" t="s">
        <v>4</v>
      </c>
      <c r="C17" s="1" t="s">
        <v>13</v>
      </c>
      <c r="D17" s="1"/>
      <c r="E17" s="1"/>
      <c r="F17" s="1"/>
      <c r="G17" s="1"/>
      <c r="H17" s="1"/>
      <c r="I17" s="1"/>
      <c r="J17" s="1"/>
      <c r="K17" s="20"/>
      <c r="L17" s="20"/>
      <c r="M17" s="20"/>
      <c r="N17" s="20"/>
    </row>
    <row r="18" spans="11:14" s="2" customFormat="1" ht="16.5">
      <c r="K18" s="20"/>
      <c r="L18" s="20"/>
      <c r="M18" s="20"/>
      <c r="N18" s="20"/>
    </row>
    <row r="19" spans="1:14" s="2" customFormat="1" ht="18">
      <c r="A19" s="517" t="s">
        <v>15</v>
      </c>
      <c r="B19" s="517"/>
      <c r="C19" s="517"/>
      <c r="D19" s="517"/>
      <c r="K19" s="20"/>
      <c r="L19" s="20"/>
      <c r="M19" s="20"/>
      <c r="N19" s="20"/>
    </row>
    <row r="20" spans="3:14" s="2" customFormat="1" ht="16.5">
      <c r="C20" s="520" t="s">
        <v>16</v>
      </c>
      <c r="D20" s="520"/>
      <c r="E20" s="15" t="s">
        <v>3</v>
      </c>
      <c r="F20" s="2" t="s">
        <v>23</v>
      </c>
      <c r="K20" s="20"/>
      <c r="L20" s="20"/>
      <c r="M20" s="20"/>
      <c r="N20" s="20"/>
    </row>
    <row r="21" spans="3:14" s="2" customFormat="1" ht="16.5">
      <c r="C21" s="520" t="s">
        <v>17</v>
      </c>
      <c r="D21" s="520"/>
      <c r="E21" s="15" t="s">
        <v>3</v>
      </c>
      <c r="F21" s="2" t="s">
        <v>24</v>
      </c>
      <c r="K21" s="20"/>
      <c r="L21" s="20"/>
      <c r="M21" s="20"/>
      <c r="N21" s="20"/>
    </row>
    <row r="22" spans="3:14" s="2" customFormat="1" ht="16.5">
      <c r="C22" s="520" t="s">
        <v>18</v>
      </c>
      <c r="D22" s="520"/>
      <c r="E22" s="15" t="s">
        <v>3</v>
      </c>
      <c r="F22" s="2" t="s">
        <v>25</v>
      </c>
      <c r="K22" s="20"/>
      <c r="L22" s="20"/>
      <c r="M22" s="20"/>
      <c r="N22" s="20"/>
    </row>
    <row r="23" spans="3:14" s="2" customFormat="1" ht="16.5">
      <c r="C23" s="520" t="s">
        <v>19</v>
      </c>
      <c r="D23" s="520"/>
      <c r="E23" s="15" t="s">
        <v>3</v>
      </c>
      <c r="F23" s="2" t="s">
        <v>26</v>
      </c>
      <c r="K23" s="20"/>
      <c r="L23" s="20"/>
      <c r="M23" s="20"/>
      <c r="N23" s="20"/>
    </row>
    <row r="24" spans="3:14" s="2" customFormat="1" ht="16.5">
      <c r="C24" s="520" t="s">
        <v>20</v>
      </c>
      <c r="D24" s="520"/>
      <c r="E24" s="15" t="s">
        <v>3</v>
      </c>
      <c r="F24" s="2" t="s">
        <v>26</v>
      </c>
      <c r="K24" s="20"/>
      <c r="L24" s="20"/>
      <c r="M24" s="20"/>
      <c r="N24" s="20"/>
    </row>
    <row r="25" spans="3:14" s="2" customFormat="1" ht="16.5">
      <c r="C25" s="520" t="s">
        <v>21</v>
      </c>
      <c r="D25" s="520"/>
      <c r="E25" s="15" t="s">
        <v>3</v>
      </c>
      <c r="F25" s="2" t="s">
        <v>27</v>
      </c>
      <c r="K25" s="20"/>
      <c r="L25" s="20"/>
      <c r="M25" s="20"/>
      <c r="N25" s="20"/>
    </row>
    <row r="26" spans="3:14" s="2" customFormat="1" ht="16.5">
      <c r="C26" s="520" t="s">
        <v>22</v>
      </c>
      <c r="D26" s="520"/>
      <c r="E26" s="15" t="s">
        <v>3</v>
      </c>
      <c r="F26" s="2" t="s">
        <v>28</v>
      </c>
      <c r="K26" s="20"/>
      <c r="L26" s="20"/>
      <c r="M26" s="20"/>
      <c r="N26" s="20"/>
    </row>
    <row r="27" spans="11:14" s="2" customFormat="1" ht="16.5">
      <c r="K27" s="20"/>
      <c r="L27" s="20"/>
      <c r="M27" s="20"/>
      <c r="N27" s="20"/>
    </row>
    <row r="28" spans="1:14" s="2" customFormat="1" ht="16.5">
      <c r="A28" s="528" t="s">
        <v>29</v>
      </c>
      <c r="B28" s="528"/>
      <c r="C28" s="528"/>
      <c r="D28" s="528"/>
      <c r="E28" s="528"/>
      <c r="F28" s="528"/>
      <c r="G28" s="528"/>
      <c r="H28" s="528"/>
      <c r="I28" s="528"/>
      <c r="J28" s="528"/>
      <c r="K28" s="20"/>
      <c r="L28" s="20"/>
      <c r="M28" s="20"/>
      <c r="N28" s="20"/>
    </row>
    <row r="29" spans="11:14" s="2" customFormat="1" ht="16.5">
      <c r="K29" s="20"/>
      <c r="L29" s="20"/>
      <c r="M29" s="20"/>
      <c r="N29" s="20"/>
    </row>
    <row r="30" spans="11:14" s="2" customFormat="1" ht="16.5">
      <c r="K30" s="20"/>
      <c r="L30" s="20"/>
      <c r="M30" s="20"/>
      <c r="N30" s="20"/>
    </row>
    <row r="31" spans="11:14" s="2" customFormat="1" ht="16.5">
      <c r="K31" s="20"/>
      <c r="L31" s="20"/>
      <c r="M31" s="20"/>
      <c r="N31" s="20"/>
    </row>
    <row r="32" spans="11:14" s="2" customFormat="1" ht="16.5">
      <c r="K32" s="20"/>
      <c r="L32" s="20"/>
      <c r="M32" s="20"/>
      <c r="N32" s="20"/>
    </row>
    <row r="33" spans="11:14" s="2" customFormat="1" ht="16.5">
      <c r="K33" s="20"/>
      <c r="L33" s="20"/>
      <c r="M33" s="20"/>
      <c r="N33" s="20"/>
    </row>
    <row r="34" spans="11:14" s="2" customFormat="1" ht="16.5">
      <c r="K34" s="20"/>
      <c r="L34" s="20"/>
      <c r="M34" s="20"/>
      <c r="N34" s="20"/>
    </row>
    <row r="35" spans="1:14" s="2" customFormat="1" ht="16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 password="DA3E" sheet="1" selectLockedCells="1"/>
  <mergeCells count="21">
    <mergeCell ref="C24:D24"/>
    <mergeCell ref="A9:C9"/>
    <mergeCell ref="A28:J28"/>
    <mergeCell ref="D11:G11"/>
    <mergeCell ref="A14:D14"/>
    <mergeCell ref="A19:D19"/>
    <mergeCell ref="C20:D20"/>
    <mergeCell ref="C22:D22"/>
    <mergeCell ref="C21:D21"/>
    <mergeCell ref="A12:C12"/>
    <mergeCell ref="C26:D26"/>
    <mergeCell ref="C25:D25"/>
    <mergeCell ref="C23:D23"/>
    <mergeCell ref="A4:J4"/>
    <mergeCell ref="A6:J6"/>
    <mergeCell ref="H10:I10"/>
    <mergeCell ref="D8:I8"/>
    <mergeCell ref="D9:I9"/>
    <mergeCell ref="A8:C8"/>
    <mergeCell ref="A10:C10"/>
    <mergeCell ref="D10:G10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60"/>
  <sheetViews>
    <sheetView workbookViewId="0" topLeftCell="A1">
      <selection activeCell="AK23" sqref="AK23"/>
    </sheetView>
  </sheetViews>
  <sheetFormatPr defaultColWidth="9.140625" defaultRowHeight="15.75" customHeight="1"/>
  <cols>
    <col min="1" max="54" width="3.57421875" style="38" customWidth="1"/>
    <col min="55" max="55" width="13.00390625" style="38" customWidth="1"/>
    <col min="56" max="56" width="3.57421875" style="38" customWidth="1"/>
    <col min="57" max="57" width="5.8515625" style="38" bestFit="1" customWidth="1"/>
    <col min="58" max="58" width="6.140625" style="38" bestFit="1" customWidth="1"/>
    <col min="59" max="65" width="3.57421875" style="38" customWidth="1"/>
    <col min="66" max="66" width="14.57421875" style="38" bestFit="1" customWidth="1"/>
    <col min="67" max="153" width="10.7109375" style="38" customWidth="1"/>
    <col min="154" max="16384" width="3.57421875" style="38" customWidth="1"/>
  </cols>
  <sheetData>
    <row r="1" spans="2:38" ht="15.75" customHeight="1" thickBot="1"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  <c r="R1" s="39"/>
      <c r="S1" s="39"/>
      <c r="T1" s="39"/>
      <c r="U1" s="39"/>
      <c r="V1" s="39"/>
      <c r="W1" s="39"/>
      <c r="X1" s="39"/>
      <c r="Y1" s="39"/>
      <c r="Z1" s="39"/>
      <c r="AA1" s="39">
        <f>IF(AC10="","",AC10)</f>
      </c>
      <c r="AB1" s="26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1:38" ht="9.75" customHeight="1">
      <c r="K2" s="42"/>
      <c r="L2" s="42"/>
      <c r="M2" s="42"/>
      <c r="N2" s="42"/>
      <c r="O2" s="42"/>
      <c r="P2" s="42"/>
      <c r="Q2" s="42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2:91" ht="15.75" customHeight="1">
      <c r="B3" s="43" t="s">
        <v>0</v>
      </c>
      <c r="E3" s="531" t="str">
        <f>Cover!A6</f>
        <v>อาคารพาณิชย์</v>
      </c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3"/>
      <c r="W3" s="537" t="s">
        <v>33</v>
      </c>
      <c r="X3" s="538"/>
      <c r="Y3" s="515">
        <f ca="1">TODAY()</f>
        <v>40280</v>
      </c>
      <c r="Z3" s="509"/>
      <c r="AA3" s="530"/>
      <c r="AB3" s="28"/>
      <c r="AC3" s="44" t="s">
        <v>5</v>
      </c>
      <c r="AD3" s="45"/>
      <c r="AE3" s="45"/>
      <c r="AF3" s="46"/>
      <c r="AG3" s="46"/>
      <c r="AH3" s="46"/>
      <c r="AI3" s="46"/>
      <c r="AJ3" s="46"/>
      <c r="AK3" s="41"/>
      <c r="AL3" s="41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</row>
    <row r="4" spans="2:91" ht="15.75" customHeight="1">
      <c r="B4" s="43" t="s">
        <v>1</v>
      </c>
      <c r="E4" s="531" t="str">
        <f>Cover!D8</f>
        <v>คุณทดลอง</v>
      </c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3"/>
      <c r="W4" s="534"/>
      <c r="X4" s="535"/>
      <c r="Y4" s="47"/>
      <c r="Z4" s="47"/>
      <c r="AA4" s="47"/>
      <c r="AB4" s="48"/>
      <c r="AC4" s="49" t="s">
        <v>6</v>
      </c>
      <c r="AD4" s="45"/>
      <c r="AE4" s="45"/>
      <c r="AF4" s="46"/>
      <c r="AG4" s="46"/>
      <c r="AH4" s="46"/>
      <c r="AI4" s="46"/>
      <c r="AJ4" s="46"/>
      <c r="AK4" s="41"/>
      <c r="AL4" s="41"/>
      <c r="BN4" s="23">
        <v>4</v>
      </c>
      <c r="BO4" s="23">
        <f>IF(R12="เสาเข็มตอก",1,IF(R12="เสาเข็มเจาะ",2))</f>
        <v>1</v>
      </c>
      <c r="BP4" s="23">
        <v>1</v>
      </c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</row>
    <row r="5" spans="2:91" ht="15.75" customHeight="1">
      <c r="B5" s="43" t="s">
        <v>2</v>
      </c>
      <c r="E5" s="531" t="str">
        <f>Cover!D9</f>
        <v>กทม.</v>
      </c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3"/>
      <c r="W5" s="50"/>
      <c r="X5" s="51"/>
      <c r="Y5" s="52"/>
      <c r="Z5" s="52"/>
      <c r="AA5" s="52"/>
      <c r="AB5" s="48"/>
      <c r="AC5" s="46"/>
      <c r="AD5" s="46"/>
      <c r="AE5" s="46"/>
      <c r="AF5" s="46"/>
      <c r="AG5" s="46"/>
      <c r="AH5" s="45"/>
      <c r="AI5" s="46"/>
      <c r="AJ5" s="46"/>
      <c r="AK5" s="41"/>
      <c r="AL5" s="41"/>
      <c r="BN5" s="26"/>
      <c r="BO5" s="26"/>
      <c r="BP5" s="26"/>
      <c r="BQ5" s="26"/>
      <c r="BR5" s="26"/>
      <c r="BS5" s="26"/>
      <c r="BT5" s="27"/>
      <c r="BU5" s="27"/>
      <c r="BV5" s="27"/>
      <c r="BW5" s="27"/>
      <c r="BX5" s="27"/>
      <c r="BY5" s="27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</row>
    <row r="6" spans="2:91" ht="9.75" customHeight="1" thickBot="1">
      <c r="B6" s="39"/>
      <c r="C6" s="39"/>
      <c r="D6" s="39"/>
      <c r="E6" s="39"/>
      <c r="F6" s="39"/>
      <c r="G6" s="39"/>
      <c r="H6" s="39"/>
      <c r="I6" s="39"/>
      <c r="J6" s="39"/>
      <c r="K6" s="40"/>
      <c r="L6" s="40"/>
      <c r="M6" s="40"/>
      <c r="N6" s="40"/>
      <c r="O6" s="40"/>
      <c r="P6" s="40"/>
      <c r="Q6" s="40"/>
      <c r="R6" s="39"/>
      <c r="S6" s="39"/>
      <c r="T6" s="39"/>
      <c r="U6" s="39"/>
      <c r="V6" s="39"/>
      <c r="W6" s="39"/>
      <c r="X6" s="39"/>
      <c r="Y6" s="39"/>
      <c r="Z6" s="39"/>
      <c r="AA6" s="39"/>
      <c r="AB6" s="26"/>
      <c r="AC6" s="46"/>
      <c r="AD6" s="46"/>
      <c r="AE6" s="46"/>
      <c r="AF6" s="46"/>
      <c r="AG6" s="46"/>
      <c r="AH6" s="46"/>
      <c r="AI6" s="46"/>
      <c r="AJ6" s="46"/>
      <c r="AK6" s="41"/>
      <c r="AL6" s="41"/>
      <c r="BN6" s="26"/>
      <c r="BO6" s="26"/>
      <c r="BP6" s="26"/>
      <c r="BQ6" s="26"/>
      <c r="BR6" s="26"/>
      <c r="BS6" s="26"/>
      <c r="BT6" s="27"/>
      <c r="BU6" s="27"/>
      <c r="BV6" s="27"/>
      <c r="BW6" s="27"/>
      <c r="BX6" s="27"/>
      <c r="BY6" s="27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</row>
    <row r="7" spans="2:91" ht="15.75" customHeight="1">
      <c r="B7" s="543" t="s">
        <v>54</v>
      </c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3"/>
      <c r="AC7" s="46" t="s">
        <v>30</v>
      </c>
      <c r="AD7" s="41"/>
      <c r="AE7" s="41"/>
      <c r="AF7" s="41"/>
      <c r="AG7" s="41"/>
      <c r="AH7" s="41"/>
      <c r="AI7" s="41"/>
      <c r="AJ7" s="54"/>
      <c r="AK7" s="41"/>
      <c r="AL7" s="41"/>
      <c r="BN7" s="26"/>
      <c r="BO7" s="28" t="s">
        <v>83</v>
      </c>
      <c r="BP7" s="28" t="s">
        <v>84</v>
      </c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</row>
    <row r="8" spans="11:91" ht="15.75" customHeight="1" thickBot="1">
      <c r="K8" s="42"/>
      <c r="L8" s="42"/>
      <c r="M8" s="42"/>
      <c r="N8" s="42"/>
      <c r="O8" s="42"/>
      <c r="P8" s="42"/>
      <c r="Q8" s="42"/>
      <c r="U8" s="55"/>
      <c r="AA8" s="55"/>
      <c r="AB8" s="55"/>
      <c r="AC8" s="41"/>
      <c r="AD8" s="41"/>
      <c r="AE8" s="41"/>
      <c r="AF8" s="41"/>
      <c r="AG8" s="41"/>
      <c r="AH8" s="41"/>
      <c r="AI8" s="41"/>
      <c r="AJ8" s="41"/>
      <c r="AK8" s="41"/>
      <c r="AL8" s="41"/>
      <c r="BA8" s="38" t="str">
        <f>IF(BP$4=1,BN8,IF(BP$4=2,BN15,IF(BP$4=3,BN23,IF(BP$4=4,BN26,IF(BP$4=5,BN28)))))</f>
        <v>I-0.18X0.18</v>
      </c>
      <c r="BM8" s="38">
        <v>1</v>
      </c>
      <c r="BN8" s="26" t="s">
        <v>64</v>
      </c>
      <c r="BO8" s="42">
        <v>72</v>
      </c>
      <c r="BP8" s="42">
        <v>235</v>
      </c>
      <c r="BQ8" s="26"/>
      <c r="BR8" s="26"/>
      <c r="BS8" s="26"/>
      <c r="BT8" s="28"/>
      <c r="BU8" s="28"/>
      <c r="BV8" s="28"/>
      <c r="BW8" s="28"/>
      <c r="BX8" s="28"/>
      <c r="BY8" s="28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</row>
    <row r="9" spans="2:91" ht="15.75" customHeight="1" thickBot="1">
      <c r="B9" s="36" t="s">
        <v>38</v>
      </c>
      <c r="K9" s="42"/>
      <c r="L9" s="42"/>
      <c r="M9" s="42"/>
      <c r="N9" s="42"/>
      <c r="O9" s="42"/>
      <c r="P9" s="42"/>
      <c r="Q9" s="42"/>
      <c r="R9" s="544"/>
      <c r="S9" s="544"/>
      <c r="T9" s="544"/>
      <c r="U9" s="56"/>
      <c r="V9" s="42"/>
      <c r="W9" s="42"/>
      <c r="X9" s="57"/>
      <c r="Y9" s="57"/>
      <c r="Z9" s="57"/>
      <c r="AA9" s="56"/>
      <c r="AB9" s="56"/>
      <c r="AC9" s="548" t="s">
        <v>255</v>
      </c>
      <c r="AD9" s="549"/>
      <c r="AE9" s="550"/>
      <c r="AF9" s="41"/>
      <c r="AG9" s="41"/>
      <c r="AH9" s="41"/>
      <c r="AI9" s="41"/>
      <c r="AJ9" s="41"/>
      <c r="AK9" s="41"/>
      <c r="AL9" s="41"/>
      <c r="BA9" s="38" t="str">
        <f>IF(BP$4=1,BN9,IF(BP$4=2,BN16,IF(BP$4=3,BN24,IF(BP$4=4,"",IF(BP$4=5,BN29)))))</f>
        <v>I-0.22X0.22</v>
      </c>
      <c r="BM9" s="38">
        <v>2</v>
      </c>
      <c r="BN9" s="26" t="s">
        <v>65</v>
      </c>
      <c r="BO9" s="42">
        <v>88</v>
      </c>
      <c r="BP9" s="28">
        <v>332</v>
      </c>
      <c r="BQ9" s="26"/>
      <c r="BR9" s="26"/>
      <c r="BS9" s="26"/>
      <c r="BT9" s="28"/>
      <c r="BU9" s="28"/>
      <c r="BV9" s="28"/>
      <c r="BW9" s="28"/>
      <c r="BX9" s="28"/>
      <c r="BY9" s="28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</row>
    <row r="10" spans="1:91" ht="15.75" customHeight="1" thickBot="1">
      <c r="A10" s="26"/>
      <c r="B10" s="58" t="s">
        <v>56</v>
      </c>
      <c r="K10" s="42"/>
      <c r="L10" s="42"/>
      <c r="M10" s="42"/>
      <c r="N10" s="42"/>
      <c r="O10" s="42"/>
      <c r="P10" s="42"/>
      <c r="Q10" s="42" t="s">
        <v>3</v>
      </c>
      <c r="R10" s="540">
        <v>350</v>
      </c>
      <c r="S10" s="540"/>
      <c r="T10" s="540"/>
      <c r="U10" s="541" t="s">
        <v>51</v>
      </c>
      <c r="V10" s="541"/>
      <c r="W10" s="59"/>
      <c r="X10" s="60"/>
      <c r="Y10" s="60"/>
      <c r="Z10" s="60"/>
      <c r="AC10" s="551"/>
      <c r="AD10" s="552"/>
      <c r="AE10" s="553"/>
      <c r="AF10" s="41"/>
      <c r="AG10" s="41"/>
      <c r="AH10" s="41"/>
      <c r="AI10" s="41"/>
      <c r="AJ10" s="41"/>
      <c r="AK10" s="41"/>
      <c r="AL10" s="41"/>
      <c r="BA10" s="38" t="str">
        <f>IF(BP$4=1,BN10,IF(BP$4=2,BN17,IF(BP$4=3,"",IF(BP$4=4,"",IF(BP$4=5,BN30)))))</f>
        <v>I-0.26X0.26</v>
      </c>
      <c r="BM10" s="38">
        <v>3</v>
      </c>
      <c r="BN10" s="26" t="s">
        <v>66</v>
      </c>
      <c r="BO10" s="42">
        <v>104</v>
      </c>
      <c r="BP10" s="28">
        <v>460</v>
      </c>
      <c r="BQ10" s="26"/>
      <c r="BR10" s="26"/>
      <c r="BS10" s="26"/>
      <c r="BT10" s="61"/>
      <c r="BU10" s="61"/>
      <c r="BV10" s="61"/>
      <c r="BW10" s="28"/>
      <c r="BX10" s="28"/>
      <c r="BY10" s="28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</row>
    <row r="11" spans="1:91" ht="15.75" customHeight="1" thickBot="1">
      <c r="A11" s="26"/>
      <c r="B11" s="58" t="s">
        <v>57</v>
      </c>
      <c r="K11" s="42"/>
      <c r="L11" s="42"/>
      <c r="M11" s="42"/>
      <c r="N11" s="42"/>
      <c r="O11" s="42"/>
      <c r="P11" s="42"/>
      <c r="Q11" s="42" t="s">
        <v>3</v>
      </c>
      <c r="R11" s="540">
        <v>173</v>
      </c>
      <c r="S11" s="540"/>
      <c r="T11" s="540"/>
      <c r="U11" s="541" t="s">
        <v>51</v>
      </c>
      <c r="V11" s="541"/>
      <c r="W11" s="59"/>
      <c r="X11" s="60"/>
      <c r="Y11" s="60"/>
      <c r="Z11" s="60"/>
      <c r="AC11" s="518" t="s">
        <v>82</v>
      </c>
      <c r="AD11" s="519"/>
      <c r="AE11" s="519"/>
      <c r="AF11" s="519"/>
      <c r="AG11" s="519"/>
      <c r="AH11" s="519"/>
      <c r="AI11" s="519"/>
      <c r="AJ11" s="519"/>
      <c r="AK11" s="516"/>
      <c r="AL11" s="41"/>
      <c r="BA11" s="38" t="str">
        <f>IF(BP$4=1,BN11,IF(BP$4=2,BN18,IF(BP$4=3,"",IF(BP$4=4,"",IF(BP$4=5,BN31)))))</f>
        <v>I-0.30X0.30</v>
      </c>
      <c r="BM11" s="38">
        <v>4</v>
      </c>
      <c r="BN11" s="26" t="s">
        <v>67</v>
      </c>
      <c r="BO11" s="42">
        <v>120</v>
      </c>
      <c r="BP11" s="28">
        <v>570</v>
      </c>
      <c r="BQ11" s="26"/>
      <c r="BR11" s="26"/>
      <c r="BS11" s="26"/>
      <c r="BT11" s="61"/>
      <c r="BU11" s="61"/>
      <c r="BV11" s="61"/>
      <c r="BW11" s="61"/>
      <c r="BX11" s="61"/>
      <c r="BY11" s="6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</row>
    <row r="12" spans="1:91" ht="15.75" customHeight="1">
      <c r="A12" s="26"/>
      <c r="B12" s="58" t="s">
        <v>78</v>
      </c>
      <c r="K12" s="42"/>
      <c r="L12" s="42"/>
      <c r="M12" s="42"/>
      <c r="N12" s="42"/>
      <c r="O12" s="42"/>
      <c r="P12" s="42"/>
      <c r="Q12" s="42"/>
      <c r="R12" s="539" t="s">
        <v>77</v>
      </c>
      <c r="S12" s="539"/>
      <c r="T12" s="539"/>
      <c r="U12" s="59"/>
      <c r="V12" s="59"/>
      <c r="W12" s="59"/>
      <c r="X12" s="60"/>
      <c r="Y12" s="60"/>
      <c r="Z12" s="60"/>
      <c r="AC12" s="62"/>
      <c r="AD12" s="62"/>
      <c r="AE12" s="62"/>
      <c r="AF12" s="62"/>
      <c r="AG12" s="62"/>
      <c r="AH12" s="62"/>
      <c r="AI12" s="62"/>
      <c r="AJ12" s="62"/>
      <c r="AK12" s="62"/>
      <c r="AL12" s="41"/>
      <c r="BA12" s="38" t="str">
        <f>IF(BP$4=1,BN12,IF(BP$4=2,BN19,IF(BP$4=3,"",IF(BP$4=4,"",IF(BP$4=5,"")))))</f>
        <v>I-0.35X0.35</v>
      </c>
      <c r="BM12" s="38">
        <v>5</v>
      </c>
      <c r="BN12" s="26" t="s">
        <v>68</v>
      </c>
      <c r="BO12" s="42">
        <v>140</v>
      </c>
      <c r="BP12" s="28">
        <v>880</v>
      </c>
      <c r="BQ12" s="26"/>
      <c r="BR12" s="26"/>
      <c r="BS12" s="26"/>
      <c r="BT12" s="61"/>
      <c r="BU12" s="61"/>
      <c r="BV12" s="61"/>
      <c r="BW12" s="61"/>
      <c r="BX12" s="61"/>
      <c r="BY12" s="61"/>
      <c r="BZ12" s="26"/>
      <c r="CA12" s="63"/>
      <c r="CB12" s="63"/>
      <c r="CC12" s="27"/>
      <c r="CD12" s="27"/>
      <c r="CE12" s="27"/>
      <c r="CF12" s="27"/>
      <c r="CG12" s="27"/>
      <c r="CH12" s="27"/>
      <c r="CI12" s="28"/>
      <c r="CJ12" s="26"/>
      <c r="CK12" s="26"/>
      <c r="CL12" s="26"/>
      <c r="CM12" s="26"/>
    </row>
    <row r="13" spans="2:91" ht="15.75" customHeight="1">
      <c r="B13" s="58" t="str">
        <f>IF(BP$4=1,BA16,IF(BP$4=2,BA17,IF(BP$4=3,BA18,IF(BP$4=4,BA19,IF(BP$4=5,BA20)))))</f>
        <v>เสาเข็มคอนกรีตอัดแรงรูปตัว I ขนาด</v>
      </c>
      <c r="K13" s="42"/>
      <c r="L13" s="42"/>
      <c r="M13" s="42"/>
      <c r="N13" s="42"/>
      <c r="O13" s="42"/>
      <c r="P13" s="42"/>
      <c r="Q13" s="42" t="s">
        <v>3</v>
      </c>
      <c r="R13" s="64" t="str">
        <f>BA28</f>
        <v>I-0.30X0.30</v>
      </c>
      <c r="S13" s="64"/>
      <c r="T13" s="64"/>
      <c r="U13" s="59"/>
      <c r="V13" s="59"/>
      <c r="W13" s="59"/>
      <c r="X13" s="60"/>
      <c r="Y13" s="60"/>
      <c r="Z13" s="60"/>
      <c r="AC13" s="62"/>
      <c r="AD13" s="62"/>
      <c r="AE13" s="62"/>
      <c r="AF13" s="62"/>
      <c r="AG13" s="62"/>
      <c r="AH13" s="62"/>
      <c r="AI13" s="62"/>
      <c r="AJ13" s="62"/>
      <c r="AK13" s="62"/>
      <c r="AL13" s="41"/>
      <c r="BA13" s="38" t="str">
        <f>IF(BP$4=1,BN13,IF(BP$4=2,BN20,IF(BP$4=3,"",IF(BP$4=4,"",IF(BP$4=5,"")))))</f>
        <v>I-0.40X0.40</v>
      </c>
      <c r="BM13" s="38">
        <v>6</v>
      </c>
      <c r="BN13" s="26" t="s">
        <v>69</v>
      </c>
      <c r="BO13" s="42">
        <v>160</v>
      </c>
      <c r="BP13" s="28">
        <v>1235</v>
      </c>
      <c r="BQ13" s="26"/>
      <c r="BR13" s="26"/>
      <c r="BS13" s="26"/>
      <c r="BT13" s="61"/>
      <c r="BU13" s="28"/>
      <c r="BV13" s="28"/>
      <c r="BW13" s="26"/>
      <c r="BX13" s="26"/>
      <c r="BY13" s="26"/>
      <c r="BZ13" s="26"/>
      <c r="CA13" s="63"/>
      <c r="CB13" s="63"/>
      <c r="CC13" s="27"/>
      <c r="CD13" s="27"/>
      <c r="CE13" s="27"/>
      <c r="CF13" s="27"/>
      <c r="CG13" s="27"/>
      <c r="CH13" s="27"/>
      <c r="CI13" s="26"/>
      <c r="CJ13" s="26"/>
      <c r="CK13" s="26"/>
      <c r="CL13" s="26"/>
      <c r="CM13" s="26"/>
    </row>
    <row r="14" spans="2:91" ht="15.75" customHeight="1">
      <c r="B14" s="58" t="s">
        <v>58</v>
      </c>
      <c r="K14" s="42"/>
      <c r="L14" s="42"/>
      <c r="M14" s="42"/>
      <c r="N14" s="42"/>
      <c r="O14" s="42"/>
      <c r="P14" s="42"/>
      <c r="Q14" s="42" t="s">
        <v>3</v>
      </c>
      <c r="R14" s="542">
        <f>BE28</f>
        <v>570</v>
      </c>
      <c r="S14" s="542"/>
      <c r="T14" s="542"/>
      <c r="U14" s="541" t="s">
        <v>61</v>
      </c>
      <c r="V14" s="541"/>
      <c r="W14" s="59"/>
      <c r="X14" s="65"/>
      <c r="Y14" s="65"/>
      <c r="Z14" s="65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BA14" s="38">
        <f>IF(BP$4=1,"",IF(BP$4=2,BN21,IF(BP$4=3,"",IF(BP$4=4,"",IF(BP$4=5,"")))))</f>
      </c>
      <c r="BN14" s="26"/>
      <c r="BO14" s="42"/>
      <c r="BP14" s="28"/>
      <c r="BQ14" s="26"/>
      <c r="BR14" s="26"/>
      <c r="BS14" s="26"/>
      <c r="BT14" s="61"/>
      <c r="BU14" s="28"/>
      <c r="BV14" s="28"/>
      <c r="BW14" s="26"/>
      <c r="BX14" s="26"/>
      <c r="BY14" s="26"/>
      <c r="BZ14" s="26"/>
      <c r="CA14" s="63"/>
      <c r="CB14" s="63"/>
      <c r="CC14" s="63"/>
      <c r="CD14" s="66"/>
      <c r="CE14" s="66"/>
      <c r="CF14" s="66"/>
      <c r="CG14" s="66"/>
      <c r="CH14" s="67"/>
      <c r="CI14" s="28"/>
      <c r="CJ14" s="26"/>
      <c r="CK14" s="26"/>
      <c r="CL14" s="26"/>
      <c r="CM14" s="26"/>
    </row>
    <row r="15" spans="2:91" ht="15.75" customHeight="1">
      <c r="B15" s="58" t="s">
        <v>59</v>
      </c>
      <c r="K15" s="42"/>
      <c r="L15" s="42"/>
      <c r="M15" s="42"/>
      <c r="N15" s="42"/>
      <c r="O15" s="42"/>
      <c r="P15" s="42"/>
      <c r="Q15" s="42" t="s">
        <v>3</v>
      </c>
      <c r="R15" s="542">
        <f>BF28</f>
        <v>120</v>
      </c>
      <c r="S15" s="542"/>
      <c r="T15" s="542"/>
      <c r="U15" s="541" t="s">
        <v>62</v>
      </c>
      <c r="V15" s="541"/>
      <c r="W15" s="59"/>
      <c r="X15" s="68"/>
      <c r="Y15" s="68"/>
      <c r="Z15" s="26"/>
      <c r="AC15" s="41"/>
      <c r="AD15" s="41"/>
      <c r="AE15" s="41"/>
      <c r="AF15" s="41"/>
      <c r="AG15" s="41"/>
      <c r="AH15" s="41"/>
      <c r="AI15" s="41"/>
      <c r="AJ15" s="69"/>
      <c r="AK15" s="41"/>
      <c r="AL15" s="41"/>
      <c r="BM15" s="38">
        <v>1</v>
      </c>
      <c r="BN15" s="26" t="s">
        <v>70</v>
      </c>
      <c r="BO15" s="28">
        <f>16*4</f>
        <v>64</v>
      </c>
      <c r="BP15" s="28">
        <v>256</v>
      </c>
      <c r="BQ15" s="26"/>
      <c r="BR15" s="26"/>
      <c r="BS15" s="26"/>
      <c r="BT15" s="28"/>
      <c r="BU15" s="28"/>
      <c r="BV15" s="28"/>
      <c r="BW15" s="26"/>
      <c r="BX15" s="26"/>
      <c r="BY15" s="26"/>
      <c r="BZ15" s="26"/>
      <c r="CA15" s="63"/>
      <c r="CB15" s="63"/>
      <c r="CC15" s="63"/>
      <c r="CD15" s="66"/>
      <c r="CE15" s="66"/>
      <c r="CF15" s="66"/>
      <c r="CG15" s="66"/>
      <c r="CH15" s="28"/>
      <c r="CI15" s="28"/>
      <c r="CJ15" s="26"/>
      <c r="CK15" s="26"/>
      <c r="CL15" s="26"/>
      <c r="CM15" s="26"/>
    </row>
    <row r="16" spans="1:91" ht="15.75" customHeight="1">
      <c r="A16" s="26"/>
      <c r="B16" s="58" t="s">
        <v>60</v>
      </c>
      <c r="K16" s="42"/>
      <c r="L16" s="42"/>
      <c r="M16" s="42"/>
      <c r="N16" s="42"/>
      <c r="O16" s="42"/>
      <c r="P16" s="42"/>
      <c r="Q16" s="42" t="s">
        <v>3</v>
      </c>
      <c r="R16" s="554">
        <v>21</v>
      </c>
      <c r="S16" s="554"/>
      <c r="T16" s="554"/>
      <c r="U16" s="541" t="s">
        <v>39</v>
      </c>
      <c r="V16" s="541"/>
      <c r="W16" s="59"/>
      <c r="X16" s="68"/>
      <c r="Y16" s="68"/>
      <c r="Z16" s="26"/>
      <c r="AA16" s="21"/>
      <c r="AB16" s="21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26"/>
      <c r="AN16" s="26"/>
      <c r="AO16" s="26"/>
      <c r="AP16" s="26"/>
      <c r="AQ16" s="26"/>
      <c r="AR16" s="26"/>
      <c r="AS16" s="26"/>
      <c r="AT16" s="26"/>
      <c r="AU16" s="26"/>
      <c r="BA16" s="38" t="s">
        <v>86</v>
      </c>
      <c r="BM16" s="38">
        <v>2</v>
      </c>
      <c r="BN16" s="26" t="s">
        <v>71</v>
      </c>
      <c r="BO16" s="28">
        <v>72</v>
      </c>
      <c r="BP16" s="28">
        <v>324</v>
      </c>
      <c r="BQ16" s="26"/>
      <c r="BR16" s="26"/>
      <c r="BS16" s="26"/>
      <c r="BT16" s="28"/>
      <c r="BU16" s="70"/>
      <c r="BV16" s="26"/>
      <c r="BW16" s="26"/>
      <c r="BX16" s="26"/>
      <c r="BY16" s="26"/>
      <c r="BZ16" s="26"/>
      <c r="CA16" s="63"/>
      <c r="CB16" s="63"/>
      <c r="CC16" s="63"/>
      <c r="CD16" s="66"/>
      <c r="CE16" s="66"/>
      <c r="CF16" s="66"/>
      <c r="CG16" s="66"/>
      <c r="CH16" s="28"/>
      <c r="CI16" s="28"/>
      <c r="CJ16" s="26"/>
      <c r="CK16" s="26"/>
      <c r="CL16" s="26"/>
      <c r="CM16" s="26"/>
    </row>
    <row r="17" spans="1:91" ht="15.75" customHeight="1">
      <c r="A17" s="26"/>
      <c r="B17" s="26"/>
      <c r="R17" s="542"/>
      <c r="S17" s="542"/>
      <c r="T17" s="542"/>
      <c r="V17" s="71"/>
      <c r="W17" s="71"/>
      <c r="X17" s="68"/>
      <c r="Y17" s="68"/>
      <c r="Z17" s="27"/>
      <c r="AA17" s="30"/>
      <c r="AB17" s="30"/>
      <c r="AC17" s="54"/>
      <c r="AD17" s="54"/>
      <c r="AE17" s="54"/>
      <c r="AF17" s="54"/>
      <c r="AG17" s="54"/>
      <c r="AH17" s="54"/>
      <c r="AI17" s="72"/>
      <c r="AJ17" s="72"/>
      <c r="AK17" s="72"/>
      <c r="AL17" s="54"/>
      <c r="AM17" s="26"/>
      <c r="AN17" s="26"/>
      <c r="AO17" s="26"/>
      <c r="AP17" s="26"/>
      <c r="AQ17" s="26"/>
      <c r="AR17" s="26"/>
      <c r="AS17" s="26"/>
      <c r="AT17" s="26"/>
      <c r="AU17" s="26"/>
      <c r="BA17" s="38" t="s">
        <v>87</v>
      </c>
      <c r="BM17" s="38">
        <v>3</v>
      </c>
      <c r="BN17" s="26" t="s">
        <v>72</v>
      </c>
      <c r="BO17" s="28">
        <v>88</v>
      </c>
      <c r="BP17" s="28">
        <v>484</v>
      </c>
      <c r="BQ17" s="26"/>
      <c r="BR17" s="26"/>
      <c r="BS17" s="26"/>
      <c r="BT17" s="61"/>
      <c r="BU17" s="26"/>
      <c r="BV17" s="26"/>
      <c r="BW17" s="26"/>
      <c r="BX17" s="26"/>
      <c r="BY17" s="26"/>
      <c r="BZ17" s="26"/>
      <c r="CA17" s="63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</row>
    <row r="18" spans="1:91" ht="15.75" customHeight="1">
      <c r="A18" s="26"/>
      <c r="B18" s="36" t="s">
        <v>55</v>
      </c>
      <c r="D18" s="26"/>
      <c r="E18" s="26"/>
      <c r="F18" s="26"/>
      <c r="G18" s="26"/>
      <c r="H18" s="26"/>
      <c r="I18" s="26"/>
      <c r="J18" s="22"/>
      <c r="K18" s="27"/>
      <c r="L18" s="27"/>
      <c r="M18" s="27"/>
      <c r="N18" s="27"/>
      <c r="O18" s="27"/>
      <c r="P18" s="27"/>
      <c r="Q18" s="27"/>
      <c r="R18" s="542"/>
      <c r="S18" s="542"/>
      <c r="T18" s="542"/>
      <c r="U18" s="26"/>
      <c r="V18" s="26"/>
      <c r="W18" s="26"/>
      <c r="X18" s="68"/>
      <c r="Y18" s="68"/>
      <c r="Z18" s="26"/>
      <c r="AA18" s="30"/>
      <c r="AB18" s="30"/>
      <c r="AC18" s="54"/>
      <c r="AD18" s="54"/>
      <c r="AE18" s="54"/>
      <c r="AF18" s="54"/>
      <c r="AG18" s="54"/>
      <c r="AH18" s="54"/>
      <c r="AI18" s="72"/>
      <c r="AJ18" s="72"/>
      <c r="AK18" s="72"/>
      <c r="AL18" s="54"/>
      <c r="AM18" s="26"/>
      <c r="AN18" s="26"/>
      <c r="AO18" s="26"/>
      <c r="AP18" s="26"/>
      <c r="AQ18" s="26"/>
      <c r="AR18" s="26"/>
      <c r="AS18" s="26"/>
      <c r="AT18" s="26"/>
      <c r="AU18" s="26"/>
      <c r="BA18" s="38" t="s">
        <v>88</v>
      </c>
      <c r="BM18" s="38">
        <v>4</v>
      </c>
      <c r="BN18" s="26" t="s">
        <v>73</v>
      </c>
      <c r="BO18" s="28">
        <v>104</v>
      </c>
      <c r="BP18" s="28">
        <v>676</v>
      </c>
      <c r="BQ18" s="26"/>
      <c r="BR18" s="28"/>
      <c r="BS18" s="26"/>
      <c r="BT18" s="26"/>
      <c r="BU18" s="26"/>
      <c r="BV18" s="26"/>
      <c r="BW18" s="26"/>
      <c r="BX18" s="26"/>
      <c r="BY18" s="26"/>
      <c r="BZ18" s="26"/>
      <c r="CA18" s="63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</row>
    <row r="19" spans="1:91" ht="15.75" customHeight="1">
      <c r="A19" s="26"/>
      <c r="B19" s="73" t="str">
        <f>IF(R16="","",IF(R16&lt;=7,"ที่ความลึก "&amp;R16&amp;" m. ดินมีแรงฝืด",IF(R16&gt;7,"ความลึก 7 m. แรกดินมีความฝืด")))</f>
        <v>ความลึก 7 m. แรกดินมีความฝืด</v>
      </c>
      <c r="D19" s="26"/>
      <c r="E19" s="26"/>
      <c r="F19" s="26"/>
      <c r="G19" s="26"/>
      <c r="I19" s="73" t="str">
        <f>IF(R16&lt;=7,"= (0.6)X("&amp;ROUND(BC31,3)&amp;")X("&amp;ROUND(BC32,2)&amp;")",IF(R16&gt;7,"= (0.6)X("&amp;ROUND(BC31,3)&amp;")X(7)"))</f>
        <v>= (0.6)X(1.2)X(7)</v>
      </c>
      <c r="J19" s="22"/>
      <c r="K19" s="28"/>
      <c r="L19" s="28"/>
      <c r="M19" s="28"/>
      <c r="N19" s="28"/>
      <c r="O19" s="28"/>
      <c r="P19" s="28"/>
      <c r="Q19" s="28" t="s">
        <v>3</v>
      </c>
      <c r="R19" s="555">
        <f>BC33</f>
        <v>5.04</v>
      </c>
      <c r="S19" s="555"/>
      <c r="T19" s="555"/>
      <c r="U19" s="514" t="s">
        <v>96</v>
      </c>
      <c r="V19" s="514"/>
      <c r="W19" s="26"/>
      <c r="X19" s="68"/>
      <c r="Y19" s="68"/>
      <c r="Z19" s="26"/>
      <c r="AA19" s="30"/>
      <c r="AB19" s="30"/>
      <c r="AC19" s="54"/>
      <c r="AD19" s="54"/>
      <c r="AE19" s="54"/>
      <c r="AF19" s="54"/>
      <c r="AG19" s="54"/>
      <c r="AH19" s="54"/>
      <c r="AI19" s="72"/>
      <c r="AJ19" s="72"/>
      <c r="AK19" s="72"/>
      <c r="AL19" s="54"/>
      <c r="AM19" s="26"/>
      <c r="AN19" s="26"/>
      <c r="AO19" s="26"/>
      <c r="AP19" s="26"/>
      <c r="AQ19" s="26"/>
      <c r="AR19" s="26"/>
      <c r="AS19" s="26"/>
      <c r="AT19" s="26"/>
      <c r="AU19" s="26"/>
      <c r="BA19" s="38" t="s">
        <v>89</v>
      </c>
      <c r="BM19" s="38">
        <v>5</v>
      </c>
      <c r="BN19" s="26" t="s">
        <v>74</v>
      </c>
      <c r="BO19" s="28">
        <v>120</v>
      </c>
      <c r="BP19" s="28">
        <v>900</v>
      </c>
      <c r="BQ19" s="26"/>
      <c r="BR19" s="28"/>
      <c r="BS19" s="26"/>
      <c r="BT19" s="26"/>
      <c r="BU19" s="26"/>
      <c r="BV19" s="26"/>
      <c r="BW19" s="26"/>
      <c r="BX19" s="26"/>
      <c r="BY19" s="26"/>
      <c r="BZ19" s="26"/>
      <c r="CA19" s="63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</row>
    <row r="20" spans="1:91" ht="15.75" customHeight="1">
      <c r="A20" s="26"/>
      <c r="B20" s="52" t="str">
        <f>IF(R16&lt;=7,"",IF(R16&gt;7,"ที่ 7 m. ดินมีความฝืด  =  [ 800 + 200X(0) ] / 1000 "))</f>
        <v>ที่ 7 m. ดินมีความฝืด  =  [ 800 + 200X(0) ] / 1000 </v>
      </c>
      <c r="C20" s="26"/>
      <c r="D20" s="26"/>
      <c r="E20" s="26"/>
      <c r="F20" s="26"/>
      <c r="G20" s="26"/>
      <c r="H20" s="26"/>
      <c r="I20" s="26"/>
      <c r="J20" s="27"/>
      <c r="K20" s="28"/>
      <c r="L20" s="28"/>
      <c r="M20" s="28"/>
      <c r="N20" s="28"/>
      <c r="O20" s="28"/>
      <c r="P20" s="28"/>
      <c r="Q20" s="28" t="str">
        <f>IF($R$16&lt;=7,"",IF($R$16&gt;7,"="))</f>
        <v>=</v>
      </c>
      <c r="R20" s="536">
        <f>IF(R16&lt;=7,"",BC35)</f>
        <v>0.8</v>
      </c>
      <c r="S20" s="536"/>
      <c r="T20" s="536"/>
      <c r="U20" s="514" t="str">
        <f>IF(R16&lt;=7,"","T/m.²")</f>
        <v>T/m.²</v>
      </c>
      <c r="V20" s="514"/>
      <c r="W20" s="26"/>
      <c r="X20" s="68"/>
      <c r="Y20" s="68"/>
      <c r="Z20" s="26"/>
      <c r="AA20" s="30"/>
      <c r="AB20" s="30"/>
      <c r="AC20" s="54"/>
      <c r="AD20" s="54"/>
      <c r="AE20" s="54"/>
      <c r="AF20" s="54"/>
      <c r="AG20" s="54"/>
      <c r="AH20" s="54"/>
      <c r="AI20" s="72"/>
      <c r="AJ20" s="72"/>
      <c r="AK20" s="72"/>
      <c r="AL20" s="54"/>
      <c r="AM20" s="26"/>
      <c r="AN20" s="26"/>
      <c r="AO20" s="26"/>
      <c r="AP20" s="26"/>
      <c r="AQ20" s="26"/>
      <c r="AR20" s="26"/>
      <c r="AS20" s="26"/>
      <c r="AT20" s="26"/>
      <c r="AU20" s="26"/>
      <c r="BA20" s="38" t="s">
        <v>85</v>
      </c>
      <c r="BM20" s="38">
        <v>6</v>
      </c>
      <c r="BN20" s="26" t="s">
        <v>75</v>
      </c>
      <c r="BO20" s="28">
        <v>140</v>
      </c>
      <c r="BP20" s="28">
        <v>1225</v>
      </c>
      <c r="BQ20" s="26"/>
      <c r="BR20" s="28"/>
      <c r="BS20" s="26"/>
      <c r="BT20" s="26"/>
      <c r="BU20" s="26"/>
      <c r="BV20" s="26"/>
      <c r="BW20" s="26"/>
      <c r="BX20" s="26"/>
      <c r="BY20" s="26"/>
      <c r="BZ20" s="26"/>
      <c r="CA20" s="63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</row>
    <row r="21" spans="1:91" ht="15.75" customHeight="1">
      <c r="A21" s="26"/>
      <c r="B21" s="59" t="str">
        <f>IF(R16&lt;=7,"",IF(R16&gt;7,"ที่ "&amp;R16&amp;" m. ดินมีความฝืด  =  [ 800 + 200X("&amp;ROUND(R16,2)&amp;"-7) ] / 1000 "))</f>
        <v>ที่ 21 m. ดินมีความฝืด  =  [ 800 + 200X(21-7) ] / 1000 </v>
      </c>
      <c r="C21" s="30"/>
      <c r="D21" s="30"/>
      <c r="E21" s="30"/>
      <c r="F21" s="30"/>
      <c r="G21" s="30"/>
      <c r="H21" s="30"/>
      <c r="I21" s="30"/>
      <c r="J21" s="30"/>
      <c r="K21" s="28"/>
      <c r="L21" s="28"/>
      <c r="M21" s="28"/>
      <c r="N21" s="28"/>
      <c r="O21" s="28"/>
      <c r="P21" s="28"/>
      <c r="Q21" s="28" t="str">
        <f>IF($R$16&lt;=7,"",IF($R$16&gt;7,"="))</f>
        <v>=</v>
      </c>
      <c r="R21" s="536">
        <f>IF(R16&lt;=7,"",BC36)</f>
        <v>3.6</v>
      </c>
      <c r="S21" s="536"/>
      <c r="T21" s="536"/>
      <c r="U21" s="514" t="str">
        <f>IF(R16&lt;=7,"","T/m.²")</f>
        <v>T/m.²</v>
      </c>
      <c r="V21" s="514"/>
      <c r="W21" s="26"/>
      <c r="X21" s="68"/>
      <c r="Y21" s="68"/>
      <c r="Z21" s="26"/>
      <c r="AA21" s="30"/>
      <c r="AB21" s="30"/>
      <c r="AC21" s="54"/>
      <c r="AD21" s="54"/>
      <c r="AE21" s="54"/>
      <c r="AF21" s="54"/>
      <c r="AG21" s="54"/>
      <c r="AH21" s="54"/>
      <c r="AI21" s="72"/>
      <c r="AJ21" s="72"/>
      <c r="AK21" s="72"/>
      <c r="AL21" s="54"/>
      <c r="AM21" s="26"/>
      <c r="AN21" s="26"/>
      <c r="AO21" s="26"/>
      <c r="AP21" s="26"/>
      <c r="AQ21" s="26"/>
      <c r="AR21" s="26"/>
      <c r="AS21" s="26"/>
      <c r="AT21" s="26"/>
      <c r="AU21" s="26"/>
      <c r="BM21" s="38">
        <v>7</v>
      </c>
      <c r="BN21" s="26" t="s">
        <v>76</v>
      </c>
      <c r="BO21" s="28">
        <v>160</v>
      </c>
      <c r="BP21" s="28">
        <v>1600</v>
      </c>
      <c r="BQ21" s="26"/>
      <c r="BR21" s="28"/>
      <c r="BS21" s="26"/>
      <c r="BT21" s="26"/>
      <c r="BU21" s="26"/>
      <c r="BV21" s="26"/>
      <c r="BW21" s="26"/>
      <c r="BX21" s="26"/>
      <c r="BY21" s="26"/>
      <c r="BZ21" s="26"/>
      <c r="CA21" s="63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</row>
    <row r="22" spans="1:91" ht="15.75" customHeight="1">
      <c r="A22" s="27"/>
      <c r="B22" s="73" t="str">
        <f>IF(R16&lt;=7,"",IF(R16&gt;7,"จาก 7 - "&amp;R16&amp;" m. ดินมีความฝืดเฉลี่ย  =  0.5X[ 0.8+"&amp;ROUND(BC36,2)&amp;" ]"))</f>
        <v>จาก 7 - 21 m. ดินมีความฝืดเฉลี่ย  =  0.5X[ 0.8+3.6 ]</v>
      </c>
      <c r="C22" s="30"/>
      <c r="D22" s="30"/>
      <c r="E22" s="30"/>
      <c r="F22" s="30"/>
      <c r="G22" s="30"/>
      <c r="H22" s="30"/>
      <c r="I22" s="30"/>
      <c r="J22" s="30"/>
      <c r="K22" s="28"/>
      <c r="L22" s="28"/>
      <c r="M22" s="28"/>
      <c r="N22" s="28"/>
      <c r="O22" s="28"/>
      <c r="P22" s="28"/>
      <c r="Q22" s="28" t="str">
        <f>IF($R$16&lt;=7,"",IF($R$16&gt;7,"="))</f>
        <v>=</v>
      </c>
      <c r="R22" s="546">
        <f>IF(R16&lt;=7,"",BC37)</f>
        <v>2.2</v>
      </c>
      <c r="S22" s="546"/>
      <c r="T22" s="546"/>
      <c r="U22" s="514" t="str">
        <f>IF(R16&lt;=7,"","T/m.²")</f>
        <v>T/m.²</v>
      </c>
      <c r="V22" s="514"/>
      <c r="W22" s="26"/>
      <c r="X22" s="68"/>
      <c r="Y22" s="68"/>
      <c r="Z22" s="26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26"/>
      <c r="AN22" s="26"/>
      <c r="AO22" s="26"/>
      <c r="AP22" s="26"/>
      <c r="AQ22" s="26"/>
      <c r="AR22" s="26"/>
      <c r="AS22" s="26"/>
      <c r="AT22" s="26"/>
      <c r="AU22" s="26"/>
      <c r="AZ22" s="38">
        <v>1</v>
      </c>
      <c r="BA22" s="38" t="str">
        <f>VLOOKUP(BN$4,BM8:BP13,2,TRUE)</f>
        <v>I-0.30X0.30</v>
      </c>
      <c r="BE22" s="38">
        <f>VLOOKUP($BN$4,$BM$8:$BP$13,4,TRUE)</f>
        <v>570</v>
      </c>
      <c r="BF22" s="38">
        <f>VLOOKUP($BN$4,$BM$8:$BP$13,3,TRUE)</f>
        <v>120</v>
      </c>
      <c r="BN22" s="26"/>
      <c r="BO22" s="28"/>
      <c r="BP22" s="28"/>
      <c r="BQ22" s="26"/>
      <c r="BR22" s="28"/>
      <c r="BS22" s="26"/>
      <c r="BT22" s="26"/>
      <c r="BU22" s="26"/>
      <c r="BV22" s="26"/>
      <c r="BW22" s="26"/>
      <c r="BX22" s="26"/>
      <c r="BY22" s="26"/>
      <c r="BZ22" s="26"/>
      <c r="CA22" s="63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</row>
    <row r="23" spans="1:91" ht="15.75" customHeight="1">
      <c r="A23" s="27"/>
      <c r="B23" s="73" t="str">
        <f>IF(R16&lt;=7,"",IF(R16&gt;7,"จาก 7 - "&amp;R16&amp;" m. ดินมีแรงฝืด  =  ("&amp;ROUND(BC37,2)&amp;")X("&amp;ROUND(BC31,2)&amp;")X("&amp;ROUND(R16,2)&amp;"-7)"))</f>
        <v>จาก 7 - 21 m. ดินมีแรงฝืด  =  (2.2)X(1.2)X(21-7)</v>
      </c>
      <c r="C23" s="30"/>
      <c r="D23" s="30"/>
      <c r="E23" s="30"/>
      <c r="F23" s="30"/>
      <c r="G23" s="30"/>
      <c r="H23" s="30"/>
      <c r="I23" s="30"/>
      <c r="J23" s="30"/>
      <c r="K23" s="28"/>
      <c r="L23" s="28"/>
      <c r="M23" s="28"/>
      <c r="N23" s="28"/>
      <c r="O23" s="28"/>
      <c r="P23" s="28"/>
      <c r="Q23" s="28" t="str">
        <f>IF($R$16&lt;=7,"",IF($R$16&gt;7,"="))</f>
        <v>=</v>
      </c>
      <c r="R23" s="546">
        <f>IF(R16&lt;=7,"",BC38)</f>
        <v>36.96</v>
      </c>
      <c r="S23" s="546"/>
      <c r="T23" s="546"/>
      <c r="U23" s="514" t="str">
        <f>IF(R16&lt;=7,"","Ton")</f>
        <v>Ton</v>
      </c>
      <c r="V23" s="514"/>
      <c r="W23" s="75"/>
      <c r="X23" s="26"/>
      <c r="Y23" s="26"/>
      <c r="Z23" s="26"/>
      <c r="AC23" s="54"/>
      <c r="AD23" s="54"/>
      <c r="AE23" s="54"/>
      <c r="AF23" s="54"/>
      <c r="AG23" s="54"/>
      <c r="AH23" s="54"/>
      <c r="AI23" s="54"/>
      <c r="AJ23" s="41"/>
      <c r="AK23" s="41"/>
      <c r="AL23" s="41"/>
      <c r="AS23" s="26"/>
      <c r="AT23" s="26"/>
      <c r="AU23" s="26"/>
      <c r="AZ23" s="38">
        <v>2</v>
      </c>
      <c r="BA23" s="38" t="str">
        <f>VLOOKUP(BN$4,BM15:BP21,2,TRUE)</f>
        <v>S-0.26X0.26</v>
      </c>
      <c r="BE23" s="38">
        <f>VLOOKUP($BN$4,$BM$15:$BP$21,4,TRUE)</f>
        <v>676</v>
      </c>
      <c r="BF23" s="38">
        <f>VLOOKUP($BN$4,$BM$15:$BP$21,3,TRUE)</f>
        <v>104</v>
      </c>
      <c r="BM23" s="38">
        <v>1</v>
      </c>
      <c r="BN23" s="26" t="s">
        <v>79</v>
      </c>
      <c r="BO23" s="28">
        <v>160</v>
      </c>
      <c r="BP23" s="28">
        <v>1286</v>
      </c>
      <c r="BQ23" s="26"/>
      <c r="BR23" s="76"/>
      <c r="BS23" s="26"/>
      <c r="BT23" s="26"/>
      <c r="BU23" s="26"/>
      <c r="BV23" s="26"/>
      <c r="BW23" s="26"/>
      <c r="BX23" s="26"/>
      <c r="BY23" s="26"/>
      <c r="BZ23" s="26"/>
      <c r="CA23" s="63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</row>
    <row r="24" spans="1:91" ht="15.75" customHeight="1">
      <c r="A24" s="27"/>
      <c r="B24" s="58" t="str">
        <f>IF(R16&lt;=7,"",IF(R16&gt;7,"รวมแรงฝืดของดิน  P  =  ("&amp;ROUND(BC33,2)&amp;") + ("&amp;ROUND(BC38,2)&amp;")"))</f>
        <v>รวมแรงฝืดของดิน  P  =  (5.04) + (36.96)</v>
      </c>
      <c r="Q24" s="28" t="str">
        <f>IF($R$16&lt;=7,"",IF($R$16&gt;7,"="))</f>
        <v>=</v>
      </c>
      <c r="R24" s="547">
        <f>IF(R16&lt;=7,"",BC39)</f>
        <v>42</v>
      </c>
      <c r="S24" s="547"/>
      <c r="T24" s="547"/>
      <c r="U24" s="514" t="str">
        <f>IF(R16&lt;=7,"","Ton")</f>
        <v>Ton</v>
      </c>
      <c r="V24" s="514"/>
      <c r="W24" s="27"/>
      <c r="X24" s="26"/>
      <c r="Y24" s="26"/>
      <c r="Z24" s="26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6"/>
      <c r="AN24" s="26"/>
      <c r="AO24" s="26"/>
      <c r="AP24" s="26"/>
      <c r="AQ24" s="26"/>
      <c r="AR24" s="26"/>
      <c r="AS24" s="26"/>
      <c r="AT24" s="26"/>
      <c r="AU24" s="26"/>
      <c r="AZ24" s="38">
        <v>3</v>
      </c>
      <c r="BA24" s="38" t="str">
        <f>VLOOKUP(BN$4,BM23:BP24,2,TRUE)</f>
        <v>SO-0.525X0.525</v>
      </c>
      <c r="BE24" s="38">
        <f>VLOOKUP($BN$4,$BM$23:$BP$24,4,TRUE)</f>
        <v>2650</v>
      </c>
      <c r="BF24" s="38">
        <f>VLOOKUP($BN$4,$BM$23:$BP$24,3,TRUE)</f>
        <v>210</v>
      </c>
      <c r="BM24" s="38">
        <v>2</v>
      </c>
      <c r="BN24" s="26" t="s">
        <v>80</v>
      </c>
      <c r="BO24" s="28">
        <v>210</v>
      </c>
      <c r="BP24" s="28">
        <v>2650</v>
      </c>
      <c r="BQ24" s="26"/>
      <c r="BR24" s="76"/>
      <c r="BS24" s="26"/>
      <c r="BT24" s="26"/>
      <c r="BU24" s="26"/>
      <c r="BV24" s="26"/>
      <c r="BW24" s="26"/>
      <c r="BX24" s="26"/>
      <c r="BY24" s="26"/>
      <c r="BZ24" s="26"/>
      <c r="CA24" s="63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</row>
    <row r="25" spans="1:91" ht="15.75" customHeight="1">
      <c r="A25" s="27"/>
      <c r="B25" s="73" t="str">
        <f>"เมื่อเกิดการวิบัติของคอนกรีตเสาเข็ม P = (0.375X"&amp;ROUND(R10,1)&amp;")X("&amp;ROUND(BE28,2)&amp;")"</f>
        <v>เมื่อเกิดการวิบัติของคอนกรีตเสาเข็ม P = (0.375X350)X(570)</v>
      </c>
      <c r="C25" s="30"/>
      <c r="D25" s="30"/>
      <c r="E25" s="30"/>
      <c r="F25" s="30"/>
      <c r="G25" s="30"/>
      <c r="H25" s="30"/>
      <c r="I25" s="30"/>
      <c r="J25" s="30"/>
      <c r="K25" s="28"/>
      <c r="L25" s="28"/>
      <c r="M25" s="28"/>
      <c r="N25" s="28"/>
      <c r="O25" s="28"/>
      <c r="P25" s="28"/>
      <c r="Q25" s="28" t="s">
        <v>3</v>
      </c>
      <c r="R25" s="511">
        <f>(0.375*R10*BE28)/1000</f>
        <v>74.8125</v>
      </c>
      <c r="S25" s="511"/>
      <c r="T25" s="511"/>
      <c r="U25" s="514" t="s">
        <v>96</v>
      </c>
      <c r="V25" s="514"/>
      <c r="W25" s="26"/>
      <c r="X25" s="26"/>
      <c r="Y25" s="26"/>
      <c r="Z25" s="26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26"/>
      <c r="AN25" s="26"/>
      <c r="AO25" s="26"/>
      <c r="AP25" s="26"/>
      <c r="AQ25" s="26"/>
      <c r="AR25" s="26"/>
      <c r="AS25" s="26"/>
      <c r="AT25" s="26"/>
      <c r="AU25" s="26"/>
      <c r="AZ25" s="38">
        <v>4</v>
      </c>
      <c r="BA25" s="38" t="str">
        <f>VLOOKUP(BN$4,BM26:BP26,2,TRUE)</f>
        <v>Hp-0.15X0.15</v>
      </c>
      <c r="BE25" s="38">
        <f>VLOOKUP($BN$4,$BM$26:$BP$26,4,TRUE)</f>
        <v>138</v>
      </c>
      <c r="BF25" s="38">
        <f>VLOOKUP($BN$4,$BM$26:$BP$26,3,TRUE)</f>
        <v>50</v>
      </c>
      <c r="BO25" s="28"/>
      <c r="BP25" s="28"/>
      <c r="BQ25" s="26"/>
      <c r="BR25" s="76"/>
      <c r="BS25" s="26"/>
      <c r="BT25" s="26"/>
      <c r="BU25" s="26"/>
      <c r="BV25" s="26"/>
      <c r="BW25" s="26"/>
      <c r="BX25" s="26"/>
      <c r="BY25" s="26"/>
      <c r="BZ25" s="26"/>
      <c r="CA25" s="63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</row>
    <row r="26" spans="1:91" ht="15.75" customHeight="1">
      <c r="A26" s="27"/>
      <c r="B26" s="73" t="str">
        <f>"เมื่อเกิดการวิบัติของคอนกรีตฐานราก P = (0.375X"&amp;ROUND(R11,1)&amp;")X("&amp;ROUND(BE28,2)&amp;")"</f>
        <v>เมื่อเกิดการวิบัติของคอนกรีตฐานราก P = (0.375X173)X(570)</v>
      </c>
      <c r="C26" s="30"/>
      <c r="D26" s="30"/>
      <c r="E26" s="30"/>
      <c r="F26" s="30"/>
      <c r="G26" s="30"/>
      <c r="H26" s="30"/>
      <c r="I26" s="30"/>
      <c r="J26" s="30"/>
      <c r="K26" s="28"/>
      <c r="L26" s="28"/>
      <c r="M26" s="28"/>
      <c r="N26" s="28"/>
      <c r="O26" s="28"/>
      <c r="P26" s="28"/>
      <c r="Q26" s="28" t="s">
        <v>3</v>
      </c>
      <c r="R26" s="547">
        <f>(0.375*R11*BE28)/1000</f>
        <v>36.97875</v>
      </c>
      <c r="S26" s="547"/>
      <c r="T26" s="547"/>
      <c r="U26" s="514" t="s">
        <v>96</v>
      </c>
      <c r="V26" s="514"/>
      <c r="W26" s="26"/>
      <c r="X26" s="26"/>
      <c r="Y26" s="26"/>
      <c r="Z26" s="26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26"/>
      <c r="AN26" s="26"/>
      <c r="AO26" s="26"/>
      <c r="AP26" s="26"/>
      <c r="AQ26" s="26"/>
      <c r="AR26" s="26"/>
      <c r="AS26" s="26"/>
      <c r="AT26" s="26"/>
      <c r="AU26" s="26"/>
      <c r="AZ26" s="38">
        <v>5</v>
      </c>
      <c r="BA26" s="38" t="str">
        <f>VLOOKUP(BN$4,BM28:BP31,2,TRUE)</f>
        <v>DIA.-0.80</v>
      </c>
      <c r="BE26" s="38">
        <f>VLOOKUP($BN$4,$BM$28:$BP$31,4,TRUE)</f>
        <v>5026.548245743669</v>
      </c>
      <c r="BF26" s="77">
        <f>VLOOKUP($BN$4,$BM$28:$BP$31,3,TRUE)</f>
        <v>251.32741228718345</v>
      </c>
      <c r="BM26" s="38">
        <v>1</v>
      </c>
      <c r="BN26" s="26" t="s">
        <v>81</v>
      </c>
      <c r="BO26" s="28">
        <v>50</v>
      </c>
      <c r="BP26" s="28">
        <v>138</v>
      </c>
      <c r="BQ26" s="26"/>
      <c r="BR26" s="76"/>
      <c r="BS26" s="26"/>
      <c r="BT26" s="26"/>
      <c r="BU26" s="26"/>
      <c r="BV26" s="26"/>
      <c r="BW26" s="26"/>
      <c r="BX26" s="26"/>
      <c r="BY26" s="26"/>
      <c r="BZ26" s="26"/>
      <c r="CA26" s="63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</row>
    <row r="27" spans="1:91" ht="15.75" customHeight="1">
      <c r="A27" s="27"/>
      <c r="B27" s="26"/>
      <c r="C27" s="30"/>
      <c r="D27" s="30"/>
      <c r="E27" s="30"/>
      <c r="F27" s="30"/>
      <c r="G27" s="30"/>
      <c r="H27" s="30"/>
      <c r="I27" s="30"/>
      <c r="J27" s="30"/>
      <c r="K27" s="28"/>
      <c r="L27" s="28"/>
      <c r="M27" s="28"/>
      <c r="N27" s="28"/>
      <c r="O27" s="28"/>
      <c r="P27" s="28"/>
      <c r="Q27" s="28"/>
      <c r="R27" s="545"/>
      <c r="S27" s="545"/>
      <c r="T27" s="545"/>
      <c r="U27" s="27"/>
      <c r="V27" s="26"/>
      <c r="W27" s="26"/>
      <c r="X27" s="26"/>
      <c r="Y27" s="26"/>
      <c r="Z27" s="26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26"/>
      <c r="AN27" s="26"/>
      <c r="AO27" s="26"/>
      <c r="AP27" s="26"/>
      <c r="AQ27" s="26"/>
      <c r="AR27" s="26"/>
      <c r="AS27" s="26"/>
      <c r="AT27" s="26"/>
      <c r="AU27" s="26"/>
      <c r="BN27" s="26"/>
      <c r="BO27" s="28"/>
      <c r="BP27" s="28"/>
      <c r="BQ27" s="26"/>
      <c r="BR27" s="76"/>
      <c r="BS27" s="26"/>
      <c r="BT27" s="26"/>
      <c r="BU27" s="26"/>
      <c r="BV27" s="26"/>
      <c r="BW27" s="26"/>
      <c r="BX27" s="26"/>
      <c r="BY27" s="26"/>
      <c r="BZ27" s="26"/>
      <c r="CA27" s="63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</row>
    <row r="28" spans="1:91" ht="15.75" customHeight="1">
      <c r="A28" s="27"/>
      <c r="B28" s="58" t="s">
        <v>63</v>
      </c>
      <c r="C28" s="30"/>
      <c r="D28" s="30"/>
      <c r="E28" s="30"/>
      <c r="F28" s="30"/>
      <c r="G28" s="30"/>
      <c r="H28" s="30"/>
      <c r="I28" s="30"/>
      <c r="J28" s="30"/>
      <c r="K28" s="28"/>
      <c r="L28" s="28"/>
      <c r="M28" s="28"/>
      <c r="N28" s="28"/>
      <c r="O28" s="28"/>
      <c r="P28" s="28"/>
      <c r="Q28" s="28"/>
      <c r="R28" s="82"/>
      <c r="S28" s="83" t="str">
        <f>BA28&amp;"X"&amp;ROUND(R16,2)&amp;" m."</f>
        <v>I-0.30X0.30X21 m.</v>
      </c>
      <c r="T28" s="82"/>
      <c r="U28" s="27"/>
      <c r="V28" s="27"/>
      <c r="W28" s="27"/>
      <c r="X28" s="74" t="s">
        <v>3</v>
      </c>
      <c r="Y28" s="511">
        <f>IF(R16&lt;=7,MIN(R19,R25,R26),MIN(R24,R25,R26))</f>
        <v>36.97875</v>
      </c>
      <c r="Z28" s="511"/>
      <c r="AA28" s="84" t="s">
        <v>96</v>
      </c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26"/>
      <c r="AN28" s="26"/>
      <c r="AO28" s="26"/>
      <c r="AP28" s="26"/>
      <c r="AQ28" s="26"/>
      <c r="AR28" s="26"/>
      <c r="AS28" s="26"/>
      <c r="AT28" s="26"/>
      <c r="AU28" s="26"/>
      <c r="BA28" s="38" t="str">
        <f>VLOOKUP($BP$4,AZ22:BA26,2,TRUE)</f>
        <v>I-0.30X0.30</v>
      </c>
      <c r="BE28" s="38">
        <f>VLOOKUP($BP$4,AZ22:BE26,6,TRUE)</f>
        <v>570</v>
      </c>
      <c r="BF28" s="38">
        <f>VLOOKUP($BP$4,AZ22:BF26,7,TRUE)</f>
        <v>120</v>
      </c>
      <c r="BM28" s="38">
        <v>1</v>
      </c>
      <c r="BN28" s="78" t="s">
        <v>90</v>
      </c>
      <c r="BO28" s="61">
        <f>PI()*35</f>
        <v>109.95574287564276</v>
      </c>
      <c r="BP28" s="61">
        <f>(PI()*35^2)/4</f>
        <v>962.1127501618741</v>
      </c>
      <c r="BQ28" s="26"/>
      <c r="BR28" s="76"/>
      <c r="BS28" s="26"/>
      <c r="BT28" s="26"/>
      <c r="BU28" s="26"/>
      <c r="BV28" s="26"/>
      <c r="BW28" s="26"/>
      <c r="BX28" s="26"/>
      <c r="BY28" s="26"/>
      <c r="BZ28" s="26"/>
      <c r="CA28" s="63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</row>
    <row r="29" spans="1:91" ht="15.75" customHeight="1">
      <c r="A29" s="27"/>
      <c r="B29" s="26"/>
      <c r="C29" s="30"/>
      <c r="D29" s="30"/>
      <c r="E29" s="30"/>
      <c r="F29" s="30"/>
      <c r="G29" s="30"/>
      <c r="H29" s="30"/>
      <c r="I29" s="30"/>
      <c r="J29" s="30"/>
      <c r="K29" s="28"/>
      <c r="L29" s="28"/>
      <c r="M29" s="28"/>
      <c r="N29" s="28"/>
      <c r="O29" s="28"/>
      <c r="P29" s="28"/>
      <c r="Q29" s="28"/>
      <c r="R29" s="545"/>
      <c r="S29" s="545"/>
      <c r="T29" s="545"/>
      <c r="U29" s="27"/>
      <c r="V29" s="26"/>
      <c r="W29" s="26"/>
      <c r="X29" s="26"/>
      <c r="Y29" s="26"/>
      <c r="Z29" s="26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26"/>
      <c r="AN29" s="26"/>
      <c r="AO29" s="26"/>
      <c r="AP29" s="26"/>
      <c r="AQ29" s="26"/>
      <c r="AR29" s="26"/>
      <c r="AS29" s="26"/>
      <c r="AT29" s="26"/>
      <c r="AU29" s="26"/>
      <c r="BM29" s="38">
        <v>2</v>
      </c>
      <c r="BN29" s="78" t="s">
        <v>91</v>
      </c>
      <c r="BO29" s="61">
        <f>PI()*50</f>
        <v>157.07963267948966</v>
      </c>
      <c r="BP29" s="61">
        <f>(PI()*50^2)/4</f>
        <v>1963.4954084936207</v>
      </c>
      <c r="BQ29" s="26"/>
      <c r="BR29" s="76"/>
      <c r="BS29" s="26"/>
      <c r="BT29" s="26"/>
      <c r="BU29" s="26"/>
      <c r="BV29" s="26"/>
      <c r="BW29" s="26"/>
      <c r="BX29" s="26"/>
      <c r="BY29" s="26"/>
      <c r="BZ29" s="26"/>
      <c r="CA29" s="63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</row>
    <row r="30" spans="1:91" ht="15.75" customHeight="1">
      <c r="A30" s="27"/>
      <c r="W30" s="26"/>
      <c r="X30" s="26"/>
      <c r="Y30" s="26"/>
      <c r="Z30" s="26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26"/>
      <c r="AN30" s="26"/>
      <c r="AO30" s="26"/>
      <c r="AP30" s="26"/>
      <c r="AQ30" s="26"/>
      <c r="AR30" s="26"/>
      <c r="AS30" s="26"/>
      <c r="AT30" s="26"/>
      <c r="AU30" s="26"/>
      <c r="BA30" s="38" t="s">
        <v>94</v>
      </c>
      <c r="BB30" s="42" t="s">
        <v>3</v>
      </c>
      <c r="BC30" s="79">
        <v>0.6</v>
      </c>
      <c r="BD30" s="30"/>
      <c r="BM30" s="38">
        <v>3</v>
      </c>
      <c r="BN30" s="78" t="s">
        <v>92</v>
      </c>
      <c r="BO30" s="61">
        <f>PI()*60</f>
        <v>188.49555921538757</v>
      </c>
      <c r="BP30" s="61">
        <f>(PI()*60^2)/4</f>
        <v>2827.4333882308138</v>
      </c>
      <c r="BQ30" s="26"/>
      <c r="BR30" s="76"/>
      <c r="BS30" s="26"/>
      <c r="BT30" s="26"/>
      <c r="BU30" s="26"/>
      <c r="BV30" s="26"/>
      <c r="BW30" s="26"/>
      <c r="BX30" s="26"/>
      <c r="BY30" s="26"/>
      <c r="BZ30" s="26"/>
      <c r="CA30" s="63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</row>
    <row r="31" spans="1:91" ht="15.75" customHeight="1">
      <c r="A31" s="27"/>
      <c r="W31" s="26"/>
      <c r="X31" s="26"/>
      <c r="Y31" s="26"/>
      <c r="Z31" s="26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26"/>
      <c r="AN31" s="26"/>
      <c r="AO31" s="26"/>
      <c r="AP31" s="26"/>
      <c r="AQ31" s="26"/>
      <c r="AR31" s="26"/>
      <c r="AS31" s="26"/>
      <c r="AT31" s="26"/>
      <c r="AU31" s="26"/>
      <c r="BA31" s="38" t="s">
        <v>83</v>
      </c>
      <c r="BB31" s="42" t="s">
        <v>3</v>
      </c>
      <c r="BC31" s="38">
        <f>R15/100</f>
        <v>1.2</v>
      </c>
      <c r="BD31" s="30"/>
      <c r="BM31" s="38">
        <v>4</v>
      </c>
      <c r="BN31" s="78" t="s">
        <v>93</v>
      </c>
      <c r="BO31" s="61">
        <f>PI()*80</f>
        <v>251.32741228718345</v>
      </c>
      <c r="BP31" s="61">
        <f>(PI()*80^2)/4</f>
        <v>5026.548245743669</v>
      </c>
      <c r="BQ31" s="26"/>
      <c r="BR31" s="76"/>
      <c r="BS31" s="26"/>
      <c r="BT31" s="26"/>
      <c r="BU31" s="26"/>
      <c r="BV31" s="26"/>
      <c r="BW31" s="26"/>
      <c r="BX31" s="26"/>
      <c r="BY31" s="26"/>
      <c r="BZ31" s="26"/>
      <c r="CA31" s="63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</row>
    <row r="32" spans="1:91" ht="15.75" customHeight="1">
      <c r="A32" s="27"/>
      <c r="X32" s="80"/>
      <c r="Y32" s="8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26"/>
      <c r="AN32" s="26"/>
      <c r="AO32" s="26"/>
      <c r="AP32" s="26"/>
      <c r="AQ32" s="26"/>
      <c r="AR32" s="26"/>
      <c r="AS32" s="26"/>
      <c r="AT32" s="26"/>
      <c r="AU32" s="26"/>
      <c r="BA32" s="38" t="s">
        <v>95</v>
      </c>
      <c r="BB32" s="42" t="s">
        <v>3</v>
      </c>
      <c r="BC32" s="81">
        <f>BE32</f>
        <v>7</v>
      </c>
      <c r="BD32" s="30"/>
      <c r="BE32" s="38">
        <f>IF(R16&gt;=7,7,IF(R16&lt;7,R16))</f>
        <v>7</v>
      </c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63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</row>
    <row r="33" spans="1:91" ht="15.75" customHeight="1">
      <c r="A33" s="27"/>
      <c r="B33" s="26"/>
      <c r="C33" s="30"/>
      <c r="D33" s="30"/>
      <c r="E33" s="30"/>
      <c r="F33" s="30"/>
      <c r="G33" s="30"/>
      <c r="H33" s="30"/>
      <c r="I33" s="30"/>
      <c r="J33" s="30"/>
      <c r="K33" s="28"/>
      <c r="L33" s="28"/>
      <c r="M33" s="28"/>
      <c r="N33" s="28"/>
      <c r="O33" s="28"/>
      <c r="P33" s="28"/>
      <c r="Q33" s="28"/>
      <c r="R33" s="30"/>
      <c r="S33" s="30"/>
      <c r="T33" s="30"/>
      <c r="U33" s="27"/>
      <c r="V33" s="26"/>
      <c r="X33" s="80"/>
      <c r="Y33" s="80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26"/>
      <c r="AN33" s="26"/>
      <c r="AO33" s="26"/>
      <c r="AP33" s="26"/>
      <c r="AQ33" s="26"/>
      <c r="AR33" s="26"/>
      <c r="AS33" s="26"/>
      <c r="AT33" s="26"/>
      <c r="AU33" s="26"/>
      <c r="BC33" s="38">
        <f>(BC30*BC31*BC32)</f>
        <v>5.04</v>
      </c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63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</row>
    <row r="34" spans="1:91" ht="15.75" customHeight="1">
      <c r="A34" s="27"/>
      <c r="W34" s="27"/>
      <c r="X34" s="80"/>
      <c r="Y34" s="80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26"/>
      <c r="AN34" s="26"/>
      <c r="AO34" s="26"/>
      <c r="AP34" s="26"/>
      <c r="AQ34" s="26"/>
      <c r="AR34" s="26"/>
      <c r="AS34" s="26"/>
      <c r="AT34" s="26"/>
      <c r="AU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63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</row>
    <row r="35" spans="1:91" ht="15.75" customHeight="1">
      <c r="A35" s="27"/>
      <c r="C35" s="30"/>
      <c r="D35" s="30"/>
      <c r="E35" s="30"/>
      <c r="F35" s="30"/>
      <c r="G35" s="30"/>
      <c r="H35" s="30"/>
      <c r="I35" s="30"/>
      <c r="J35" s="30"/>
      <c r="K35" s="28"/>
      <c r="L35" s="28"/>
      <c r="M35" s="28"/>
      <c r="N35" s="28"/>
      <c r="O35" s="28"/>
      <c r="P35" s="28"/>
      <c r="Q35" s="28"/>
      <c r="R35" s="82"/>
      <c r="S35" s="82"/>
      <c r="T35" s="82"/>
      <c r="U35" s="27"/>
      <c r="V35" s="27"/>
      <c r="W35" s="27"/>
      <c r="X35" s="80"/>
      <c r="Y35" s="80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26"/>
      <c r="AN35" s="26"/>
      <c r="AO35" s="26"/>
      <c r="AP35" s="26"/>
      <c r="AQ35" s="26"/>
      <c r="AR35" s="26"/>
      <c r="AS35" s="26"/>
      <c r="AT35" s="26"/>
      <c r="AU35" s="26"/>
      <c r="BC35" s="38">
        <f>(800+(200*0))/1000</f>
        <v>0.8</v>
      </c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63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</row>
    <row r="36" spans="1:91" ht="15.75" customHeight="1">
      <c r="A36" s="27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26"/>
      <c r="AN36" s="26"/>
      <c r="AO36" s="26"/>
      <c r="AP36" s="26"/>
      <c r="AQ36" s="26"/>
      <c r="AR36" s="26"/>
      <c r="AS36" s="26"/>
      <c r="AT36" s="26"/>
      <c r="AU36" s="26"/>
      <c r="BC36" s="38">
        <f>(800+(200*(R16-7)))/1000</f>
        <v>3.6</v>
      </c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63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</row>
    <row r="37" spans="1:91" ht="15.75" customHeight="1">
      <c r="A37" s="27"/>
      <c r="W37" s="27"/>
      <c r="X37" s="80"/>
      <c r="Y37" s="80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26"/>
      <c r="AN37" s="26"/>
      <c r="AO37" s="26"/>
      <c r="AP37" s="26"/>
      <c r="AQ37" s="26"/>
      <c r="AR37" s="26"/>
      <c r="AS37" s="26"/>
      <c r="AT37" s="26"/>
      <c r="AU37" s="26"/>
      <c r="BC37" s="38">
        <f>0.5*(BC35+BC36)</f>
        <v>2.2</v>
      </c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63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</row>
    <row r="38" spans="1:91" ht="15.75" customHeight="1">
      <c r="A38" s="26"/>
      <c r="Q38" s="42"/>
      <c r="S38" s="84"/>
      <c r="T38" s="84"/>
      <c r="U38" s="514"/>
      <c r="V38" s="514"/>
      <c r="W38" s="27"/>
      <c r="Z38" s="26"/>
      <c r="AA38" s="26"/>
      <c r="AB38" s="26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26"/>
      <c r="AN38" s="26"/>
      <c r="AO38" s="26"/>
      <c r="AP38" s="26"/>
      <c r="AQ38" s="26"/>
      <c r="AR38" s="26"/>
      <c r="AS38" s="26"/>
      <c r="AT38" s="26"/>
      <c r="AU38" s="26"/>
      <c r="BC38" s="38">
        <f>BC37*BC31*(R16-7)</f>
        <v>36.96</v>
      </c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63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</row>
    <row r="39" spans="1:91" ht="15.75" customHeight="1">
      <c r="A39" s="26"/>
      <c r="C39" s="30"/>
      <c r="D39" s="30"/>
      <c r="E39" s="30"/>
      <c r="F39" s="30"/>
      <c r="G39" s="30"/>
      <c r="H39" s="30"/>
      <c r="I39" s="30"/>
      <c r="J39" s="30"/>
      <c r="K39" s="28"/>
      <c r="L39" s="28"/>
      <c r="M39" s="28"/>
      <c r="N39" s="28"/>
      <c r="O39" s="28"/>
      <c r="P39" s="28"/>
      <c r="Q39" s="28"/>
      <c r="R39" s="82"/>
      <c r="S39" s="82"/>
      <c r="T39" s="82"/>
      <c r="U39" s="27"/>
      <c r="V39" s="27"/>
      <c r="W39" s="27"/>
      <c r="X39" s="26"/>
      <c r="Y39" s="26"/>
      <c r="Z39" s="26"/>
      <c r="AA39" s="26"/>
      <c r="AB39" s="26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26"/>
      <c r="AN39" s="26"/>
      <c r="AO39" s="26"/>
      <c r="AP39" s="26"/>
      <c r="AQ39" s="26"/>
      <c r="AR39" s="26"/>
      <c r="AS39" s="26"/>
      <c r="AT39" s="26"/>
      <c r="AU39" s="26"/>
      <c r="BC39" s="77">
        <f>BC33+BC38</f>
        <v>42</v>
      </c>
      <c r="BN39" s="26"/>
      <c r="BO39" s="26"/>
      <c r="BP39" s="26"/>
      <c r="BQ39" s="26"/>
      <c r="BR39" s="26"/>
      <c r="BS39" s="26"/>
      <c r="BT39" s="85"/>
      <c r="BU39" s="86"/>
      <c r="BV39" s="86"/>
      <c r="BW39" s="26"/>
      <c r="BX39" s="26"/>
      <c r="BY39" s="26"/>
      <c r="BZ39" s="26"/>
      <c r="CA39" s="63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</row>
    <row r="40" spans="1:91" ht="15.75" customHeight="1">
      <c r="A40" s="26"/>
      <c r="B40" s="30"/>
      <c r="C40" s="30"/>
      <c r="D40" s="30"/>
      <c r="E40" s="30"/>
      <c r="F40" s="30"/>
      <c r="G40" s="30"/>
      <c r="H40" s="30"/>
      <c r="I40" s="30"/>
      <c r="J40" s="30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  <c r="X40" s="26"/>
      <c r="Y40" s="26"/>
      <c r="Z40" s="26"/>
      <c r="AA40" s="26"/>
      <c r="AB40" s="26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26"/>
      <c r="AN40" s="26"/>
      <c r="AO40" s="26"/>
      <c r="AP40" s="26"/>
      <c r="AQ40" s="26"/>
      <c r="AR40" s="26"/>
      <c r="AS40" s="26"/>
      <c r="AT40" s="26"/>
      <c r="AU40" s="26"/>
      <c r="BN40" s="26"/>
      <c r="BO40" s="26"/>
      <c r="BP40" s="26"/>
      <c r="BQ40" s="26"/>
      <c r="BR40" s="26"/>
      <c r="BS40" s="26"/>
      <c r="BT40" s="85"/>
      <c r="BU40" s="86"/>
      <c r="BV40" s="86"/>
      <c r="BW40" s="26"/>
      <c r="BX40" s="26"/>
      <c r="BY40" s="26"/>
      <c r="BZ40" s="26"/>
      <c r="CA40" s="63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</row>
    <row r="41" spans="1:91" ht="15.75" customHeight="1">
      <c r="A41" s="27"/>
      <c r="B41" s="87"/>
      <c r="C41" s="26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88"/>
      <c r="AD41" s="88"/>
      <c r="AE41" s="88"/>
      <c r="AF41" s="88"/>
      <c r="AG41" s="88"/>
      <c r="AH41" s="88"/>
      <c r="AI41" s="54"/>
      <c r="AJ41" s="54"/>
      <c r="AK41" s="54"/>
      <c r="AL41" s="54"/>
      <c r="AM41" s="26"/>
      <c r="AN41" s="26"/>
      <c r="AO41" s="26"/>
      <c r="AP41" s="26"/>
      <c r="AQ41" s="26"/>
      <c r="AR41" s="26"/>
      <c r="AS41" s="26"/>
      <c r="AT41" s="26"/>
      <c r="AU41" s="26"/>
      <c r="BN41" s="26"/>
      <c r="BO41" s="26"/>
      <c r="BP41" s="26"/>
      <c r="BQ41" s="26"/>
      <c r="BR41" s="26"/>
      <c r="BS41" s="26"/>
      <c r="BT41" s="85"/>
      <c r="BU41" s="86"/>
      <c r="BV41" s="86"/>
      <c r="BW41" s="26"/>
      <c r="BX41" s="26"/>
      <c r="BY41" s="26"/>
      <c r="BZ41" s="26"/>
      <c r="CA41" s="63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</row>
    <row r="42" spans="1:91" ht="15.75" customHeight="1">
      <c r="A42" s="27"/>
      <c r="B42" s="26"/>
      <c r="C42" s="26"/>
      <c r="D42" s="26"/>
      <c r="E42" s="29"/>
      <c r="F42" s="29"/>
      <c r="G42" s="29"/>
      <c r="H42" s="29"/>
      <c r="I42" s="65"/>
      <c r="J42" s="65"/>
      <c r="K42" s="89"/>
      <c r="L42" s="89"/>
      <c r="M42" s="89"/>
      <c r="N42" s="89"/>
      <c r="O42" s="89"/>
      <c r="P42" s="89"/>
      <c r="Q42" s="89"/>
      <c r="R42" s="90"/>
      <c r="S42" s="90"/>
      <c r="T42" s="91"/>
      <c r="U42" s="27"/>
      <c r="V42" s="27"/>
      <c r="W42" s="27"/>
      <c r="X42" s="90"/>
      <c r="Y42" s="90"/>
      <c r="Z42" s="90"/>
      <c r="AA42" s="27"/>
      <c r="AB42" s="27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26"/>
      <c r="AN42" s="26"/>
      <c r="AO42" s="26"/>
      <c r="AP42" s="26"/>
      <c r="AQ42" s="26"/>
      <c r="AR42" s="26"/>
      <c r="AS42" s="26"/>
      <c r="AT42" s="26"/>
      <c r="AU42" s="26"/>
      <c r="BN42" s="26"/>
      <c r="BO42" s="26"/>
      <c r="BP42" s="26"/>
      <c r="BQ42" s="26"/>
      <c r="BR42" s="26"/>
      <c r="BS42" s="26"/>
      <c r="BT42" s="85"/>
      <c r="BU42" s="86"/>
      <c r="BV42" s="86"/>
      <c r="BW42" s="26"/>
      <c r="BX42" s="26"/>
      <c r="BY42" s="26"/>
      <c r="BZ42" s="92"/>
      <c r="CA42" s="63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</row>
    <row r="43" spans="1:91" ht="15.75" customHeight="1">
      <c r="A43" s="26"/>
      <c r="B43" s="26"/>
      <c r="C43" s="26"/>
      <c r="D43" s="26"/>
      <c r="E43" s="29"/>
      <c r="F43" s="29"/>
      <c r="G43" s="29"/>
      <c r="H43" s="29"/>
      <c r="I43" s="65"/>
      <c r="J43" s="65"/>
      <c r="K43" s="89"/>
      <c r="L43" s="89"/>
      <c r="M43" s="89"/>
      <c r="N43" s="89"/>
      <c r="O43" s="89"/>
      <c r="P43" s="89"/>
      <c r="Q43" s="89"/>
      <c r="R43" s="90"/>
      <c r="S43" s="90"/>
      <c r="T43" s="91"/>
      <c r="U43" s="91"/>
      <c r="V43" s="27"/>
      <c r="W43" s="27"/>
      <c r="X43" s="90"/>
      <c r="Y43" s="90"/>
      <c r="Z43" s="90"/>
      <c r="AA43" s="27"/>
      <c r="AB43" s="27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26"/>
      <c r="AN43" s="26"/>
      <c r="AO43" s="26"/>
      <c r="AP43" s="26"/>
      <c r="AQ43" s="26"/>
      <c r="AR43" s="26"/>
      <c r="AS43" s="26"/>
      <c r="AT43" s="26"/>
      <c r="AU43" s="26"/>
      <c r="BN43" s="26"/>
      <c r="BO43" s="26"/>
      <c r="BP43" s="26"/>
      <c r="BQ43" s="26"/>
      <c r="BR43" s="26"/>
      <c r="BS43" s="26"/>
      <c r="BT43" s="85"/>
      <c r="BU43" s="86"/>
      <c r="BV43" s="86"/>
      <c r="BW43" s="26"/>
      <c r="BX43" s="93"/>
      <c r="BY43" s="26"/>
      <c r="BZ43" s="8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</row>
    <row r="44" spans="1:47" ht="15.75" customHeight="1">
      <c r="A44" s="94"/>
      <c r="B44" s="94"/>
      <c r="C44" s="94"/>
      <c r="D44" s="94"/>
      <c r="E44" s="94"/>
      <c r="F44" s="94"/>
      <c r="G44" s="26"/>
      <c r="H44" s="26"/>
      <c r="I44" s="26"/>
      <c r="J44" s="28"/>
      <c r="K44" s="28"/>
      <c r="L44" s="28"/>
      <c r="M44" s="28"/>
      <c r="N44" s="28"/>
      <c r="O44" s="28"/>
      <c r="P44" s="28"/>
      <c r="Q44" s="28"/>
      <c r="R44" s="24"/>
      <c r="S44" s="24"/>
      <c r="T44" s="25"/>
      <c r="U44" s="25"/>
      <c r="V44" s="25"/>
      <c r="W44" s="28"/>
      <c r="X44" s="27"/>
      <c r="Y44" s="27"/>
      <c r="Z44" s="27"/>
      <c r="AA44" s="27"/>
      <c r="AB44" s="27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ht="15.75" customHeight="1">
      <c r="A45" s="26"/>
      <c r="B45" s="27"/>
      <c r="C45" s="26"/>
      <c r="D45" s="26"/>
      <c r="E45" s="26"/>
      <c r="F45" s="26"/>
      <c r="G45" s="26"/>
      <c r="H45" s="26"/>
      <c r="I45" s="26"/>
      <c r="J45" s="28"/>
      <c r="K45" s="28"/>
      <c r="L45" s="28"/>
      <c r="M45" s="28"/>
      <c r="N45" s="28"/>
      <c r="O45" s="28"/>
      <c r="P45" s="28"/>
      <c r="Q45" s="28"/>
      <c r="R45" s="29"/>
      <c r="S45" s="29"/>
      <c r="T45" s="29"/>
      <c r="U45" s="27"/>
      <c r="V45" s="30"/>
      <c r="W45" s="30"/>
      <c r="X45" s="26"/>
      <c r="Y45" s="27"/>
      <c r="Z45" s="27"/>
      <c r="AA45" s="27"/>
      <c r="AB45" s="27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2:47" ht="15.7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2:47" ht="15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2:47" ht="15.75" customHeight="1">
      <c r="B48" s="26"/>
      <c r="C48" s="26"/>
      <c r="D48" s="26"/>
      <c r="E48" s="26"/>
      <c r="F48" s="26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26"/>
      <c r="U48" s="26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ht="15.75" customHeight="1" thickBot="1">
      <c r="B49" s="26"/>
      <c r="C49" s="26"/>
      <c r="D49" s="26"/>
      <c r="E49" s="26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26"/>
      <c r="U49" s="26"/>
      <c r="V49" s="31"/>
      <c r="W49" s="31"/>
      <c r="X49" s="27"/>
      <c r="Y49" s="27"/>
      <c r="Z49" s="27"/>
      <c r="AA49" s="27"/>
      <c r="AB49" s="27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5:48" ht="15.75" customHeight="1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V50" s="512" t="str">
        <f>Cover!D10</f>
        <v>สมมุติ</v>
      </c>
      <c r="W50" s="512"/>
      <c r="X50" s="512"/>
      <c r="Y50" s="512"/>
      <c r="Z50" s="512"/>
      <c r="AA50" s="512"/>
      <c r="AB50" s="32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22:62" ht="15.75" customHeight="1">
      <c r="V51" s="513" t="str">
        <f>Cover!H10</f>
        <v>สย.0000</v>
      </c>
      <c r="W51" s="513"/>
      <c r="X51" s="513"/>
      <c r="Y51" s="513"/>
      <c r="Z51" s="513"/>
      <c r="AA51" s="513"/>
      <c r="AB51" s="32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BH51" s="95"/>
      <c r="BI51" s="95"/>
      <c r="BJ51" s="95"/>
    </row>
    <row r="52" spans="1:48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8"/>
      <c r="L52" s="28"/>
      <c r="M52" s="28"/>
      <c r="N52" s="28"/>
      <c r="O52" s="28"/>
      <c r="P52" s="28"/>
      <c r="Q52" s="28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</row>
    <row r="53" spans="1:63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8"/>
      <c r="L53" s="28"/>
      <c r="M53" s="28"/>
      <c r="N53" s="28"/>
      <c r="O53" s="28"/>
      <c r="P53" s="28"/>
      <c r="Q53" s="28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BH53" s="95"/>
      <c r="BI53" s="95"/>
      <c r="BJ53" s="95"/>
      <c r="BK53" s="95"/>
    </row>
    <row r="54" spans="1:65" ht="15.75" customHeight="1">
      <c r="A54" s="26"/>
      <c r="B54" s="26"/>
      <c r="C54" s="33"/>
      <c r="D54" s="33"/>
      <c r="E54" s="33"/>
      <c r="F54" s="33"/>
      <c r="G54" s="26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7"/>
      <c r="AA54" s="34"/>
      <c r="AB54" s="27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BI54" s="75"/>
      <c r="BJ54" s="75"/>
      <c r="BK54" s="75"/>
      <c r="BL54" s="75"/>
      <c r="BM54" s="75"/>
    </row>
    <row r="55" spans="1:47" ht="15.75" customHeight="1">
      <c r="A55" s="26"/>
      <c r="B55" s="35"/>
      <c r="C55" s="36"/>
      <c r="D55" s="35"/>
      <c r="E55" s="35"/>
      <c r="F55" s="35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37"/>
      <c r="T55" s="27"/>
      <c r="U55" s="27"/>
      <c r="V55" s="27"/>
      <c r="W55" s="27"/>
      <c r="X55" s="27"/>
      <c r="Y55" s="27"/>
      <c r="Z55" s="27"/>
      <c r="AA55" s="34"/>
      <c r="AB55" s="27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28" ht="15.75" customHeight="1">
      <c r="A56" s="26"/>
      <c r="B56" s="26"/>
      <c r="C56" s="26"/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6"/>
    </row>
    <row r="57" spans="1:28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  <c r="U57" s="27"/>
      <c r="V57" s="26"/>
      <c r="W57" s="26"/>
      <c r="X57" s="26"/>
      <c r="Y57" s="26"/>
      <c r="Z57" s="26"/>
      <c r="AA57" s="26"/>
      <c r="AB57" s="26"/>
    </row>
    <row r="58" spans="1:28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7"/>
      <c r="U58" s="27"/>
      <c r="V58" s="26"/>
      <c r="W58" s="26"/>
      <c r="X58" s="26"/>
      <c r="Y58" s="26"/>
      <c r="Z58" s="26"/>
      <c r="AA58" s="26"/>
      <c r="AB58" s="26"/>
    </row>
    <row r="60" spans="8:22" ht="15.75" customHeight="1"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</sheetData>
  <sheetProtection/>
  <mergeCells count="46">
    <mergeCell ref="AC9:AE9"/>
    <mergeCell ref="AC10:AE10"/>
    <mergeCell ref="U26:V26"/>
    <mergeCell ref="R15:T15"/>
    <mergeCell ref="R16:T16"/>
    <mergeCell ref="R17:T17"/>
    <mergeCell ref="R18:T18"/>
    <mergeCell ref="R19:T19"/>
    <mergeCell ref="R20:T20"/>
    <mergeCell ref="R22:T22"/>
    <mergeCell ref="U16:V16"/>
    <mergeCell ref="R27:T27"/>
    <mergeCell ref="R23:T23"/>
    <mergeCell ref="R29:T29"/>
    <mergeCell ref="R24:T24"/>
    <mergeCell ref="R26:T26"/>
    <mergeCell ref="R25:T25"/>
    <mergeCell ref="E5:V5"/>
    <mergeCell ref="B7:AA7"/>
    <mergeCell ref="R9:T9"/>
    <mergeCell ref="U10:V10"/>
    <mergeCell ref="U11:V11"/>
    <mergeCell ref="R14:T14"/>
    <mergeCell ref="U15:V15"/>
    <mergeCell ref="U14:V14"/>
    <mergeCell ref="R11:T11"/>
    <mergeCell ref="Y3:AA3"/>
    <mergeCell ref="E4:V4"/>
    <mergeCell ref="W4:X4"/>
    <mergeCell ref="R21:T21"/>
    <mergeCell ref="U19:V19"/>
    <mergeCell ref="U20:V20"/>
    <mergeCell ref="E3:V3"/>
    <mergeCell ref="W3:X3"/>
    <mergeCell ref="R12:T12"/>
    <mergeCell ref="R10:T10"/>
    <mergeCell ref="AC11:AK11"/>
    <mergeCell ref="Y28:Z28"/>
    <mergeCell ref="V50:AA50"/>
    <mergeCell ref="V51:AA51"/>
    <mergeCell ref="U21:V21"/>
    <mergeCell ref="U22:V22"/>
    <mergeCell ref="U23:V23"/>
    <mergeCell ref="U24:V24"/>
    <mergeCell ref="U38:V38"/>
    <mergeCell ref="U25:V25"/>
  </mergeCells>
  <conditionalFormatting sqref="V45:W45">
    <cfRule type="expression" priority="1" dxfId="0" stopIfTrue="1">
      <formula>IF($R$45&gt;#REF!,1)</formula>
    </cfRule>
  </conditionalFormatting>
  <conditionalFormatting sqref="W44">
    <cfRule type="expression" priority="2" dxfId="0" stopIfTrue="1">
      <formula>IF(#REF!&lt;#REF!,1)</formula>
    </cfRule>
  </conditionalFormatting>
  <conditionalFormatting sqref="X42:Z42">
    <cfRule type="expression" priority="3" dxfId="0" stopIfTrue="1">
      <formula>IF(#REF!&gt;#REF!,1)</formula>
    </cfRule>
  </conditionalFormatting>
  <conditionalFormatting sqref="X43:Z43">
    <cfRule type="expression" priority="4" dxfId="0" stopIfTrue="1">
      <formula>IF(#REF!&gt;#REF!,1)</formula>
    </cfRule>
  </conditionalFormatting>
  <conditionalFormatting sqref="V42:W42">
    <cfRule type="expression" priority="5" dxfId="0" stopIfTrue="1">
      <formula>IF($E$42&gt;=$T$42,1)</formula>
    </cfRule>
  </conditionalFormatting>
  <conditionalFormatting sqref="V43:W43">
    <cfRule type="expression" priority="6" dxfId="0" stopIfTrue="1">
      <formula>IF($E$43&gt;$T$43,1)</formula>
    </cfRule>
  </conditionalFormatting>
  <conditionalFormatting sqref="R45:T45">
    <cfRule type="cellIs" priority="7" dxfId="0" operator="greaterThan" stopIfTrue="1">
      <formula>#REF!</formula>
    </cfRule>
  </conditionalFormatting>
  <conditionalFormatting sqref="R44:T44">
    <cfRule type="cellIs" priority="8" dxfId="0" operator="lessThan" stopIfTrue="1">
      <formula>#REF!</formula>
    </cfRule>
  </conditionalFormatting>
  <conditionalFormatting sqref="T42:U42">
    <cfRule type="cellIs" priority="9" dxfId="0" operator="lessThan" stopIfTrue="1">
      <formula>$E$42</formula>
    </cfRule>
  </conditionalFormatting>
  <conditionalFormatting sqref="T43:U43">
    <cfRule type="cellIs" priority="10" dxfId="0" operator="lessThan" stopIfTrue="1">
      <formula>$E$43</formula>
    </cfRule>
  </conditionalFormatting>
  <dataValidations count="3">
    <dataValidation type="list" allowBlank="1" showInputMessage="1" showErrorMessage="1" sqref="R12:T12">
      <formula1>"เสาเข็มตอก,เสาเข็มเจาะ"</formula1>
    </dataValidation>
    <dataValidation type="list" allowBlank="1" showInputMessage="1" sqref="R10:T11">
      <formula1>"173,210,240,280,320,380"</formula1>
    </dataValidation>
    <dataValidation type="list" allowBlank="1" showInputMessage="1" sqref="R16:T16">
      <formula1>"3,4,5,6,11,16,18,21,24,28"</formula1>
    </dataValidation>
  </dataValidations>
  <printOptions/>
  <pageMargins left="0.35433070866141736" right="0.1968503937007874" top="0.3937007874015748" bottom="0.1968503937007874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CP67"/>
  <sheetViews>
    <sheetView tabSelected="1" zoomScaleSheetLayoutView="50" workbookViewId="0" topLeftCell="A1">
      <selection activeCell="L29" sqref="L29:N29"/>
    </sheetView>
  </sheetViews>
  <sheetFormatPr defaultColWidth="9.140625" defaultRowHeight="15.75" customHeight="1"/>
  <cols>
    <col min="1" max="28" width="3.57421875" style="98" customWidth="1"/>
    <col min="29" max="38" width="3.57421875" style="38" customWidth="1"/>
    <col min="39" max="47" width="3.57421875" style="321" customWidth="1"/>
    <col min="48" max="61" width="3.57421875" style="154" customWidth="1"/>
    <col min="62" max="62" width="13.00390625" style="154" customWidth="1"/>
    <col min="63" max="63" width="8.8515625" style="154" bestFit="1" customWidth="1"/>
    <col min="64" max="64" width="5.8515625" style="154" bestFit="1" customWidth="1"/>
    <col min="65" max="72" width="9.7109375" style="154" customWidth="1"/>
    <col min="73" max="73" width="14.57421875" style="154" bestFit="1" customWidth="1"/>
    <col min="74" max="76" width="10.7109375" style="154" customWidth="1"/>
    <col min="77" max="109" width="9.7109375" style="155" customWidth="1"/>
    <col min="110" max="126" width="9.7109375" style="322" customWidth="1"/>
    <col min="127" max="129" width="3.57421875" style="322" customWidth="1"/>
    <col min="130" max="16384" width="3.57421875" style="98" customWidth="1"/>
  </cols>
  <sheetData>
    <row r="1" spans="2:40" ht="15.75" customHeight="1" thickBot="1">
      <c r="B1" s="99"/>
      <c r="C1" s="99"/>
      <c r="D1" s="99"/>
      <c r="E1" s="99"/>
      <c r="F1" s="99"/>
      <c r="G1" s="99"/>
      <c r="H1" s="99"/>
      <c r="I1" s="99"/>
      <c r="J1" s="99"/>
      <c r="K1" s="100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>
        <f>IF(AC10="","",AC10)</f>
      </c>
      <c r="AB1" s="10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336"/>
      <c r="AN1" s="336"/>
    </row>
    <row r="2" spans="11:40" ht="9.75" customHeight="1" thickBot="1">
      <c r="K2" s="102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336"/>
      <c r="AN2" s="336"/>
    </row>
    <row r="3" spans="2:94" ht="15.75" customHeight="1">
      <c r="B3" s="103" t="s">
        <v>0</v>
      </c>
      <c r="E3" s="569" t="str">
        <f>Cover!A6</f>
        <v>อาคารพาณิชย์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1"/>
      <c r="U3" s="580" t="s">
        <v>33</v>
      </c>
      <c r="V3" s="580"/>
      <c r="W3" s="580"/>
      <c r="X3" s="581"/>
      <c r="Y3" s="572">
        <f ca="1">TODAY()</f>
        <v>40280</v>
      </c>
      <c r="Z3" s="573"/>
      <c r="AA3" s="574"/>
      <c r="AB3" s="104"/>
      <c r="AC3" s="44" t="s">
        <v>5</v>
      </c>
      <c r="AD3" s="45"/>
      <c r="AE3" s="45"/>
      <c r="AF3" s="46"/>
      <c r="AG3" s="46"/>
      <c r="AH3" s="46"/>
      <c r="AI3" s="46"/>
      <c r="AJ3" s="46"/>
      <c r="AK3" s="41"/>
      <c r="AL3" s="41"/>
      <c r="AM3" s="336"/>
      <c r="AN3" s="336"/>
      <c r="BU3" s="156"/>
      <c r="BV3" s="156"/>
      <c r="BW3" s="156"/>
      <c r="BX3" s="157" t="s">
        <v>112</v>
      </c>
      <c r="BY3" s="158" t="s">
        <v>113</v>
      </c>
      <c r="BZ3" s="159" t="s">
        <v>114</v>
      </c>
      <c r="CA3" s="160"/>
      <c r="CB3" s="160"/>
      <c r="CC3" s="161" t="s">
        <v>115</v>
      </c>
      <c r="CD3" s="158" t="s">
        <v>116</v>
      </c>
      <c r="CE3" s="159" t="s">
        <v>117</v>
      </c>
      <c r="CF3" s="160"/>
      <c r="CG3" s="162" t="s">
        <v>121</v>
      </c>
      <c r="CH3" s="160"/>
      <c r="CI3" s="160"/>
      <c r="CJ3" s="162" t="s">
        <v>124</v>
      </c>
      <c r="CK3" s="160"/>
      <c r="CL3" s="160"/>
      <c r="CM3" s="160"/>
      <c r="CN3" s="160"/>
      <c r="CO3" s="160"/>
      <c r="CP3" s="160"/>
    </row>
    <row r="4" spans="2:94" ht="15.75" customHeight="1">
      <c r="B4" s="103" t="s">
        <v>1</v>
      </c>
      <c r="E4" s="569" t="str">
        <f>Cover!D8</f>
        <v>คุณทดลอง</v>
      </c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1"/>
      <c r="U4" s="578" t="s">
        <v>53</v>
      </c>
      <c r="V4" s="578"/>
      <c r="W4" s="578"/>
      <c r="X4" s="579"/>
      <c r="Y4" s="575" t="s">
        <v>158</v>
      </c>
      <c r="Z4" s="576"/>
      <c r="AA4" s="577"/>
      <c r="AB4" s="105"/>
      <c r="AC4" s="49" t="s">
        <v>6</v>
      </c>
      <c r="AD4" s="45"/>
      <c r="AE4" s="45"/>
      <c r="AF4" s="46"/>
      <c r="AG4" s="46"/>
      <c r="AH4" s="46"/>
      <c r="AI4" s="46"/>
      <c r="AJ4" s="46"/>
      <c r="AK4" s="41"/>
      <c r="AL4" s="41"/>
      <c r="AM4" s="336"/>
      <c r="AN4" s="336"/>
      <c r="BU4" s="163">
        <v>2</v>
      </c>
      <c r="BV4" s="163">
        <v>1</v>
      </c>
      <c r="BW4" s="163">
        <v>1</v>
      </c>
      <c r="BX4" s="164"/>
      <c r="BY4" s="162">
        <f>L26</f>
        <v>0.6</v>
      </c>
      <c r="BZ4" s="165">
        <f>L27</f>
        <v>0.6</v>
      </c>
      <c r="CA4" s="160"/>
      <c r="CB4" s="160"/>
      <c r="CC4" s="166"/>
      <c r="CD4" s="167">
        <f>L24</f>
        <v>0.25</v>
      </c>
      <c r="CE4" s="168">
        <f>L25</f>
        <v>0.25</v>
      </c>
      <c r="CF4" s="160"/>
      <c r="CG4" s="167">
        <f>L28</f>
        <v>0.6</v>
      </c>
      <c r="CH4" s="160"/>
      <c r="CI4" s="160"/>
      <c r="CJ4" s="167">
        <f>CD4+0.1</f>
        <v>0.35</v>
      </c>
      <c r="CK4" s="160"/>
      <c r="CL4" s="160"/>
      <c r="CM4" s="169">
        <f>CG4+0.1</f>
        <v>0.7</v>
      </c>
      <c r="CN4" s="160"/>
      <c r="CO4" s="160"/>
      <c r="CP4" s="160"/>
    </row>
    <row r="5" spans="2:94" ht="15.75" customHeight="1" thickBot="1">
      <c r="B5" s="103" t="s">
        <v>2</v>
      </c>
      <c r="E5" s="569" t="str">
        <f>Cover!D9</f>
        <v>กทม.</v>
      </c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1"/>
      <c r="U5" s="106"/>
      <c r="V5" s="107"/>
      <c r="W5" s="107"/>
      <c r="X5" s="107"/>
      <c r="Y5" s="108"/>
      <c r="Z5" s="108"/>
      <c r="AA5" s="108"/>
      <c r="AB5" s="105"/>
      <c r="AC5" s="46"/>
      <c r="AD5" s="46"/>
      <c r="AE5" s="46"/>
      <c r="AF5" s="46"/>
      <c r="AG5" s="46"/>
      <c r="AH5" s="45"/>
      <c r="AI5" s="46"/>
      <c r="AJ5" s="46"/>
      <c r="AK5" s="41"/>
      <c r="AL5" s="41"/>
      <c r="AM5" s="336"/>
      <c r="AN5" s="336"/>
      <c r="BU5" s="156"/>
      <c r="BV5" s="156"/>
      <c r="BW5" s="156"/>
      <c r="BX5" s="170"/>
      <c r="BY5" s="171">
        <f>BY4/2</f>
        <v>0.3</v>
      </c>
      <c r="BZ5" s="172">
        <f>BZ4/2</f>
        <v>0.3</v>
      </c>
      <c r="CA5" s="162">
        <f>MAX(BY5:BZ5)</f>
        <v>0.3</v>
      </c>
      <c r="CB5" s="173">
        <f>0.4/CA5</f>
        <v>1.3333333333333335</v>
      </c>
      <c r="CC5" s="174"/>
      <c r="CD5" s="175">
        <f>CD4/2</f>
        <v>0.125</v>
      </c>
      <c r="CE5" s="176">
        <f>CE4/2</f>
        <v>0.125</v>
      </c>
      <c r="CF5" s="160"/>
      <c r="CG5" s="162">
        <f>CG4/2</f>
        <v>0.3</v>
      </c>
      <c r="CH5" s="167">
        <f>MAX(BY5,BZ5,CG5,CM5)</f>
        <v>0.35</v>
      </c>
      <c r="CI5" s="167">
        <f>0.4/CH5</f>
        <v>1.142857142857143</v>
      </c>
      <c r="CJ5" s="162">
        <f>CJ4/2</f>
        <v>0.175</v>
      </c>
      <c r="CK5" s="162">
        <v>0.05</v>
      </c>
      <c r="CL5" s="160"/>
      <c r="CM5" s="169">
        <f>CM4/2</f>
        <v>0.35</v>
      </c>
      <c r="CN5" s="160"/>
      <c r="CO5" s="160"/>
      <c r="CP5" s="160"/>
    </row>
    <row r="6" spans="2:94" ht="9.75" customHeight="1" thickBot="1">
      <c r="B6" s="99"/>
      <c r="C6" s="99"/>
      <c r="D6" s="99"/>
      <c r="E6" s="99"/>
      <c r="F6" s="99"/>
      <c r="G6" s="99"/>
      <c r="H6" s="99"/>
      <c r="I6" s="99"/>
      <c r="J6" s="99"/>
      <c r="K6" s="100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01"/>
      <c r="AC6" s="46"/>
      <c r="AD6" s="46"/>
      <c r="AE6" s="46"/>
      <c r="AF6" s="46"/>
      <c r="AG6" s="46"/>
      <c r="AH6" s="46"/>
      <c r="AI6" s="46"/>
      <c r="AJ6" s="46"/>
      <c r="AK6" s="41"/>
      <c r="AL6" s="41"/>
      <c r="AM6" s="336"/>
      <c r="AN6" s="336"/>
      <c r="BU6" s="156"/>
      <c r="BV6" s="156"/>
      <c r="BW6" s="156"/>
      <c r="BX6" s="156"/>
      <c r="BY6" s="173"/>
      <c r="BZ6" s="173"/>
      <c r="CA6" s="173"/>
      <c r="CB6" s="173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</row>
    <row r="7" spans="2:94" ht="15.75" customHeight="1">
      <c r="B7" s="568" t="s">
        <v>245</v>
      </c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110"/>
      <c r="AC7" s="46" t="s">
        <v>30</v>
      </c>
      <c r="AD7" s="41"/>
      <c r="AE7" s="41"/>
      <c r="AF7" s="41"/>
      <c r="AG7" s="41"/>
      <c r="AH7" s="41"/>
      <c r="AI7" s="41"/>
      <c r="AJ7" s="54"/>
      <c r="AK7" s="41"/>
      <c r="AL7" s="41"/>
      <c r="AM7" s="336"/>
      <c r="AN7" s="336"/>
      <c r="BU7" s="156"/>
      <c r="BV7" s="177"/>
      <c r="BW7" s="177"/>
      <c r="BX7" s="156"/>
      <c r="BY7" s="160"/>
      <c r="BZ7" s="160"/>
      <c r="CA7" s="160"/>
      <c r="CB7" s="160"/>
      <c r="CC7" s="160"/>
      <c r="CD7" s="160"/>
      <c r="CE7" s="160"/>
      <c r="CF7" s="160"/>
      <c r="CG7" s="162"/>
      <c r="CH7" s="160"/>
      <c r="CI7" s="160"/>
      <c r="CJ7" s="160"/>
      <c r="CK7" s="160"/>
      <c r="CL7" s="160"/>
      <c r="CM7" s="160"/>
      <c r="CN7" s="160"/>
      <c r="CO7" s="160"/>
      <c r="CP7" s="160"/>
    </row>
    <row r="8" spans="2:94" ht="15.75" customHeight="1" thickBot="1">
      <c r="B8" s="111" t="s">
        <v>52</v>
      </c>
      <c r="K8" s="102"/>
      <c r="O8" s="112"/>
      <c r="P8" s="111" t="s">
        <v>44</v>
      </c>
      <c r="AA8" s="112"/>
      <c r="AB8" s="112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336"/>
      <c r="AN8" s="336"/>
      <c r="BH8" s="154" t="str">
        <f>IF($BW$4=1,BU8,IF($BW$4=2,BU15,IF($BW$4=3,BU23,IF($BW$4=4,BU26,IF($BW$4=5,BU28)))))</f>
        <v>I-0.18X0.18</v>
      </c>
      <c r="BK8" s="154">
        <v>1</v>
      </c>
      <c r="BL8" s="154">
        <f>IF($BW$4=1,BV8,IF($BW$4=2,BV15,IF($BW$4=3,BV23,IF($BW$4=4,BV26,IF($BW$4=5,BV28)))))</f>
        <v>0.18</v>
      </c>
      <c r="BN8" s="154" t="s">
        <v>146</v>
      </c>
      <c r="BT8" s="154">
        <v>1</v>
      </c>
      <c r="BU8" s="156" t="s">
        <v>64</v>
      </c>
      <c r="BV8" s="178">
        <v>0.18</v>
      </c>
      <c r="BW8" s="178"/>
      <c r="BX8" s="156"/>
      <c r="BY8" s="179" t="s">
        <v>108</v>
      </c>
      <c r="BZ8" s="162"/>
      <c r="CA8" s="179" t="s">
        <v>111</v>
      </c>
      <c r="CB8" s="162"/>
      <c r="CC8" s="160"/>
      <c r="CD8" s="160" t="s">
        <v>120</v>
      </c>
      <c r="CE8" s="160"/>
      <c r="CF8" s="160"/>
      <c r="CG8" s="162" t="s">
        <v>122</v>
      </c>
      <c r="CH8" s="160"/>
      <c r="CI8" s="160"/>
      <c r="CJ8" s="180">
        <f>(CG5+0.1)*CI5</f>
        <v>0.45714285714285724</v>
      </c>
      <c r="CK8" s="160"/>
      <c r="CL8" s="160"/>
      <c r="CM8" s="160"/>
      <c r="CN8" s="160"/>
      <c r="CO8" s="160"/>
      <c r="CP8" s="160"/>
    </row>
    <row r="9" spans="2:94" ht="15.75" customHeight="1" thickBot="1">
      <c r="B9" s="98" t="s">
        <v>34</v>
      </c>
      <c r="K9" s="102" t="s">
        <v>3</v>
      </c>
      <c r="L9" s="540">
        <v>3000</v>
      </c>
      <c r="M9" s="540"/>
      <c r="N9" s="540"/>
      <c r="O9" s="113"/>
      <c r="P9" s="98" t="s">
        <v>45</v>
      </c>
      <c r="Q9" s="102"/>
      <c r="S9" s="102"/>
      <c r="T9" s="102"/>
      <c r="U9" s="102" t="s">
        <v>3</v>
      </c>
      <c r="V9" s="560">
        <f>L10/L16</f>
        <v>10.257825921892852</v>
      </c>
      <c r="W9" s="560"/>
      <c r="X9" s="560"/>
      <c r="Y9" s="560"/>
      <c r="Z9" s="114"/>
      <c r="AA9" s="113"/>
      <c r="AB9" s="113"/>
      <c r="AC9" s="548" t="s">
        <v>255</v>
      </c>
      <c r="AD9" s="549"/>
      <c r="AE9" s="550"/>
      <c r="AF9" s="41"/>
      <c r="AG9" s="41"/>
      <c r="AH9" s="41"/>
      <c r="AI9" s="41"/>
      <c r="AJ9" s="41"/>
      <c r="AK9" s="41"/>
      <c r="AL9" s="41"/>
      <c r="AM9" s="336"/>
      <c r="AN9" s="336"/>
      <c r="BH9" s="154" t="str">
        <f>IF($BW$4=1,BU9,IF($BW$4=2,BU16,IF($BW$4=3,BU24,IF($BW$4=4,"",IF($BW$4=5,BU29)))))</f>
        <v>I-0.22X0.22</v>
      </c>
      <c r="BK9" s="154">
        <v>2</v>
      </c>
      <c r="BL9" s="154">
        <f>IF($BW$4=1,BV9,IF($BW$4=2,BV16,IF($BW$4=3,BV24,IF($BW$4=4,"",IF($BW$4=5,BV29)))))</f>
        <v>0.22</v>
      </c>
      <c r="BN9" s="154" t="s">
        <v>147</v>
      </c>
      <c r="BO9" s="178">
        <f>(L26*L27)*10000</f>
        <v>3600</v>
      </c>
      <c r="BT9" s="154">
        <v>2</v>
      </c>
      <c r="BU9" s="156" t="s">
        <v>65</v>
      </c>
      <c r="BV9" s="178">
        <v>0.22</v>
      </c>
      <c r="BW9" s="177"/>
      <c r="BX9" s="156"/>
      <c r="BY9" s="181" t="s">
        <v>109</v>
      </c>
      <c r="BZ9" s="159" t="s">
        <v>110</v>
      </c>
      <c r="CA9" s="181" t="s">
        <v>109</v>
      </c>
      <c r="CB9" s="159" t="s">
        <v>110</v>
      </c>
      <c r="CC9" s="160"/>
      <c r="CD9" s="181" t="s">
        <v>109</v>
      </c>
      <c r="CE9" s="159" t="s">
        <v>110</v>
      </c>
      <c r="CF9" s="160"/>
      <c r="CG9" s="162">
        <f>BK28</f>
        <v>0.22</v>
      </c>
      <c r="CH9" s="162">
        <f>CG5+0.15</f>
        <v>0.44999999999999996</v>
      </c>
      <c r="CI9" s="160"/>
      <c r="CJ9" s="162">
        <f>IF(CJ8&gt;0.65,0.64,IF(CJ8&lt;=0.65,CH14))</f>
        <v>0.45714285714285724</v>
      </c>
      <c r="CK9" s="160"/>
      <c r="CL9" s="160"/>
      <c r="CM9" s="160"/>
      <c r="CN9" s="160"/>
      <c r="CO9" s="160"/>
      <c r="CP9" s="160"/>
    </row>
    <row r="10" spans="1:94" ht="15.75" customHeight="1" thickBot="1">
      <c r="A10" s="101"/>
      <c r="B10" s="98" t="s">
        <v>35</v>
      </c>
      <c r="K10" s="102" t="s">
        <v>3</v>
      </c>
      <c r="L10" s="582">
        <v>2040000</v>
      </c>
      <c r="M10" s="582"/>
      <c r="N10" s="582"/>
      <c r="P10" s="98" t="s">
        <v>46</v>
      </c>
      <c r="U10" s="102" t="s">
        <v>3</v>
      </c>
      <c r="V10" s="583">
        <f>1/(1+(L11/(V9*L15)))</f>
        <v>0.3073117948842602</v>
      </c>
      <c r="W10" s="583"/>
      <c r="X10" s="583"/>
      <c r="Y10" s="583"/>
      <c r="Z10" s="115"/>
      <c r="AC10" s="551"/>
      <c r="AD10" s="552"/>
      <c r="AE10" s="553"/>
      <c r="AF10" s="41"/>
      <c r="AG10" s="41"/>
      <c r="AH10" s="41"/>
      <c r="AI10" s="41"/>
      <c r="AJ10" s="41"/>
      <c r="AK10" s="41"/>
      <c r="AL10" s="41"/>
      <c r="AM10" s="336"/>
      <c r="AN10" s="336"/>
      <c r="BH10" s="154" t="str">
        <f>IF($BW$4=1,BU10,IF($BW$4=2,BU17,IF($BW$4=3,"",IF($BW$4=4,"",IF($BW$4=5,BU30)))))</f>
        <v>I-0.26X0.26</v>
      </c>
      <c r="BK10" s="154">
        <v>3</v>
      </c>
      <c r="BL10" s="154">
        <f>IF($BW$4=1,BV10,IF($BW$4=2,BV17,IF($BW$4=3,"",IF($BW$4=4,"",IF($BW$4=5,BV30)))))</f>
        <v>0.26</v>
      </c>
      <c r="BN10" s="154" t="s">
        <v>137</v>
      </c>
      <c r="BO10" s="154">
        <f>(0.2125*BO9*L12)</f>
        <v>132345</v>
      </c>
      <c r="BT10" s="154">
        <v>3</v>
      </c>
      <c r="BU10" s="156" t="s">
        <v>66</v>
      </c>
      <c r="BV10" s="178">
        <v>0.26</v>
      </c>
      <c r="BW10" s="177"/>
      <c r="BX10" s="156"/>
      <c r="BY10" s="182">
        <f>-($BY$5*$CB$5)</f>
        <v>-0.4</v>
      </c>
      <c r="BZ10" s="168">
        <f>($BZ$5*$CB$5)</f>
        <v>0.4</v>
      </c>
      <c r="CA10" s="183">
        <f>-($CD$5*$CB$5)</f>
        <v>-0.16666666666666669</v>
      </c>
      <c r="CB10" s="165">
        <f>($CE$5*$CB$5)</f>
        <v>0.16666666666666669</v>
      </c>
      <c r="CC10" s="160"/>
      <c r="CD10" s="182">
        <f>-($CD$5*$CI$5)</f>
        <v>-0.14285714285714288</v>
      </c>
      <c r="CE10" s="168">
        <f>(($CG$5+0.1)*$CI$5)</f>
        <v>0.45714285714285724</v>
      </c>
      <c r="CF10" s="160"/>
      <c r="CG10" s="162">
        <f>CG9/2</f>
        <v>0.11</v>
      </c>
      <c r="CH10" s="160"/>
      <c r="CI10" s="160"/>
      <c r="CJ10" s="160"/>
      <c r="CK10" s="160"/>
      <c r="CL10" s="160"/>
      <c r="CM10" s="160"/>
      <c r="CN10" s="160"/>
      <c r="CO10" s="160"/>
      <c r="CP10" s="160"/>
    </row>
    <row r="11" spans="1:94" ht="15.75" customHeight="1">
      <c r="A11" s="101"/>
      <c r="B11" s="98" t="s">
        <v>40</v>
      </c>
      <c r="K11" s="102" t="s">
        <v>3</v>
      </c>
      <c r="L11" s="566">
        <f>IF((0.5*L9)&gt;=1700,1700,IF((0.5*L9)&lt;1700,(0.5*L9)))</f>
        <v>1500</v>
      </c>
      <c r="M11" s="566"/>
      <c r="N11" s="566"/>
      <c r="P11" s="98" t="s">
        <v>47</v>
      </c>
      <c r="U11" s="102" t="s">
        <v>3</v>
      </c>
      <c r="V11" s="583">
        <f>1-(V10/3)</f>
        <v>0.89756273503858</v>
      </c>
      <c r="W11" s="583"/>
      <c r="X11" s="583"/>
      <c r="Y11" s="583"/>
      <c r="Z11" s="115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336"/>
      <c r="AN11" s="336"/>
      <c r="BH11" s="154" t="str">
        <f>IF($BW$4=1,BU11,IF($BW$4=2,BU18,IF($BW$4=3,"",IF($BW$4=4,"",IF($BW$4=5,BU31)))))</f>
        <v>I-0.30X0.30</v>
      </c>
      <c r="BK11" s="154">
        <v>4</v>
      </c>
      <c r="BL11" s="154">
        <f>IF($BW$4=1,BV11,IF($BW$4=2,BV18,IF($BW$4=3,"",IF($BW$4=4,"",IF($BW$4=5,BV31)))))</f>
        <v>0.3</v>
      </c>
      <c r="BT11" s="154">
        <v>4</v>
      </c>
      <c r="BU11" s="156" t="s">
        <v>67</v>
      </c>
      <c r="BV11" s="178">
        <v>0.3</v>
      </c>
      <c r="BW11" s="177"/>
      <c r="BX11" s="156"/>
      <c r="BY11" s="182">
        <f>($BY$5*$CB$5)</f>
        <v>0.4</v>
      </c>
      <c r="BZ11" s="168">
        <f>($BZ$5*$CB$5)</f>
        <v>0.4</v>
      </c>
      <c r="CA11" s="183">
        <f>($CD$5*$CB$5)</f>
        <v>0.16666666666666669</v>
      </c>
      <c r="CB11" s="165">
        <f>($CE$5*$CB$5)</f>
        <v>0.16666666666666669</v>
      </c>
      <c r="CC11" s="160"/>
      <c r="CD11" s="182">
        <f>-($CD$5*$CI$5)</f>
        <v>-0.14285714285714288</v>
      </c>
      <c r="CE11" s="168">
        <f>($CG$5*$CI$5)</f>
        <v>0.3428571428571429</v>
      </c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</row>
    <row r="12" spans="1:94" ht="15.75" customHeight="1" thickBot="1">
      <c r="A12" s="101"/>
      <c r="B12" s="98" t="s">
        <v>36</v>
      </c>
      <c r="K12" s="102" t="s">
        <v>3</v>
      </c>
      <c r="L12" s="540">
        <v>173</v>
      </c>
      <c r="M12" s="540"/>
      <c r="N12" s="540"/>
      <c r="O12" s="116"/>
      <c r="P12" s="98" t="s">
        <v>48</v>
      </c>
      <c r="U12" s="102" t="s">
        <v>3</v>
      </c>
      <c r="V12" s="583">
        <f>0.5*L15*V10*V11</f>
        <v>8.947288015647407</v>
      </c>
      <c r="W12" s="583"/>
      <c r="X12" s="583"/>
      <c r="Y12" s="583"/>
      <c r="Z12" s="115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336"/>
      <c r="AN12" s="336"/>
      <c r="BH12" s="154" t="str">
        <f>IF($BW$4=1,BU12,IF($BW$4=2,BU19,IF($BW$4=3,"",IF($BW$4=4,"",IF($BW$4=5,"")))))</f>
        <v>I-0.35X0.35</v>
      </c>
      <c r="BK12" s="154">
        <v>5</v>
      </c>
      <c r="BL12" s="154">
        <f>IF($BW$4=1,BV12,IF($BW$4=2,BV19,IF($BW$4=3,"",IF($BW$4=4,"",IF($BW$4=5,"")))))</f>
        <v>0.35</v>
      </c>
      <c r="BN12" s="154" t="s">
        <v>148</v>
      </c>
      <c r="BO12" s="154">
        <f>IF(L21&lt;=L32,1,IF(L21&gt;L32,2))</f>
        <v>1</v>
      </c>
      <c r="BT12" s="154">
        <v>5</v>
      </c>
      <c r="BU12" s="156" t="s">
        <v>68</v>
      </c>
      <c r="BV12" s="178">
        <v>0.35</v>
      </c>
      <c r="BW12" s="177"/>
      <c r="BX12" s="156"/>
      <c r="BY12" s="182">
        <f>($BY$5*$CB$5)</f>
        <v>0.4</v>
      </c>
      <c r="BZ12" s="168">
        <f>-($BZ$5*$CB$5)</f>
        <v>-0.4</v>
      </c>
      <c r="CA12" s="183">
        <f>($CD$5*$CB$5)</f>
        <v>0.16666666666666669</v>
      </c>
      <c r="CB12" s="165">
        <f>-($CE$5*$CB$5)</f>
        <v>-0.16666666666666669</v>
      </c>
      <c r="CC12" s="160"/>
      <c r="CD12" s="182">
        <f>-($BY$5*$CI$5)</f>
        <v>-0.3428571428571429</v>
      </c>
      <c r="CE12" s="168">
        <f>($CG$5*$CI$5)</f>
        <v>0.3428571428571429</v>
      </c>
      <c r="CF12" s="173"/>
      <c r="CG12" s="173" t="s">
        <v>125</v>
      </c>
      <c r="CH12" s="173"/>
      <c r="CI12" s="173"/>
      <c r="CJ12" s="173"/>
      <c r="CK12" s="173"/>
      <c r="CL12" s="162"/>
      <c r="CM12" s="160"/>
      <c r="CN12" s="160"/>
      <c r="CO12" s="160"/>
      <c r="CP12" s="160"/>
    </row>
    <row r="13" spans="2:94" ht="15.75" customHeight="1">
      <c r="B13" s="98" t="s">
        <v>41</v>
      </c>
      <c r="K13" s="102" t="s">
        <v>3</v>
      </c>
      <c r="L13" s="586">
        <v>0.375</v>
      </c>
      <c r="M13" s="586"/>
      <c r="N13" s="586"/>
      <c r="O13" s="116"/>
      <c r="P13" s="116"/>
      <c r="Q13" s="116"/>
      <c r="V13" s="116"/>
      <c r="W13" s="115"/>
      <c r="X13" s="115"/>
      <c r="Y13" s="115"/>
      <c r="Z13" s="115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36"/>
      <c r="AN13" s="336"/>
      <c r="BH13" s="154" t="str">
        <f>IF($BW$4=1,BU13,IF($BW$4=2,BU20,IF($BW$4=3,"",IF($BW$4=4,"",IF($BW$4=5,"")))))</f>
        <v>I-0.40X0.40</v>
      </c>
      <c r="BK13" s="154">
        <v>6</v>
      </c>
      <c r="BL13" s="154">
        <f>IF($BW$4=1,BV13,IF($BW$4=2,BV20,IF($BW$4=3,"",IF($BW$4=4,"",IF($BW$4=5,"")))))</f>
        <v>0.4</v>
      </c>
      <c r="BN13" s="154" t="s">
        <v>141</v>
      </c>
      <c r="BO13" s="184">
        <f>0.002*(L26*L28*10000)</f>
        <v>7.2</v>
      </c>
      <c r="BT13" s="154">
        <v>6</v>
      </c>
      <c r="BU13" s="156" t="s">
        <v>69</v>
      </c>
      <c r="BV13" s="178">
        <v>0.4</v>
      </c>
      <c r="BW13" s="177"/>
      <c r="BX13" s="156"/>
      <c r="BY13" s="182">
        <f>-($BY$5*$CB$5)</f>
        <v>-0.4</v>
      </c>
      <c r="BZ13" s="168">
        <f>-($BZ$5*$CB$5)</f>
        <v>-0.4</v>
      </c>
      <c r="CA13" s="183">
        <f>-($CD$5*$CB$5)</f>
        <v>-0.16666666666666669</v>
      </c>
      <c r="CB13" s="165">
        <f>-($CE$5*$CB$5)</f>
        <v>-0.16666666666666669</v>
      </c>
      <c r="CC13" s="160"/>
      <c r="CD13" s="182">
        <f>-($BY$5*$CI$5)</f>
        <v>-0.3428571428571429</v>
      </c>
      <c r="CE13" s="168">
        <f>-($CG$5*$CI$5)</f>
        <v>-0.3428571428571429</v>
      </c>
      <c r="CF13" s="173"/>
      <c r="CG13" s="181" t="s">
        <v>109</v>
      </c>
      <c r="CH13" s="159" t="s">
        <v>110</v>
      </c>
      <c r="CI13" s="173"/>
      <c r="CJ13" s="173"/>
      <c r="CK13" s="173"/>
      <c r="CL13" s="160"/>
      <c r="CM13" s="160"/>
      <c r="CN13" s="160"/>
      <c r="CO13" s="160"/>
      <c r="CP13" s="160"/>
    </row>
    <row r="14" spans="2:94" ht="15.75" customHeight="1" thickBot="1">
      <c r="B14" s="98" t="s">
        <v>42</v>
      </c>
      <c r="K14" s="102" t="s">
        <v>3</v>
      </c>
      <c r="L14" s="540">
        <v>2400</v>
      </c>
      <c r="M14" s="540"/>
      <c r="N14" s="540"/>
      <c r="O14" s="116"/>
      <c r="P14" s="116"/>
      <c r="Q14" s="557" t="s">
        <v>133</v>
      </c>
      <c r="R14" s="558"/>
      <c r="S14" s="558"/>
      <c r="T14" s="558"/>
      <c r="U14" s="558"/>
      <c r="V14" s="558"/>
      <c r="W14" s="558"/>
      <c r="X14" s="558"/>
      <c r="Y14" s="558"/>
      <c r="Z14" s="558"/>
      <c r="AA14" s="55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336"/>
      <c r="AN14" s="336"/>
      <c r="BH14" s="154">
        <f>IF($BW$4=1,"",IF($BW$4=2,BU21,IF($BW$4=3,"",IF($BW$4=4,"",IF($BW$4=5,"")))))</f>
      </c>
      <c r="BK14" s="154">
        <v>7</v>
      </c>
      <c r="BL14" s="154">
        <f>IF($BW$4=1,"",IF($BW$4=2,BV21,IF($BW$4=3,"",IF($BW$4=4,"",IF($BW$4=5,"")))))</f>
      </c>
      <c r="BU14" s="156"/>
      <c r="BV14" s="178"/>
      <c r="BW14" s="177"/>
      <c r="BX14" s="156"/>
      <c r="BY14" s="188">
        <f>-($BY$5*$CB$5)</f>
        <v>-0.4</v>
      </c>
      <c r="BZ14" s="176">
        <f>($BZ$5*$CB$5)</f>
        <v>0.4</v>
      </c>
      <c r="CA14" s="189">
        <f>-($CD$5*$CB$5)</f>
        <v>-0.16666666666666669</v>
      </c>
      <c r="CB14" s="172">
        <f>($CE$5*$CB$5)</f>
        <v>0.16666666666666669</v>
      </c>
      <c r="CC14" s="160"/>
      <c r="CD14" s="182">
        <f>-($CG$10*$CI$5)</f>
        <v>-0.12571428571428572</v>
      </c>
      <c r="CE14" s="168">
        <f>-($CG$5*$CI$5)</f>
        <v>-0.3428571428571429</v>
      </c>
      <c r="CF14" s="187"/>
      <c r="CG14" s="190">
        <f>-($CJ$5*$CI$5)</f>
        <v>-0.2</v>
      </c>
      <c r="CH14" s="168">
        <f>(($CG$5+0.1)*$CI$5)</f>
        <v>0.45714285714285724</v>
      </c>
      <c r="CI14" s="191"/>
      <c r="CJ14" s="191"/>
      <c r="CK14" s="260"/>
      <c r="CL14" s="162"/>
      <c r="CM14" s="160"/>
      <c r="CN14" s="160"/>
      <c r="CO14" s="160"/>
      <c r="CP14" s="160"/>
    </row>
    <row r="15" spans="2:94" ht="15.75" customHeight="1">
      <c r="B15" s="98" t="s">
        <v>43</v>
      </c>
      <c r="K15" s="102" t="s">
        <v>3</v>
      </c>
      <c r="L15" s="587">
        <f>L13*L12</f>
        <v>64.875</v>
      </c>
      <c r="M15" s="587"/>
      <c r="N15" s="587"/>
      <c r="O15" s="116"/>
      <c r="P15" s="116"/>
      <c r="Q15" s="117"/>
      <c r="R15" s="118"/>
      <c r="S15" s="101"/>
      <c r="T15" s="101"/>
      <c r="U15" s="101"/>
      <c r="V15" s="101"/>
      <c r="W15" s="104"/>
      <c r="X15" s="118"/>
      <c r="Y15" s="118"/>
      <c r="Z15" s="101"/>
      <c r="AA15" s="119"/>
      <c r="AC15" s="41"/>
      <c r="AD15" s="41"/>
      <c r="AE15" s="41"/>
      <c r="AF15" s="41"/>
      <c r="AG15" s="41"/>
      <c r="AH15" s="41"/>
      <c r="AI15" s="41"/>
      <c r="AJ15" s="69"/>
      <c r="AK15" s="41"/>
      <c r="AL15" s="41"/>
      <c r="AM15" s="336"/>
      <c r="AN15" s="336"/>
      <c r="BT15" s="154">
        <v>1</v>
      </c>
      <c r="BU15" s="156" t="s">
        <v>70</v>
      </c>
      <c r="BV15" s="177">
        <v>0.16</v>
      </c>
      <c r="BW15" s="177"/>
      <c r="BX15" s="156"/>
      <c r="BY15" s="162"/>
      <c r="BZ15" s="160"/>
      <c r="CA15" s="160"/>
      <c r="CB15" s="160"/>
      <c r="CC15" s="160"/>
      <c r="CD15" s="182">
        <f>-($CG$10*$CI$5)</f>
        <v>-0.12571428571428572</v>
      </c>
      <c r="CE15" s="168">
        <f>-(($CG$5-0.05)*$CI$5)</f>
        <v>-0.28571428571428575</v>
      </c>
      <c r="CF15" s="187"/>
      <c r="CG15" s="182">
        <f>-(0.025*CI5)</f>
        <v>-0.028571428571428577</v>
      </c>
      <c r="CH15" s="168">
        <f>(($CG$5+0.1)*$CI$5)</f>
        <v>0.45714285714285724</v>
      </c>
      <c r="CI15" s="191"/>
      <c r="CJ15" s="191"/>
      <c r="CK15" s="162"/>
      <c r="CL15" s="162"/>
      <c r="CM15" s="160"/>
      <c r="CN15" s="160"/>
      <c r="CO15" s="160"/>
      <c r="CP15" s="160"/>
    </row>
    <row r="16" spans="1:94" ht="15.75" customHeight="1">
      <c r="A16" s="101"/>
      <c r="B16" s="98" t="s">
        <v>37</v>
      </c>
      <c r="K16" s="102" t="s">
        <v>3</v>
      </c>
      <c r="L16" s="566">
        <f>15120*SQRT(L12)</f>
        <v>198872.5501420445</v>
      </c>
      <c r="M16" s="566"/>
      <c r="N16" s="566"/>
      <c r="Q16" s="120"/>
      <c r="R16" s="118"/>
      <c r="S16" s="101"/>
      <c r="T16" s="101"/>
      <c r="U16" s="101"/>
      <c r="V16" s="101"/>
      <c r="W16" s="101"/>
      <c r="X16" s="118"/>
      <c r="Y16" s="118"/>
      <c r="Z16" s="101"/>
      <c r="AA16" s="121"/>
      <c r="AB16" s="21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337"/>
      <c r="AN16" s="337"/>
      <c r="AO16" s="323"/>
      <c r="AP16" s="323"/>
      <c r="AQ16" s="323"/>
      <c r="AR16" s="323"/>
      <c r="AS16" s="323"/>
      <c r="AT16" s="323"/>
      <c r="AU16" s="323"/>
      <c r="AV16" s="156"/>
      <c r="AW16" s="156"/>
      <c r="AX16" s="156"/>
      <c r="AY16" s="156"/>
      <c r="AZ16" s="156"/>
      <c r="BA16" s="156"/>
      <c r="BB16" s="156"/>
      <c r="BH16" s="154" t="s">
        <v>86</v>
      </c>
      <c r="BT16" s="154">
        <v>2</v>
      </c>
      <c r="BU16" s="156" t="s">
        <v>71</v>
      </c>
      <c r="BV16" s="177">
        <v>0.18</v>
      </c>
      <c r="BW16" s="177"/>
      <c r="BX16" s="156"/>
      <c r="BY16" s="193"/>
      <c r="CA16" s="160"/>
      <c r="CB16" s="160"/>
      <c r="CC16" s="160"/>
      <c r="CD16" s="182">
        <f>($CG$10*$CI$5)</f>
        <v>0.12571428571428572</v>
      </c>
      <c r="CE16" s="168">
        <f>-(($CG$5-0.05)*$CI$5)</f>
        <v>-0.28571428571428575</v>
      </c>
      <c r="CF16" s="187"/>
      <c r="CG16" s="182">
        <f>-(0.025*CI5)</f>
        <v>-0.028571428571428577</v>
      </c>
      <c r="CH16" s="168">
        <f>(($CG$5+0.125)*$CI$5)</f>
        <v>0.48571428571428577</v>
      </c>
      <c r="CI16" s="191"/>
      <c r="CJ16" s="191"/>
      <c r="CK16" s="162"/>
      <c r="CL16" s="162"/>
      <c r="CM16" s="160"/>
      <c r="CN16" s="160"/>
      <c r="CO16" s="160"/>
      <c r="CP16" s="160"/>
    </row>
    <row r="17" spans="1:94" ht="15.75" customHeight="1">
      <c r="A17" s="101"/>
      <c r="B17" s="101"/>
      <c r="L17" s="566"/>
      <c r="M17" s="566"/>
      <c r="N17" s="566"/>
      <c r="Q17" s="120"/>
      <c r="R17" s="118"/>
      <c r="S17" s="122"/>
      <c r="T17" s="122"/>
      <c r="U17" s="122"/>
      <c r="V17" s="122"/>
      <c r="W17" s="122"/>
      <c r="X17" s="118"/>
      <c r="Y17" s="118"/>
      <c r="Z17" s="109"/>
      <c r="AA17" s="123"/>
      <c r="AB17" s="116"/>
      <c r="AC17" s="54"/>
      <c r="AD17" s="54"/>
      <c r="AE17" s="54"/>
      <c r="AF17" s="54"/>
      <c r="AG17" s="54"/>
      <c r="AH17" s="54"/>
      <c r="AI17" s="72"/>
      <c r="AJ17" s="72"/>
      <c r="AK17" s="72"/>
      <c r="AL17" s="54"/>
      <c r="AM17" s="337"/>
      <c r="AN17" s="337"/>
      <c r="AO17" s="323"/>
      <c r="AP17" s="323"/>
      <c r="AQ17" s="323"/>
      <c r="AR17" s="323"/>
      <c r="AS17" s="323"/>
      <c r="AT17" s="323"/>
      <c r="AU17" s="323"/>
      <c r="AV17" s="156"/>
      <c r="AW17" s="156"/>
      <c r="AX17" s="156"/>
      <c r="AY17" s="156"/>
      <c r="AZ17" s="156"/>
      <c r="BA17" s="156"/>
      <c r="BB17" s="156"/>
      <c r="BH17" s="154" t="s">
        <v>87</v>
      </c>
      <c r="BT17" s="154">
        <v>3</v>
      </c>
      <c r="BU17" s="156" t="s">
        <v>72</v>
      </c>
      <c r="BV17" s="177">
        <v>0.22</v>
      </c>
      <c r="BW17" s="177"/>
      <c r="BX17" s="156"/>
      <c r="BY17" s="193">
        <f>BY4-(L29*2)</f>
        <v>0.5</v>
      </c>
      <c r="BZ17" s="193">
        <f>BY17/2</f>
        <v>0.25</v>
      </c>
      <c r="CA17" s="162">
        <f>BZ17-0.025</f>
        <v>0.225</v>
      </c>
      <c r="CB17" s="160"/>
      <c r="CC17" s="160"/>
      <c r="CD17" s="182">
        <f>($CG$10*$CI$5)</f>
        <v>0.12571428571428572</v>
      </c>
      <c r="CE17" s="168">
        <f>-($CG$5*$CI$5)</f>
        <v>-0.3428571428571429</v>
      </c>
      <c r="CF17" s="160"/>
      <c r="CG17" s="182">
        <f>(0.025*CI5)</f>
        <v>0.028571428571428577</v>
      </c>
      <c r="CH17" s="168">
        <f>(($CG$5+0.1-0.025)*$CI$5)</f>
        <v>0.4285714285714286</v>
      </c>
      <c r="CI17" s="160"/>
      <c r="CJ17" s="160"/>
      <c r="CK17" s="160"/>
      <c r="CL17" s="160"/>
      <c r="CM17" s="160"/>
      <c r="CN17" s="160"/>
      <c r="CO17" s="160"/>
      <c r="CP17" s="160"/>
    </row>
    <row r="18" spans="1:94" ht="15.75" customHeight="1" thickBot="1">
      <c r="A18" s="101"/>
      <c r="B18" s="124" t="s">
        <v>38</v>
      </c>
      <c r="D18" s="101"/>
      <c r="E18" s="101"/>
      <c r="F18" s="101"/>
      <c r="G18" s="101"/>
      <c r="H18" s="101"/>
      <c r="I18" s="101"/>
      <c r="J18" s="22"/>
      <c r="K18" s="109"/>
      <c r="L18" s="566"/>
      <c r="M18" s="566"/>
      <c r="N18" s="566"/>
      <c r="O18" s="101"/>
      <c r="P18" s="101"/>
      <c r="Q18" s="120"/>
      <c r="R18" s="118"/>
      <c r="S18" s="101"/>
      <c r="T18" s="101"/>
      <c r="U18" s="101"/>
      <c r="V18" s="125"/>
      <c r="W18" s="126"/>
      <c r="X18" s="118"/>
      <c r="Y18" s="118"/>
      <c r="Z18" s="101"/>
      <c r="AA18" s="123"/>
      <c r="AB18" s="116"/>
      <c r="AC18" s="54"/>
      <c r="AD18" s="54"/>
      <c r="AE18" s="54"/>
      <c r="AF18" s="54"/>
      <c r="AG18" s="54"/>
      <c r="AH18" s="54"/>
      <c r="AI18" s="72"/>
      <c r="AJ18" s="72"/>
      <c r="AK18" s="72"/>
      <c r="AL18" s="54"/>
      <c r="AM18" s="337"/>
      <c r="AN18" s="337"/>
      <c r="AO18" s="323"/>
      <c r="AP18" s="323"/>
      <c r="AQ18" s="323"/>
      <c r="AR18" s="323"/>
      <c r="AS18" s="323"/>
      <c r="AT18" s="323"/>
      <c r="AU18" s="323"/>
      <c r="AV18" s="156"/>
      <c r="AW18" s="156"/>
      <c r="AX18" s="156"/>
      <c r="AY18" s="156"/>
      <c r="AZ18" s="156"/>
      <c r="BA18" s="156"/>
      <c r="BB18" s="156"/>
      <c r="BH18" s="154" t="s">
        <v>88</v>
      </c>
      <c r="BT18" s="154">
        <v>4</v>
      </c>
      <c r="BU18" s="156" t="s">
        <v>73</v>
      </c>
      <c r="BV18" s="177">
        <v>0.26</v>
      </c>
      <c r="BW18" s="177"/>
      <c r="BX18" s="156"/>
      <c r="CA18" s="160"/>
      <c r="CB18" s="160"/>
      <c r="CC18" s="160"/>
      <c r="CD18" s="182">
        <f>($BY$5*$CI$5)</f>
        <v>0.3428571428571429</v>
      </c>
      <c r="CE18" s="168">
        <f>-($CG$5*$CI$5)</f>
        <v>-0.3428571428571429</v>
      </c>
      <c r="CF18" s="160"/>
      <c r="CG18" s="182">
        <f>(0.025*CI5)</f>
        <v>0.028571428571428577</v>
      </c>
      <c r="CH18" s="168">
        <f>(($CG$5+0.1)*$CI$5)</f>
        <v>0.45714285714285724</v>
      </c>
      <c r="CI18" s="160"/>
      <c r="CJ18" s="160"/>
      <c r="CK18" s="160"/>
      <c r="CL18" s="160"/>
      <c r="CM18" s="160"/>
      <c r="CN18" s="160"/>
      <c r="CO18" s="160"/>
      <c r="CP18" s="160"/>
    </row>
    <row r="19" spans="1:94" ht="15.75" customHeight="1" thickBot="1">
      <c r="A19" s="101"/>
      <c r="B19" s="101" t="s">
        <v>97</v>
      </c>
      <c r="D19" s="101"/>
      <c r="E19" s="101"/>
      <c r="F19" s="101"/>
      <c r="G19" s="101"/>
      <c r="H19" s="101"/>
      <c r="I19" s="101"/>
      <c r="J19" s="22"/>
      <c r="K19" s="104" t="s">
        <v>3</v>
      </c>
      <c r="L19" s="540">
        <v>14957</v>
      </c>
      <c r="M19" s="540"/>
      <c r="N19" s="540"/>
      <c r="O19" s="101"/>
      <c r="P19" s="101"/>
      <c r="Q19" s="120"/>
      <c r="R19" s="118"/>
      <c r="S19" s="101"/>
      <c r="T19" s="101"/>
      <c r="U19" s="101"/>
      <c r="V19" s="125"/>
      <c r="W19" s="126"/>
      <c r="X19" s="118"/>
      <c r="Y19" s="118"/>
      <c r="Z19" s="101"/>
      <c r="AA19" s="123"/>
      <c r="AB19" s="116"/>
      <c r="AC19" s="593" t="s">
        <v>82</v>
      </c>
      <c r="AD19" s="594"/>
      <c r="AE19" s="594"/>
      <c r="AF19" s="594"/>
      <c r="AG19" s="594"/>
      <c r="AH19" s="594"/>
      <c r="AI19" s="594"/>
      <c r="AJ19" s="594"/>
      <c r="AK19" s="595"/>
      <c r="AL19" s="54"/>
      <c r="AM19" s="337"/>
      <c r="AN19" s="337"/>
      <c r="AO19" s="323"/>
      <c r="AP19" s="323"/>
      <c r="AQ19" s="323"/>
      <c r="AR19" s="323"/>
      <c r="AS19" s="323"/>
      <c r="AT19" s="323"/>
      <c r="AU19" s="323"/>
      <c r="AV19" s="156"/>
      <c r="AW19" s="156"/>
      <c r="AX19" s="156"/>
      <c r="AY19" s="156"/>
      <c r="AZ19" s="156"/>
      <c r="BA19" s="156"/>
      <c r="BB19" s="156"/>
      <c r="BH19" s="154" t="s">
        <v>89</v>
      </c>
      <c r="BT19" s="154">
        <v>5</v>
      </c>
      <c r="BU19" s="156" t="s">
        <v>74</v>
      </c>
      <c r="BV19" s="177">
        <v>0.3</v>
      </c>
      <c r="BW19" s="177"/>
      <c r="BX19" s="156"/>
      <c r="BY19" s="155" t="s">
        <v>126</v>
      </c>
      <c r="CA19" s="160"/>
      <c r="CB19" s="160"/>
      <c r="CC19" s="160"/>
      <c r="CD19" s="182">
        <f>($BY$5*$CI$5)</f>
        <v>0.3428571428571429</v>
      </c>
      <c r="CE19" s="168">
        <f>($CG$5*$CI$5)</f>
        <v>0.3428571428571429</v>
      </c>
      <c r="CF19" s="160"/>
      <c r="CG19" s="195">
        <f>($CJ$5*$CI$5)</f>
        <v>0.2</v>
      </c>
      <c r="CH19" s="176">
        <f>(($CG$5+0.1)*$CI$5)</f>
        <v>0.45714285714285724</v>
      </c>
      <c r="CI19" s="160"/>
      <c r="CJ19" s="160"/>
      <c r="CK19" s="160"/>
      <c r="CL19" s="160"/>
      <c r="CM19" s="160"/>
      <c r="CN19" s="160"/>
      <c r="CO19" s="160"/>
      <c r="CP19" s="160"/>
    </row>
    <row r="20" spans="1:94" ht="15.75" customHeight="1">
      <c r="A20" s="101"/>
      <c r="B20" s="101" t="s">
        <v>143</v>
      </c>
      <c r="D20" s="101"/>
      <c r="E20" s="101"/>
      <c r="F20" s="101"/>
      <c r="G20" s="101"/>
      <c r="H20" s="101"/>
      <c r="I20" s="101"/>
      <c r="J20" s="22"/>
      <c r="K20" s="104" t="s">
        <v>3</v>
      </c>
      <c r="L20" s="566">
        <f>L19*0.1</f>
        <v>1495.7</v>
      </c>
      <c r="M20" s="566"/>
      <c r="N20" s="566"/>
      <c r="O20" s="101"/>
      <c r="P20" s="101"/>
      <c r="Q20" s="120"/>
      <c r="R20" s="118"/>
      <c r="S20" s="101"/>
      <c r="T20" s="101"/>
      <c r="U20" s="101"/>
      <c r="V20" s="125"/>
      <c r="W20" s="126"/>
      <c r="X20" s="118"/>
      <c r="Y20" s="118"/>
      <c r="Z20" s="101"/>
      <c r="AA20" s="123"/>
      <c r="AB20" s="116"/>
      <c r="AC20" s="62"/>
      <c r="AD20" s="62"/>
      <c r="AE20" s="62"/>
      <c r="AF20" s="62"/>
      <c r="AG20" s="62"/>
      <c r="AH20" s="62"/>
      <c r="AI20" s="62"/>
      <c r="AJ20" s="62"/>
      <c r="AK20" s="62"/>
      <c r="AL20" s="54"/>
      <c r="AM20" s="337"/>
      <c r="AN20" s="337"/>
      <c r="AO20" s="323"/>
      <c r="AP20" s="323"/>
      <c r="AQ20" s="323"/>
      <c r="AR20" s="323"/>
      <c r="AS20" s="323"/>
      <c r="AT20" s="323"/>
      <c r="AU20" s="323"/>
      <c r="AV20" s="156"/>
      <c r="AW20" s="156"/>
      <c r="AX20" s="156"/>
      <c r="AY20" s="156"/>
      <c r="AZ20" s="156"/>
      <c r="BA20" s="156"/>
      <c r="BB20" s="156"/>
      <c r="BH20" s="154" t="s">
        <v>85</v>
      </c>
      <c r="BT20" s="154">
        <v>6</v>
      </c>
      <c r="BU20" s="156" t="s">
        <v>75</v>
      </c>
      <c r="BV20" s="177">
        <v>0.35</v>
      </c>
      <c r="BW20" s="177"/>
      <c r="BX20" s="156"/>
      <c r="BY20" s="181" t="s">
        <v>109</v>
      </c>
      <c r="BZ20" s="159" t="s">
        <v>110</v>
      </c>
      <c r="CA20" s="160"/>
      <c r="CB20" s="160"/>
      <c r="CC20" s="160"/>
      <c r="CD20" s="182">
        <f>($CD$5*$CI$5)</f>
        <v>0.14285714285714288</v>
      </c>
      <c r="CE20" s="168">
        <f>($CG$5*$CI$5)</f>
        <v>0.3428571428571429</v>
      </c>
      <c r="CF20" s="160"/>
      <c r="CG20" s="167"/>
      <c r="CH20" s="167"/>
      <c r="CI20" s="160"/>
      <c r="CJ20" s="160"/>
      <c r="CK20" s="160"/>
      <c r="CL20" s="160"/>
      <c r="CM20" s="160"/>
      <c r="CN20" s="160"/>
      <c r="CO20" s="160"/>
      <c r="CP20" s="160"/>
    </row>
    <row r="21" spans="1:94" ht="15.75" customHeight="1" thickBot="1">
      <c r="A21" s="101"/>
      <c r="B21" s="101" t="s">
        <v>98</v>
      </c>
      <c r="D21" s="101"/>
      <c r="E21" s="101"/>
      <c r="F21" s="101"/>
      <c r="G21" s="101"/>
      <c r="H21" s="101"/>
      <c r="I21" s="101"/>
      <c r="J21" s="22"/>
      <c r="K21" s="104" t="s">
        <v>3</v>
      </c>
      <c r="L21" s="566">
        <f>SUM(L19:N20)</f>
        <v>16452.7</v>
      </c>
      <c r="M21" s="566"/>
      <c r="N21" s="566"/>
      <c r="O21" s="101"/>
      <c r="P21" s="101"/>
      <c r="Q21" s="120"/>
      <c r="R21" s="118"/>
      <c r="S21" s="101"/>
      <c r="T21" s="101"/>
      <c r="U21" s="101"/>
      <c r="V21" s="125"/>
      <c r="W21" s="126"/>
      <c r="X21" s="118"/>
      <c r="Y21" s="118"/>
      <c r="Z21" s="101"/>
      <c r="AA21" s="123"/>
      <c r="AB21" s="116"/>
      <c r="AC21" s="62"/>
      <c r="AD21" s="62"/>
      <c r="AE21" s="62"/>
      <c r="AF21" s="62"/>
      <c r="AG21" s="62"/>
      <c r="AH21" s="62"/>
      <c r="AI21" s="62"/>
      <c r="AJ21" s="62"/>
      <c r="AK21" s="62"/>
      <c r="AL21" s="54"/>
      <c r="AM21" s="337"/>
      <c r="AN21" s="337"/>
      <c r="AO21" s="323"/>
      <c r="AP21" s="323"/>
      <c r="AQ21" s="323"/>
      <c r="AR21" s="323"/>
      <c r="AS21" s="323"/>
      <c r="AT21" s="323"/>
      <c r="AU21" s="323"/>
      <c r="AV21" s="156"/>
      <c r="AW21" s="156"/>
      <c r="AX21" s="156"/>
      <c r="AY21" s="156"/>
      <c r="AZ21" s="156"/>
      <c r="BA21" s="156"/>
      <c r="BB21" s="156"/>
      <c r="BM21" s="178" t="str">
        <f>VLOOKUP($BL$37,$BK$39:$BN$45,2,TRUE)</f>
        <v>DB16</v>
      </c>
      <c r="BO21" s="154" t="str">
        <f>CH22&amp;"-"&amp;BM21</f>
        <v>4-DB16</v>
      </c>
      <c r="BT21" s="154">
        <v>7</v>
      </c>
      <c r="BU21" s="156" t="s">
        <v>76</v>
      </c>
      <c r="BV21" s="177">
        <v>0.4</v>
      </c>
      <c r="BW21" s="177"/>
      <c r="BX21" s="156"/>
      <c r="BY21" s="183">
        <f>-(($BZ$17-L29)*$CI$5)</f>
        <v>-0.22857142857142862</v>
      </c>
      <c r="BZ21" s="168">
        <f>(($CG$5-L29)*$CI$5)</f>
        <v>0.28571428571428575</v>
      </c>
      <c r="CA21" s="160"/>
      <c r="CB21" s="160"/>
      <c r="CC21" s="160"/>
      <c r="CD21" s="188">
        <f>($CD$5*$CI$5)</f>
        <v>0.14285714285714288</v>
      </c>
      <c r="CE21" s="176">
        <f>(($CG$5+0.1)*$CI$5)</f>
        <v>0.45714285714285724</v>
      </c>
      <c r="CF21" s="160"/>
      <c r="CG21" s="162"/>
      <c r="CH21" s="162"/>
      <c r="CI21" s="160"/>
      <c r="CJ21" s="160"/>
      <c r="CK21" s="160"/>
      <c r="CL21" s="160"/>
      <c r="CM21" s="160"/>
      <c r="CN21" s="160"/>
      <c r="CO21" s="160"/>
      <c r="CP21" s="160"/>
    </row>
    <row r="22" spans="1:94" ht="15.75" customHeight="1" thickBot="1">
      <c r="A22" s="109"/>
      <c r="B22" s="109" t="str">
        <f>IF(AND(BW4&gt;=1,BW4&lt;=4),BJ31,IF(BW4&gt;4,BJ32))</f>
        <v>Use Driven Pile</v>
      </c>
      <c r="C22" s="101"/>
      <c r="D22" s="101"/>
      <c r="E22" s="101"/>
      <c r="F22" s="101" t="str">
        <f>BH28&amp;"X"&amp;BH29&amp;" m."</f>
        <v>I-0.22X0.22X21 m.</v>
      </c>
      <c r="G22" s="101"/>
      <c r="H22" s="101"/>
      <c r="I22" s="101"/>
      <c r="J22" s="127"/>
      <c r="K22" s="104"/>
      <c r="L22" s="585"/>
      <c r="M22" s="585"/>
      <c r="N22" s="585"/>
      <c r="O22" s="101"/>
      <c r="Q22" s="120"/>
      <c r="R22" s="118"/>
      <c r="S22" s="101"/>
      <c r="T22" s="101"/>
      <c r="U22" s="101"/>
      <c r="V22" s="101"/>
      <c r="W22" s="101"/>
      <c r="X22" s="118"/>
      <c r="Y22" s="118"/>
      <c r="Z22" s="101"/>
      <c r="AA22" s="119"/>
      <c r="AC22" s="41"/>
      <c r="AD22" s="41"/>
      <c r="AE22" s="41"/>
      <c r="AF22" s="41"/>
      <c r="AG22" s="41"/>
      <c r="AH22" s="54"/>
      <c r="AI22" s="54"/>
      <c r="AJ22" s="54"/>
      <c r="AK22" s="54"/>
      <c r="AL22" s="54"/>
      <c r="AM22" s="337"/>
      <c r="AN22" s="337"/>
      <c r="AO22" s="323"/>
      <c r="AP22" s="323"/>
      <c r="AQ22" s="323"/>
      <c r="AR22" s="323"/>
      <c r="AS22" s="323"/>
      <c r="AT22" s="323"/>
      <c r="AU22" s="323"/>
      <c r="AV22" s="156"/>
      <c r="AW22" s="156"/>
      <c r="AX22" s="156"/>
      <c r="AY22" s="156"/>
      <c r="AZ22" s="156"/>
      <c r="BA22" s="156"/>
      <c r="BB22" s="156"/>
      <c r="BG22" s="154">
        <v>1</v>
      </c>
      <c r="BH22" s="154" t="str">
        <f>VLOOKUP(BU$4,BT8:BW13,2,TRUE)</f>
        <v>I-0.22X0.22</v>
      </c>
      <c r="BM22" s="178">
        <f>VLOOKUP($BL$37,$BK$39:$BN$45,3,TRUE)</f>
        <v>1.6</v>
      </c>
      <c r="BU22" s="156"/>
      <c r="BV22" s="177"/>
      <c r="BW22" s="177"/>
      <c r="BX22" s="156"/>
      <c r="BY22" s="183">
        <f>-(($BZ$17)*$CI$5)</f>
        <v>-0.28571428571428575</v>
      </c>
      <c r="BZ22" s="168">
        <f>(($CG$5-L29)*$CI$5)</f>
        <v>0.28571428571428575</v>
      </c>
      <c r="CA22" s="160"/>
      <c r="CB22" s="160"/>
      <c r="CC22" s="160"/>
      <c r="CD22" s="187"/>
      <c r="CE22" s="160"/>
      <c r="CF22" s="160"/>
      <c r="CG22" s="197">
        <v>3</v>
      </c>
      <c r="CH22" s="177">
        <f>CG22+1</f>
        <v>4</v>
      </c>
      <c r="CI22" s="160"/>
      <c r="CJ22" s="160"/>
      <c r="CK22" s="160"/>
      <c r="CL22" s="160"/>
      <c r="CM22" s="160"/>
      <c r="CN22" s="160"/>
      <c r="CO22" s="160"/>
      <c r="CP22" s="160"/>
    </row>
    <row r="23" spans="1:94" ht="15.75" customHeight="1" thickBot="1">
      <c r="A23" s="109"/>
      <c r="B23" s="109" t="s">
        <v>144</v>
      </c>
      <c r="F23" s="102"/>
      <c r="G23" s="102"/>
      <c r="H23" s="102"/>
      <c r="J23" s="102"/>
      <c r="K23" s="104" t="s">
        <v>3</v>
      </c>
      <c r="L23" s="584">
        <v>22000</v>
      </c>
      <c r="M23" s="584"/>
      <c r="N23" s="584"/>
      <c r="O23" s="109"/>
      <c r="Q23" s="120"/>
      <c r="R23" s="101"/>
      <c r="S23" s="128"/>
      <c r="T23" s="128"/>
      <c r="U23" s="128"/>
      <c r="V23" s="128"/>
      <c r="W23" s="128"/>
      <c r="X23" s="101"/>
      <c r="Y23" s="101"/>
      <c r="Z23" s="101"/>
      <c r="AA23" s="119"/>
      <c r="AC23" s="593" t="s">
        <v>99</v>
      </c>
      <c r="AD23" s="594"/>
      <c r="AE23" s="594"/>
      <c r="AF23" s="594"/>
      <c r="AG23" s="594"/>
      <c r="AH23" s="96"/>
      <c r="AI23" s="97"/>
      <c r="AJ23" s="97"/>
      <c r="AK23" s="97"/>
      <c r="AL23" s="41"/>
      <c r="AM23" s="336"/>
      <c r="AN23" s="336"/>
      <c r="AZ23" s="156"/>
      <c r="BA23" s="156"/>
      <c r="BB23" s="156"/>
      <c r="BG23" s="154">
        <v>2</v>
      </c>
      <c r="BH23" s="154" t="str">
        <f>VLOOKUP(BU$4,BT15:BW21,2,TRUE)</f>
        <v>S-0.18X0.18</v>
      </c>
      <c r="BM23" s="198">
        <f>VLOOKUP($BL$37,$BK$39:$BN$45,4,TRUE)</f>
        <v>2.0106192982974678</v>
      </c>
      <c r="BO23" s="199">
        <f>CH22*BM23</f>
        <v>8.042477193189871</v>
      </c>
      <c r="BT23" s="154">
        <v>1</v>
      </c>
      <c r="BU23" s="156" t="s">
        <v>79</v>
      </c>
      <c r="BV23" s="177">
        <v>0.4</v>
      </c>
      <c r="BW23" s="177"/>
      <c r="BX23" s="156"/>
      <c r="BY23" s="183">
        <f>-(($BZ$17)*$CI$5)</f>
        <v>-0.28571428571428575</v>
      </c>
      <c r="BZ23" s="168">
        <f>-(($CG$5-0.075)*$CI$5)</f>
        <v>-0.2571428571428572</v>
      </c>
      <c r="CA23" s="160"/>
      <c r="CB23" s="160"/>
      <c r="CC23" s="160"/>
      <c r="CD23" s="187" t="s">
        <v>123</v>
      </c>
      <c r="CE23" s="160"/>
      <c r="CF23" s="160"/>
      <c r="CG23" s="179" t="s">
        <v>129</v>
      </c>
      <c r="CH23" s="162"/>
      <c r="CI23" s="160"/>
      <c r="CJ23" s="160"/>
      <c r="CK23" s="160"/>
      <c r="CL23" s="160"/>
      <c r="CM23" s="160"/>
      <c r="CN23" s="160"/>
      <c r="CO23" s="160"/>
      <c r="CP23" s="160"/>
    </row>
    <row r="24" spans="1:94" ht="15.75" customHeight="1" thickBot="1">
      <c r="A24" s="109"/>
      <c r="B24" s="98" t="str">
        <f>IF(BV4=1,BN34,IF(BV4=2,BN37))</f>
        <v>Width of Column , Wc (m.)</v>
      </c>
      <c r="K24" s="104" t="s">
        <v>3</v>
      </c>
      <c r="L24" s="588">
        <v>0.25</v>
      </c>
      <c r="M24" s="588"/>
      <c r="N24" s="588"/>
      <c r="O24" s="109"/>
      <c r="Q24" s="120"/>
      <c r="R24" s="101"/>
      <c r="S24" s="109"/>
      <c r="T24" s="109"/>
      <c r="U24" s="109"/>
      <c r="V24" s="109"/>
      <c r="W24" s="109"/>
      <c r="X24" s="101"/>
      <c r="Y24" s="101"/>
      <c r="Z24" s="101"/>
      <c r="AA24" s="119"/>
      <c r="AC24" s="590">
        <v>21</v>
      </c>
      <c r="AD24" s="591"/>
      <c r="AE24" s="591"/>
      <c r="AF24" s="591"/>
      <c r="AG24" s="592"/>
      <c r="AH24" s="54" t="s">
        <v>39</v>
      </c>
      <c r="AI24" s="54"/>
      <c r="AJ24" s="54"/>
      <c r="AK24" s="54"/>
      <c r="AL24" s="54"/>
      <c r="AM24" s="337"/>
      <c r="AN24" s="337"/>
      <c r="AO24" s="323"/>
      <c r="AP24" s="323"/>
      <c r="AQ24" s="323"/>
      <c r="AR24" s="323"/>
      <c r="AS24" s="323"/>
      <c r="AT24" s="323"/>
      <c r="AU24" s="323"/>
      <c r="AV24" s="156"/>
      <c r="AW24" s="156"/>
      <c r="AX24" s="156"/>
      <c r="AY24" s="156"/>
      <c r="AZ24" s="156"/>
      <c r="BA24" s="156"/>
      <c r="BB24" s="156"/>
      <c r="BG24" s="154">
        <v>3</v>
      </c>
      <c r="BH24" s="154" t="str">
        <f>VLOOKUP(BU$4,BT23:BW24,2,TRUE)</f>
        <v>SO-0.525X0.525</v>
      </c>
      <c r="BT24" s="154">
        <v>2</v>
      </c>
      <c r="BU24" s="156" t="s">
        <v>80</v>
      </c>
      <c r="BV24" s="177">
        <v>0.525</v>
      </c>
      <c r="BW24" s="177"/>
      <c r="BX24" s="156"/>
      <c r="BY24" s="183">
        <f>(($BZ$17)*$CI$5)</f>
        <v>0.28571428571428575</v>
      </c>
      <c r="BZ24" s="168">
        <f>-(($CG$5-0.075)*$CI$5)</f>
        <v>-0.2571428571428572</v>
      </c>
      <c r="CA24" s="160"/>
      <c r="CB24" s="160"/>
      <c r="CC24" s="160"/>
      <c r="CD24" s="192" t="s">
        <v>109</v>
      </c>
      <c r="CE24" s="159" t="s">
        <v>110</v>
      </c>
      <c r="CF24" s="160"/>
      <c r="CG24" s="162">
        <v>2</v>
      </c>
      <c r="CH24" s="202"/>
      <c r="CI24" s="160"/>
      <c r="CJ24" s="160"/>
      <c r="CK24" s="160"/>
      <c r="CL24" s="160"/>
      <c r="CM24" s="160"/>
      <c r="CN24" s="160"/>
      <c r="CO24" s="160"/>
      <c r="CP24" s="160"/>
    </row>
    <row r="25" spans="1:94" ht="15.75" customHeight="1" thickBot="1">
      <c r="A25" s="109"/>
      <c r="B25" s="98" t="str">
        <f>IF(BV4=1,BN35,IF(BV4=2,""))</f>
        <v>Long of Column , Lc (m.)</v>
      </c>
      <c r="K25" s="104" t="s">
        <v>3</v>
      </c>
      <c r="L25" s="588">
        <v>0.25</v>
      </c>
      <c r="M25" s="588"/>
      <c r="N25" s="588"/>
      <c r="O25" s="109"/>
      <c r="Q25" s="120"/>
      <c r="R25" s="101"/>
      <c r="S25" s="101"/>
      <c r="T25" s="101"/>
      <c r="U25" s="101"/>
      <c r="V25" s="101"/>
      <c r="W25" s="101"/>
      <c r="X25" s="101"/>
      <c r="Y25" s="101"/>
      <c r="Z25" s="101"/>
      <c r="AA25" s="119"/>
      <c r="AC25" s="593" t="s">
        <v>118</v>
      </c>
      <c r="AD25" s="594"/>
      <c r="AE25" s="594"/>
      <c r="AF25" s="594"/>
      <c r="AG25" s="594"/>
      <c r="AH25" s="594"/>
      <c r="AI25" s="594"/>
      <c r="AJ25" s="594"/>
      <c r="AK25" s="595"/>
      <c r="AL25" s="54"/>
      <c r="AM25" s="337"/>
      <c r="AN25" s="337"/>
      <c r="AO25" s="323"/>
      <c r="AP25" s="323"/>
      <c r="AQ25" s="323"/>
      <c r="AR25" s="323"/>
      <c r="AS25" s="323"/>
      <c r="AT25" s="323"/>
      <c r="AU25" s="323"/>
      <c r="AV25" s="156"/>
      <c r="AW25" s="156"/>
      <c r="AX25" s="156"/>
      <c r="AY25" s="156"/>
      <c r="AZ25" s="156"/>
      <c r="BA25" s="156"/>
      <c r="BB25" s="156"/>
      <c r="BG25" s="154">
        <v>4</v>
      </c>
      <c r="BH25" s="154" t="str">
        <f>VLOOKUP(BU$4,BT26:BW26,2,TRUE)</f>
        <v>Hp-0.15X0.15</v>
      </c>
      <c r="BV25" s="177"/>
      <c r="BW25" s="177"/>
      <c r="BX25" s="156"/>
      <c r="BY25" s="183">
        <f>(($BZ$17)*$CI$5)</f>
        <v>0.28571428571428575</v>
      </c>
      <c r="BZ25" s="168">
        <f>(($CG$5-L29)*$CI$5)</f>
        <v>0.28571428571428575</v>
      </c>
      <c r="CA25" s="160"/>
      <c r="CB25" s="160"/>
      <c r="CC25" s="160"/>
      <c r="CD25" s="182">
        <f>-($CG$10*$CI$5)</f>
        <v>-0.12571428571428572</v>
      </c>
      <c r="CE25" s="168">
        <f>-(($CG$5-0.05)*$CI$5)</f>
        <v>-0.28571428571428575</v>
      </c>
      <c r="CF25" s="160"/>
      <c r="CG25" s="162">
        <v>3</v>
      </c>
      <c r="CH25" s="162"/>
      <c r="CI25" s="160"/>
      <c r="CJ25" s="160"/>
      <c r="CK25" s="160"/>
      <c r="CL25" s="160"/>
      <c r="CM25" s="160"/>
      <c r="CN25" s="160"/>
      <c r="CO25" s="160"/>
      <c r="CP25" s="160"/>
    </row>
    <row r="26" spans="1:94" ht="15.75" customHeight="1" thickBot="1">
      <c r="A26" s="109"/>
      <c r="B26" s="116" t="s">
        <v>104</v>
      </c>
      <c r="C26" s="116"/>
      <c r="D26" s="116"/>
      <c r="E26" s="116"/>
      <c r="F26" s="116"/>
      <c r="G26" s="116"/>
      <c r="H26" s="116"/>
      <c r="I26" s="116"/>
      <c r="J26" s="116"/>
      <c r="K26" s="104" t="s">
        <v>3</v>
      </c>
      <c r="L26" s="588">
        <v>0.6</v>
      </c>
      <c r="M26" s="588"/>
      <c r="N26" s="588"/>
      <c r="O26" s="109"/>
      <c r="Q26" s="120"/>
      <c r="R26" s="101"/>
      <c r="S26" s="101"/>
      <c r="T26" s="101"/>
      <c r="U26" s="109"/>
      <c r="V26" s="129"/>
      <c r="W26" s="129"/>
      <c r="X26" s="129"/>
      <c r="Y26" s="129"/>
      <c r="Z26" s="101"/>
      <c r="AA26" s="119"/>
      <c r="AC26" s="62"/>
      <c r="AD26" s="62"/>
      <c r="AE26" s="62"/>
      <c r="AF26" s="62"/>
      <c r="AG26" s="62"/>
      <c r="AH26" s="62"/>
      <c r="AI26" s="62"/>
      <c r="AJ26" s="62"/>
      <c r="AK26" s="62"/>
      <c r="AL26" s="54"/>
      <c r="AM26" s="337"/>
      <c r="AN26" s="337"/>
      <c r="AO26" s="323"/>
      <c r="AP26" s="323"/>
      <c r="AQ26" s="323"/>
      <c r="AR26" s="323"/>
      <c r="AS26" s="323"/>
      <c r="AT26" s="323"/>
      <c r="AU26" s="323"/>
      <c r="AV26" s="156"/>
      <c r="AW26" s="156"/>
      <c r="AX26" s="156"/>
      <c r="AY26" s="156"/>
      <c r="AZ26" s="156"/>
      <c r="BA26" s="156"/>
      <c r="BB26" s="156"/>
      <c r="BG26" s="154">
        <v>5</v>
      </c>
      <c r="BH26" s="154" t="str">
        <f>VLOOKUP(BU$4,BT28:BW31,2,TRUE)</f>
        <v>DIA.-0.50</v>
      </c>
      <c r="BM26" s="184"/>
      <c r="BT26" s="154">
        <v>1</v>
      </c>
      <c r="BU26" s="156" t="s">
        <v>81</v>
      </c>
      <c r="BV26" s="177">
        <v>0.15</v>
      </c>
      <c r="BW26" s="177"/>
      <c r="BX26" s="156"/>
      <c r="BY26" s="189">
        <f>(($BZ$17-L29)*$CI$5)</f>
        <v>0.22857142857142862</v>
      </c>
      <c r="BZ26" s="176">
        <f>(($CG$5-L29)*$CI$5)</f>
        <v>0.28571428571428575</v>
      </c>
      <c r="CA26" s="160"/>
      <c r="CB26" s="160"/>
      <c r="CC26" s="160"/>
      <c r="CD26" s="182">
        <f>($CG$10*$CI$5)</f>
        <v>0.12571428571428572</v>
      </c>
      <c r="CE26" s="168">
        <f>-(($CG$5-0.05)*$CI$5)</f>
        <v>-0.28571428571428575</v>
      </c>
      <c r="CF26" s="160"/>
      <c r="CG26" s="162">
        <v>4</v>
      </c>
      <c r="CH26" s="162"/>
      <c r="CI26" s="160"/>
      <c r="CJ26" s="160"/>
      <c r="CK26" s="160"/>
      <c r="CL26" s="160"/>
      <c r="CM26" s="160"/>
      <c r="CN26" s="160"/>
      <c r="CO26" s="160"/>
      <c r="CP26" s="160"/>
    </row>
    <row r="27" spans="1:94" ht="15.75" customHeight="1" thickBot="1">
      <c r="A27" s="109"/>
      <c r="B27" s="101" t="s">
        <v>105</v>
      </c>
      <c r="C27" s="116"/>
      <c r="D27" s="116"/>
      <c r="E27" s="116"/>
      <c r="F27" s="116"/>
      <c r="G27" s="116"/>
      <c r="H27" s="116"/>
      <c r="I27" s="116"/>
      <c r="J27" s="116"/>
      <c r="K27" s="104" t="s">
        <v>3</v>
      </c>
      <c r="L27" s="588">
        <v>0.6</v>
      </c>
      <c r="M27" s="588"/>
      <c r="N27" s="588"/>
      <c r="O27" s="109"/>
      <c r="Q27" s="117"/>
      <c r="R27" s="109"/>
      <c r="S27" s="109"/>
      <c r="T27" s="109"/>
      <c r="U27" s="109"/>
      <c r="V27" s="129"/>
      <c r="W27" s="129"/>
      <c r="X27" s="129"/>
      <c r="Y27" s="129"/>
      <c r="Z27" s="101"/>
      <c r="AA27" s="119"/>
      <c r="AC27" s="62"/>
      <c r="AD27" s="62"/>
      <c r="AE27" s="62"/>
      <c r="AF27" s="62"/>
      <c r="AG27" s="62"/>
      <c r="AH27" s="62"/>
      <c r="AI27" s="62"/>
      <c r="AJ27" s="62"/>
      <c r="AK27" s="62"/>
      <c r="AL27" s="54"/>
      <c r="AM27" s="337"/>
      <c r="AN27" s="337"/>
      <c r="AO27" s="323"/>
      <c r="AP27" s="323"/>
      <c r="AQ27" s="323"/>
      <c r="AR27" s="323"/>
      <c r="AS27" s="323"/>
      <c r="AT27" s="323"/>
      <c r="AU27" s="323"/>
      <c r="AV27" s="156"/>
      <c r="AW27" s="156"/>
      <c r="AX27" s="156"/>
      <c r="AY27" s="156"/>
      <c r="AZ27" s="156"/>
      <c r="BA27" s="156"/>
      <c r="BB27" s="156"/>
      <c r="BU27" s="156"/>
      <c r="BV27" s="177"/>
      <c r="BW27" s="177"/>
      <c r="BX27" s="156"/>
      <c r="BY27" s="167"/>
      <c r="BZ27" s="167"/>
      <c r="CA27" s="160"/>
      <c r="CB27" s="160"/>
      <c r="CC27" s="160"/>
      <c r="CD27" s="182">
        <f>($CG$10*$CI$5)</f>
        <v>0.12571428571428572</v>
      </c>
      <c r="CE27" s="194">
        <f>-($CH$9*$CI$5)</f>
        <v>-0.5142857142857143</v>
      </c>
      <c r="CF27" s="160"/>
      <c r="CG27" s="162">
        <v>5</v>
      </c>
      <c r="CH27" s="162"/>
      <c r="CI27" s="160"/>
      <c r="CJ27" s="160"/>
      <c r="CK27" s="160"/>
      <c r="CL27" s="160"/>
      <c r="CM27" s="160"/>
      <c r="CN27" s="160"/>
      <c r="CO27" s="160"/>
      <c r="CP27" s="160"/>
    </row>
    <row r="28" spans="1:94" ht="15.75" customHeight="1">
      <c r="A28" s="109"/>
      <c r="B28" s="98" t="s">
        <v>106</v>
      </c>
      <c r="H28" s="116"/>
      <c r="I28" s="116"/>
      <c r="J28" s="116"/>
      <c r="K28" s="104" t="s">
        <v>3</v>
      </c>
      <c r="L28" s="588">
        <v>0.6</v>
      </c>
      <c r="M28" s="588"/>
      <c r="N28" s="588"/>
      <c r="O28" s="109"/>
      <c r="Q28" s="130"/>
      <c r="R28" s="101"/>
      <c r="S28" s="104"/>
      <c r="T28" s="104"/>
      <c r="U28" s="109"/>
      <c r="V28" s="131"/>
      <c r="W28" s="131"/>
      <c r="X28" s="131"/>
      <c r="Y28" s="131"/>
      <c r="Z28" s="101"/>
      <c r="AA28" s="119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337"/>
      <c r="AN28" s="337"/>
      <c r="AO28" s="323"/>
      <c r="AP28" s="323"/>
      <c r="AQ28" s="323"/>
      <c r="AR28" s="323"/>
      <c r="AS28" s="323"/>
      <c r="AT28" s="323"/>
      <c r="AU28" s="323"/>
      <c r="AV28" s="156"/>
      <c r="AW28" s="156"/>
      <c r="AX28" s="156"/>
      <c r="AY28" s="156"/>
      <c r="AZ28" s="156"/>
      <c r="BA28" s="156"/>
      <c r="BB28" s="156"/>
      <c r="BH28" s="154" t="str">
        <f>VLOOKUP($BW$4,BG22:BH26,2,TRUE)</f>
        <v>I-0.22X0.22</v>
      </c>
      <c r="BK28" s="154">
        <f>VLOOKUP(BU4,BK8:BL14,2,TRUE)</f>
        <v>0.22</v>
      </c>
      <c r="BT28" s="154">
        <v>1</v>
      </c>
      <c r="BU28" s="203" t="s">
        <v>90</v>
      </c>
      <c r="BV28" s="204">
        <v>0.35</v>
      </c>
      <c r="BW28" s="204"/>
      <c r="BX28" s="156"/>
      <c r="BY28" s="185" t="s">
        <v>109</v>
      </c>
      <c r="BZ28" s="186" t="s">
        <v>110</v>
      </c>
      <c r="CA28" s="160"/>
      <c r="CB28" s="160"/>
      <c r="CC28" s="160"/>
      <c r="CD28" s="182">
        <f>-($CG$10*$CI$5)</f>
        <v>-0.12571428571428572</v>
      </c>
      <c r="CE28" s="194">
        <f>-($CH$9*$CI$5)</f>
        <v>-0.5142857142857143</v>
      </c>
      <c r="CF28" s="160"/>
      <c r="CG28" s="162">
        <v>6</v>
      </c>
      <c r="CH28" s="160"/>
      <c r="CI28" s="160"/>
      <c r="CJ28" s="160"/>
      <c r="CK28" s="160"/>
      <c r="CL28" s="160"/>
      <c r="CM28" s="160"/>
      <c r="CN28" s="160"/>
      <c r="CO28" s="160"/>
      <c r="CP28" s="160"/>
    </row>
    <row r="29" spans="1:94" ht="15.75" customHeight="1" thickBot="1">
      <c r="A29" s="101"/>
      <c r="B29" s="98" t="s">
        <v>107</v>
      </c>
      <c r="H29" s="116"/>
      <c r="I29" s="116"/>
      <c r="J29" s="116"/>
      <c r="K29" s="104" t="s">
        <v>3</v>
      </c>
      <c r="L29" s="589">
        <v>0.05</v>
      </c>
      <c r="M29" s="589"/>
      <c r="N29" s="589"/>
      <c r="O29" s="101"/>
      <c r="Q29" s="120"/>
      <c r="R29" s="101"/>
      <c r="S29" s="101"/>
      <c r="T29" s="101"/>
      <c r="U29" s="101"/>
      <c r="V29" s="104"/>
      <c r="W29" s="109"/>
      <c r="X29" s="101"/>
      <c r="Y29" s="101"/>
      <c r="Z29" s="101"/>
      <c r="AA29" s="119"/>
      <c r="AB29" s="101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337"/>
      <c r="AN29" s="337"/>
      <c r="AO29" s="323"/>
      <c r="AP29" s="323"/>
      <c r="AQ29" s="323"/>
      <c r="AR29" s="323"/>
      <c r="AS29" s="323"/>
      <c r="AT29" s="323"/>
      <c r="AU29" s="323"/>
      <c r="AV29" s="156"/>
      <c r="AW29" s="156"/>
      <c r="AX29" s="156"/>
      <c r="AY29" s="156"/>
      <c r="AZ29" s="156"/>
      <c r="BA29" s="156"/>
      <c r="BB29" s="156"/>
      <c r="BH29" s="154">
        <f>AC24</f>
        <v>21</v>
      </c>
      <c r="BT29" s="154">
        <v>2</v>
      </c>
      <c r="BU29" s="203" t="s">
        <v>91</v>
      </c>
      <c r="BV29" s="204">
        <v>0.5</v>
      </c>
      <c r="BW29" s="204"/>
      <c r="BX29" s="156"/>
      <c r="BY29" s="182">
        <f>-($BY$5*$CI$5)</f>
        <v>-0.3428571428571429</v>
      </c>
      <c r="BZ29" s="168">
        <f>-(($CG$5+0.05)*$CI$5)</f>
        <v>-0.4</v>
      </c>
      <c r="CA29" s="160"/>
      <c r="CB29" s="160"/>
      <c r="CC29" s="160"/>
      <c r="CD29" s="188">
        <f>-($CG$10*$CI$5)</f>
        <v>-0.12571428571428572</v>
      </c>
      <c r="CE29" s="176">
        <f>-(($CG$5-0.05)*$CI$5)</f>
        <v>-0.28571428571428575</v>
      </c>
      <c r="CF29" s="160"/>
      <c r="CG29" s="162">
        <v>7</v>
      </c>
      <c r="CH29" s="160"/>
      <c r="CI29" s="160"/>
      <c r="CJ29" s="160"/>
      <c r="CK29" s="160"/>
      <c r="CL29" s="160"/>
      <c r="CM29" s="160"/>
      <c r="CN29" s="160"/>
      <c r="CO29" s="160"/>
      <c r="CP29" s="160"/>
    </row>
    <row r="30" spans="1:94" ht="15.75" customHeight="1">
      <c r="A30" s="101"/>
      <c r="B30" s="132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20"/>
      <c r="R30" s="101"/>
      <c r="S30" s="101"/>
      <c r="T30" s="101"/>
      <c r="U30" s="101"/>
      <c r="V30" s="101"/>
      <c r="W30" s="101"/>
      <c r="X30" s="101"/>
      <c r="Y30" s="101"/>
      <c r="Z30" s="101"/>
      <c r="AA30" s="119"/>
      <c r="AB30" s="101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337"/>
      <c r="AN30" s="337"/>
      <c r="AO30" s="323"/>
      <c r="AP30" s="323"/>
      <c r="AQ30" s="323"/>
      <c r="AR30" s="323"/>
      <c r="AS30" s="323"/>
      <c r="AT30" s="323"/>
      <c r="AU30" s="323"/>
      <c r="AV30" s="156"/>
      <c r="AW30" s="156"/>
      <c r="AX30" s="156"/>
      <c r="AY30" s="156"/>
      <c r="AZ30" s="156"/>
      <c r="BA30" s="156"/>
      <c r="BB30" s="156"/>
      <c r="BI30" s="178"/>
      <c r="BJ30" s="205"/>
      <c r="BK30" s="206"/>
      <c r="BT30" s="154">
        <v>3</v>
      </c>
      <c r="BU30" s="203" t="s">
        <v>92</v>
      </c>
      <c r="BV30" s="204">
        <v>0.6</v>
      </c>
      <c r="BW30" s="204"/>
      <c r="BX30" s="156"/>
      <c r="BY30" s="182">
        <f>-($CG$10*$CI$5)</f>
        <v>-0.12571428571428572</v>
      </c>
      <c r="BZ30" s="168">
        <f>-(($CG$5+0.05)*$CI$5)</f>
        <v>-0.4</v>
      </c>
      <c r="CA30" s="163"/>
      <c r="CB30" s="160"/>
      <c r="CC30" s="160"/>
      <c r="CD30" s="196"/>
      <c r="CE30" s="162"/>
      <c r="CF30" s="160"/>
      <c r="CG30" s="162">
        <v>8</v>
      </c>
      <c r="CH30" s="160"/>
      <c r="CI30" s="160"/>
      <c r="CJ30" s="160"/>
      <c r="CK30" s="160"/>
      <c r="CL30" s="160"/>
      <c r="CM30" s="160"/>
      <c r="CN30" s="160"/>
      <c r="CO30" s="160"/>
      <c r="CP30" s="160"/>
    </row>
    <row r="31" spans="1:94" ht="15.75" customHeight="1">
      <c r="A31" s="101"/>
      <c r="B31" s="124" t="s">
        <v>131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20"/>
      <c r="R31" s="101"/>
      <c r="S31" s="101"/>
      <c r="T31" s="101"/>
      <c r="U31" s="101"/>
      <c r="V31" s="101"/>
      <c r="W31" s="101"/>
      <c r="X31" s="101"/>
      <c r="Y31" s="101"/>
      <c r="Z31" s="101"/>
      <c r="AA31" s="119"/>
      <c r="AB31" s="101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337"/>
      <c r="AN31" s="337"/>
      <c r="AO31" s="323"/>
      <c r="AP31" s="323"/>
      <c r="AQ31" s="323"/>
      <c r="AR31" s="323"/>
      <c r="AS31" s="323"/>
      <c r="AT31" s="323"/>
      <c r="AU31" s="323"/>
      <c r="AV31" s="156"/>
      <c r="AW31" s="156"/>
      <c r="AX31" s="156"/>
      <c r="AY31" s="156"/>
      <c r="AZ31" s="156"/>
      <c r="BA31" s="156"/>
      <c r="BB31" s="156"/>
      <c r="BI31" s="178"/>
      <c r="BJ31" s="154" t="s">
        <v>100</v>
      </c>
      <c r="BK31" s="206"/>
      <c r="BT31" s="154">
        <v>4</v>
      </c>
      <c r="BU31" s="203" t="s">
        <v>93</v>
      </c>
      <c r="BV31" s="204">
        <v>0.8</v>
      </c>
      <c r="BW31" s="204"/>
      <c r="BX31" s="156"/>
      <c r="BY31" s="166"/>
      <c r="BZ31" s="207"/>
      <c r="CA31" s="163"/>
      <c r="CB31" s="160"/>
      <c r="CC31" s="160"/>
      <c r="CD31" s="196"/>
      <c r="CE31" s="162" t="s">
        <v>109</v>
      </c>
      <c r="CF31" s="162" t="s">
        <v>110</v>
      </c>
      <c r="CG31" s="160"/>
      <c r="CH31" s="162" t="s">
        <v>109</v>
      </c>
      <c r="CI31" s="162" t="s">
        <v>110</v>
      </c>
      <c r="CJ31" s="160"/>
      <c r="CK31" s="160"/>
      <c r="CL31" s="160"/>
      <c r="CM31" s="160"/>
      <c r="CN31" s="160"/>
      <c r="CO31" s="160"/>
      <c r="CP31" s="160"/>
    </row>
    <row r="32" spans="1:94" ht="15.75" customHeight="1">
      <c r="A32" s="109"/>
      <c r="B32" s="101" t="s">
        <v>132</v>
      </c>
      <c r="C32" s="101"/>
      <c r="D32" s="101"/>
      <c r="E32" s="109"/>
      <c r="F32" s="109"/>
      <c r="G32" s="109"/>
      <c r="H32" s="109"/>
      <c r="I32" s="109"/>
      <c r="J32" s="109"/>
      <c r="K32" s="104" t="s">
        <v>3</v>
      </c>
      <c r="L32" s="564">
        <f>BO10</f>
        <v>132345</v>
      </c>
      <c r="M32" s="564"/>
      <c r="N32" s="564"/>
      <c r="O32" s="109"/>
      <c r="P32" s="123"/>
      <c r="Q32" s="117"/>
      <c r="R32" s="109"/>
      <c r="S32" s="109"/>
      <c r="T32" s="109"/>
      <c r="U32" s="109"/>
      <c r="V32" s="109"/>
      <c r="W32" s="109"/>
      <c r="X32" s="109"/>
      <c r="Y32" s="109"/>
      <c r="Z32" s="109"/>
      <c r="AA32" s="123"/>
      <c r="AB32" s="109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337"/>
      <c r="AN32" s="337"/>
      <c r="AO32" s="323"/>
      <c r="AP32" s="323"/>
      <c r="AQ32" s="323"/>
      <c r="AR32" s="323"/>
      <c r="AS32" s="323"/>
      <c r="AT32" s="323"/>
      <c r="AU32" s="323"/>
      <c r="AV32" s="156"/>
      <c r="AW32" s="156"/>
      <c r="AX32" s="156"/>
      <c r="AY32" s="156"/>
      <c r="AZ32" s="156"/>
      <c r="BA32" s="156"/>
      <c r="BB32" s="156"/>
      <c r="BI32" s="178"/>
      <c r="BJ32" s="208" t="s">
        <v>101</v>
      </c>
      <c r="BK32" s="206"/>
      <c r="BU32" s="156"/>
      <c r="BV32" s="156"/>
      <c r="BW32" s="156"/>
      <c r="BX32" s="156"/>
      <c r="BY32" s="182">
        <f>($CG$10*$CI$5)</f>
        <v>0.12571428571428572</v>
      </c>
      <c r="BZ32" s="168">
        <f>-(($CG$5+0.05)*$CI$5)</f>
        <v>-0.4</v>
      </c>
      <c r="CA32" s="163"/>
      <c r="CB32" s="160"/>
      <c r="CC32" s="160"/>
      <c r="CD32" s="324">
        <f>CA5+0.15</f>
        <v>0.44999999999999996</v>
      </c>
      <c r="CE32" s="325">
        <v>0.6</v>
      </c>
      <c r="CF32" s="326">
        <f>($BZ$5*$CB$5)</f>
        <v>0.4</v>
      </c>
      <c r="CG32" s="160"/>
      <c r="CH32" s="327">
        <f>-($BY$5*$CB$5)</f>
        <v>-0.4</v>
      </c>
      <c r="CI32" s="328">
        <v>0.6</v>
      </c>
      <c r="CJ32" s="160"/>
      <c r="CK32" s="325">
        <v>0.6</v>
      </c>
      <c r="CL32" s="326">
        <f>($CG$5*$CI$5)</f>
        <v>0.3428571428571429</v>
      </c>
      <c r="CM32" s="160"/>
      <c r="CN32" s="160"/>
      <c r="CO32" s="160"/>
      <c r="CP32" s="160"/>
    </row>
    <row r="33" spans="1:94" ht="15.75" customHeight="1" thickBot="1">
      <c r="A33" s="109"/>
      <c r="B33" s="133" t="s">
        <v>139</v>
      </c>
      <c r="C33" s="101" t="s">
        <v>137</v>
      </c>
      <c r="D33" s="101"/>
      <c r="E33" s="104" t="str">
        <f>IF(BO12=1,"&gt;",IF(BO12=2,"&lt;"))</f>
        <v>&gt;</v>
      </c>
      <c r="F33" s="109" t="s">
        <v>140</v>
      </c>
      <c r="G33" s="109"/>
      <c r="H33" s="109"/>
      <c r="I33" s="109"/>
      <c r="J33" s="109"/>
      <c r="K33" s="104"/>
      <c r="L33" s="565" t="str">
        <f>IF(BO12=1,"Ok.",IF(BO12=2,"Not Ok."))</f>
        <v>Ok.</v>
      </c>
      <c r="M33" s="565"/>
      <c r="N33" s="565"/>
      <c r="O33" s="109"/>
      <c r="P33" s="109"/>
      <c r="Q33" s="117"/>
      <c r="R33" s="109"/>
      <c r="S33" s="109"/>
      <c r="T33" s="109"/>
      <c r="U33" s="109"/>
      <c r="V33" s="109"/>
      <c r="W33" s="109"/>
      <c r="X33" s="109"/>
      <c r="Y33" s="109"/>
      <c r="Z33" s="109"/>
      <c r="AA33" s="123"/>
      <c r="AB33" s="109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337"/>
      <c r="AN33" s="337"/>
      <c r="AO33" s="323"/>
      <c r="AP33" s="323"/>
      <c r="AQ33" s="323"/>
      <c r="AR33" s="323"/>
      <c r="AS33" s="323"/>
      <c r="AT33" s="323"/>
      <c r="AU33" s="323"/>
      <c r="AV33" s="156"/>
      <c r="AW33" s="156"/>
      <c r="AX33" s="156"/>
      <c r="AY33" s="156"/>
      <c r="AZ33" s="156"/>
      <c r="BA33" s="156"/>
      <c r="BB33" s="156"/>
      <c r="BU33" s="156"/>
      <c r="BV33" s="156"/>
      <c r="BW33" s="156"/>
      <c r="BX33" s="156"/>
      <c r="BY33" s="188">
        <f>($BY$5*$CI$5)</f>
        <v>0.3428571428571429</v>
      </c>
      <c r="BZ33" s="176">
        <f>-(($CG$5+0.05)*$CI$5)</f>
        <v>-0.4</v>
      </c>
      <c r="CA33" s="163"/>
      <c r="CB33" s="160"/>
      <c r="CC33" s="160"/>
      <c r="CD33" s="324">
        <f>CD32-0.1</f>
        <v>0.35</v>
      </c>
      <c r="CE33" s="329">
        <v>0.466666667</v>
      </c>
      <c r="CF33" s="330">
        <f>($BZ$5*$CB$5)</f>
        <v>0.4</v>
      </c>
      <c r="CG33" s="160"/>
      <c r="CH33" s="331">
        <f>-($BY$5*$CB$5)</f>
        <v>-0.4</v>
      </c>
      <c r="CI33" s="332">
        <v>0.4666666667</v>
      </c>
      <c r="CJ33" s="160"/>
      <c r="CK33" s="329">
        <v>0.46666666667</v>
      </c>
      <c r="CL33" s="330">
        <f>($CG$5*$CI$5)</f>
        <v>0.3428571428571429</v>
      </c>
      <c r="CM33" s="160"/>
      <c r="CN33" s="160"/>
      <c r="CO33" s="160"/>
      <c r="CP33" s="160"/>
    </row>
    <row r="34" spans="1:94" ht="15.75" customHeight="1" thickBot="1">
      <c r="A34" s="109"/>
      <c r="B34" s="98" t="s">
        <v>142</v>
      </c>
      <c r="K34" s="102" t="s">
        <v>3</v>
      </c>
      <c r="L34" s="560">
        <f>BO13</f>
        <v>7.2</v>
      </c>
      <c r="M34" s="561"/>
      <c r="N34" s="561"/>
      <c r="O34" s="109"/>
      <c r="P34" s="109"/>
      <c r="Q34" s="117"/>
      <c r="R34" s="109"/>
      <c r="S34" s="109"/>
      <c r="T34" s="109"/>
      <c r="U34" s="109"/>
      <c r="V34" s="134"/>
      <c r="W34" s="134"/>
      <c r="X34" s="134"/>
      <c r="Y34" s="134"/>
      <c r="Z34" s="134"/>
      <c r="AA34" s="123"/>
      <c r="AB34" s="109"/>
      <c r="AC34" s="596" t="s">
        <v>156</v>
      </c>
      <c r="AD34" s="597"/>
      <c r="AE34" s="597"/>
      <c r="AF34" s="598"/>
      <c r="AG34" s="54"/>
      <c r="AH34" s="54"/>
      <c r="AI34" s="54"/>
      <c r="AJ34" s="54"/>
      <c r="AK34" s="54"/>
      <c r="AL34" s="54"/>
      <c r="AM34" s="337"/>
      <c r="AN34" s="337"/>
      <c r="AO34" s="323"/>
      <c r="AP34" s="323"/>
      <c r="AQ34" s="323"/>
      <c r="AR34" s="323"/>
      <c r="AS34" s="323"/>
      <c r="AT34" s="323"/>
      <c r="AU34" s="323"/>
      <c r="AV34" s="156"/>
      <c r="AW34" s="156"/>
      <c r="AX34" s="156"/>
      <c r="AY34" s="156"/>
      <c r="AZ34" s="156"/>
      <c r="BA34" s="156"/>
      <c r="BB34" s="156"/>
      <c r="BN34" s="160" t="s">
        <v>102</v>
      </c>
      <c r="BO34" s="209"/>
      <c r="BP34" s="209"/>
      <c r="BQ34" s="209"/>
      <c r="BR34" s="209"/>
      <c r="BS34" s="209"/>
      <c r="BT34" s="210"/>
      <c r="BU34" s="210"/>
      <c r="BV34" s="210"/>
      <c r="BW34" s="162"/>
      <c r="BY34" s="193"/>
      <c r="BZ34" s="193"/>
      <c r="CA34" s="163"/>
      <c r="CB34" s="160"/>
      <c r="CC34" s="169"/>
      <c r="CD34" s="196">
        <f>(0.1/2)+CD33</f>
        <v>0.39999999999999997</v>
      </c>
      <c r="CE34" s="162"/>
      <c r="CF34" s="162"/>
      <c r="CG34" s="160"/>
      <c r="CH34" s="162"/>
      <c r="CI34" s="162"/>
      <c r="CJ34" s="160"/>
      <c r="CK34" s="162"/>
      <c r="CL34" s="162"/>
      <c r="CM34" s="160"/>
      <c r="CN34" s="160"/>
      <c r="CO34" s="160"/>
      <c r="CP34" s="160"/>
    </row>
    <row r="35" spans="1:94" ht="15.75" customHeight="1" thickBot="1">
      <c r="A35" s="101"/>
      <c r="B35" s="101" t="s">
        <v>138</v>
      </c>
      <c r="C35" s="101"/>
      <c r="D35" s="101"/>
      <c r="E35" s="135"/>
      <c r="F35" s="136"/>
      <c r="G35" s="556" t="str">
        <f>BO21</f>
        <v>4-DB16</v>
      </c>
      <c r="H35" s="556"/>
      <c r="I35" s="556"/>
      <c r="J35" s="556"/>
      <c r="K35" s="137" t="s">
        <v>3</v>
      </c>
      <c r="L35" s="562">
        <f>BO23</f>
        <v>8.042477193189871</v>
      </c>
      <c r="M35" s="562"/>
      <c r="N35" s="562"/>
      <c r="O35" s="562" t="str">
        <f>IF(L35&gt;=L34,"Ok.",IF(L35&lt;L34,"Not Ok."))</f>
        <v>Ok.</v>
      </c>
      <c r="P35" s="563"/>
      <c r="Q35" s="117"/>
      <c r="R35" s="109"/>
      <c r="S35" s="109"/>
      <c r="T35" s="109"/>
      <c r="U35" s="109"/>
      <c r="V35" s="134"/>
      <c r="W35" s="134"/>
      <c r="X35" s="134"/>
      <c r="Y35" s="134"/>
      <c r="Z35" s="134"/>
      <c r="AA35" s="123"/>
      <c r="AB35" s="109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337"/>
      <c r="AN35" s="337"/>
      <c r="AO35" s="323"/>
      <c r="AP35" s="323"/>
      <c r="AQ35" s="323"/>
      <c r="AR35" s="323"/>
      <c r="AS35" s="323"/>
      <c r="AT35" s="323"/>
      <c r="AU35" s="323"/>
      <c r="AV35" s="156"/>
      <c r="AW35" s="156"/>
      <c r="AX35" s="156"/>
      <c r="AY35" s="156"/>
      <c r="AZ35" s="156"/>
      <c r="BA35" s="156"/>
      <c r="BB35" s="156"/>
      <c r="BN35" s="155" t="s">
        <v>103</v>
      </c>
      <c r="BO35" s="209"/>
      <c r="BP35" s="209"/>
      <c r="BQ35" s="209"/>
      <c r="BR35" s="209"/>
      <c r="BS35" s="209"/>
      <c r="BT35" s="209"/>
      <c r="BU35" s="209"/>
      <c r="BV35" s="209"/>
      <c r="BW35" s="162"/>
      <c r="BY35" s="211" t="s">
        <v>127</v>
      </c>
      <c r="BZ35" s="193"/>
      <c r="CA35" s="212"/>
      <c r="CB35" s="160"/>
      <c r="CC35" s="213"/>
      <c r="CD35" s="162">
        <f>BZ5+0.05</f>
        <v>0.35</v>
      </c>
      <c r="CE35" s="325">
        <v>0.6</v>
      </c>
      <c r="CF35" s="326">
        <f>-($BZ$5*$CB$5)</f>
        <v>-0.4</v>
      </c>
      <c r="CG35" s="160"/>
      <c r="CH35" s="327">
        <f>($BY$5*$CB$5)</f>
        <v>0.4</v>
      </c>
      <c r="CI35" s="328">
        <v>0.6</v>
      </c>
      <c r="CJ35" s="160"/>
      <c r="CK35" s="325">
        <v>0.6</v>
      </c>
      <c r="CL35" s="326">
        <f>-($CG$5*$CI$5)</f>
        <v>-0.3428571428571429</v>
      </c>
      <c r="CM35" s="160"/>
      <c r="CN35" s="160"/>
      <c r="CO35" s="160"/>
      <c r="CP35" s="160"/>
    </row>
    <row r="36" spans="1:94" ht="15.75" customHeight="1">
      <c r="A36" s="101"/>
      <c r="B36" s="138"/>
      <c r="C36" s="101"/>
      <c r="D36" s="101"/>
      <c r="E36" s="135"/>
      <c r="F36" s="135"/>
      <c r="G36" s="135"/>
      <c r="H36" s="135"/>
      <c r="I36" s="139"/>
      <c r="J36" s="139"/>
      <c r="K36" s="137"/>
      <c r="L36" s="109"/>
      <c r="M36" s="109"/>
      <c r="N36" s="109"/>
      <c r="O36" s="131"/>
      <c r="P36" s="131"/>
      <c r="Q36" s="117"/>
      <c r="R36" s="109"/>
      <c r="S36" s="109"/>
      <c r="T36" s="109"/>
      <c r="U36" s="109"/>
      <c r="V36" s="134"/>
      <c r="W36" s="134"/>
      <c r="X36" s="134"/>
      <c r="Y36" s="134"/>
      <c r="Z36" s="134"/>
      <c r="AA36" s="123"/>
      <c r="AB36" s="109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337"/>
      <c r="AN36" s="337"/>
      <c r="AO36" s="323"/>
      <c r="AP36" s="323"/>
      <c r="AQ36" s="323"/>
      <c r="AR36" s="323"/>
      <c r="AS36" s="323"/>
      <c r="AT36" s="323"/>
      <c r="AU36" s="323"/>
      <c r="AV36" s="156"/>
      <c r="AW36" s="156"/>
      <c r="AX36" s="156"/>
      <c r="AY36" s="156"/>
      <c r="AZ36" s="156"/>
      <c r="BA36" s="156"/>
      <c r="BB36" s="156"/>
      <c r="BU36" s="156"/>
      <c r="BV36" s="156"/>
      <c r="BW36" s="156"/>
      <c r="BX36" s="156"/>
      <c r="BY36" s="214" t="s">
        <v>109</v>
      </c>
      <c r="BZ36" s="215" t="s">
        <v>110</v>
      </c>
      <c r="CA36" s="216"/>
      <c r="CB36" s="213"/>
      <c r="CC36" s="160"/>
      <c r="CD36" s="162">
        <f>CG5</f>
        <v>0.3</v>
      </c>
      <c r="CE36" s="329">
        <v>0.4666666667</v>
      </c>
      <c r="CF36" s="330">
        <f>-($BZ$5*$CB$5)</f>
        <v>-0.4</v>
      </c>
      <c r="CG36" s="160"/>
      <c r="CH36" s="331">
        <f>($BY$5*$CB$5)</f>
        <v>0.4</v>
      </c>
      <c r="CI36" s="332">
        <v>0.466666666667</v>
      </c>
      <c r="CJ36" s="160"/>
      <c r="CK36" s="329">
        <v>0.46666666667</v>
      </c>
      <c r="CL36" s="330">
        <f>-($CG$5*$CI$5)</f>
        <v>-0.3428571428571429</v>
      </c>
      <c r="CM36" s="160"/>
      <c r="CN36" s="160"/>
      <c r="CO36" s="160"/>
      <c r="CP36" s="160"/>
    </row>
    <row r="37" spans="1:94" ht="15.75" customHeight="1">
      <c r="A37" s="101"/>
      <c r="C37" s="101"/>
      <c r="D37" s="101"/>
      <c r="E37" s="135"/>
      <c r="F37" s="135"/>
      <c r="G37" s="135"/>
      <c r="H37" s="135"/>
      <c r="I37" s="139"/>
      <c r="J37" s="139"/>
      <c r="K37" s="140"/>
      <c r="L37" s="109"/>
      <c r="M37" s="109"/>
      <c r="N37" s="109"/>
      <c r="O37" s="109"/>
      <c r="P37" s="123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23"/>
      <c r="AB37" s="109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337"/>
      <c r="AN37" s="337"/>
      <c r="AO37" s="323"/>
      <c r="AP37" s="323"/>
      <c r="AQ37" s="323"/>
      <c r="AR37" s="323"/>
      <c r="AS37" s="323"/>
      <c r="AT37" s="323"/>
      <c r="AU37" s="323"/>
      <c r="AV37" s="156"/>
      <c r="AW37" s="156"/>
      <c r="AX37" s="156"/>
      <c r="AY37" s="156"/>
      <c r="AZ37" s="156"/>
      <c r="BA37" s="156"/>
      <c r="BB37" s="156"/>
      <c r="BL37" s="217">
        <v>3</v>
      </c>
      <c r="BN37" s="154" t="s">
        <v>119</v>
      </c>
      <c r="BU37" s="156"/>
      <c r="BV37" s="156"/>
      <c r="BW37" s="156"/>
      <c r="BX37" s="156"/>
      <c r="BY37" s="182">
        <f>-(($BZ$17-0.025)*$CI$5)</f>
        <v>-0.2571428571428572</v>
      </c>
      <c r="BZ37" s="168">
        <f>(($CG$5-L29-0.025)*$CI$5)</f>
        <v>0.2571428571428572</v>
      </c>
      <c r="CA37" s="216"/>
      <c r="CB37" s="213"/>
      <c r="CC37" s="160"/>
      <c r="CD37" s="162"/>
      <c r="CE37" s="162"/>
      <c r="CF37" s="162"/>
      <c r="CG37" s="160"/>
      <c r="CH37" s="162"/>
      <c r="CI37" s="162"/>
      <c r="CJ37" s="160"/>
      <c r="CK37" s="162"/>
      <c r="CL37" s="162"/>
      <c r="CM37" s="160"/>
      <c r="CN37" s="160"/>
      <c r="CO37" s="160"/>
      <c r="CP37" s="160"/>
    </row>
    <row r="38" spans="1:94" ht="15.75" customHeight="1">
      <c r="A38" s="101"/>
      <c r="O38" s="109"/>
      <c r="P38" s="123"/>
      <c r="AA38" s="333"/>
      <c r="AB38" s="109"/>
      <c r="AC38" s="54"/>
      <c r="AD38" s="54"/>
      <c r="AE38" s="54"/>
      <c r="AF38" s="54"/>
      <c r="AG38" s="338"/>
      <c r="AH38" s="54"/>
      <c r="AI38" s="54"/>
      <c r="AJ38" s="54"/>
      <c r="AK38" s="54"/>
      <c r="AL38" s="54"/>
      <c r="AM38" s="337"/>
      <c r="AN38" s="337"/>
      <c r="AO38" s="323"/>
      <c r="AP38" s="323"/>
      <c r="AQ38" s="323"/>
      <c r="AR38" s="323"/>
      <c r="AS38" s="323"/>
      <c r="AT38" s="323"/>
      <c r="AU38" s="323"/>
      <c r="AV38" s="156"/>
      <c r="AW38" s="156"/>
      <c r="AX38" s="156"/>
      <c r="AY38" s="156"/>
      <c r="AZ38" s="156"/>
      <c r="BA38" s="156"/>
      <c r="BB38" s="156"/>
      <c r="BK38" s="160"/>
      <c r="BL38" s="162"/>
      <c r="BM38" s="177"/>
      <c r="BN38" s="177"/>
      <c r="BU38" s="156"/>
      <c r="BV38" s="156"/>
      <c r="BW38" s="156"/>
      <c r="BX38" s="156"/>
      <c r="BY38" s="200"/>
      <c r="BZ38" s="201"/>
      <c r="CA38" s="216"/>
      <c r="CB38" s="213"/>
      <c r="CC38" s="160"/>
      <c r="CD38" s="160"/>
      <c r="CE38" s="325">
        <v>0.5333333333</v>
      </c>
      <c r="CF38" s="328">
        <v>0.466666666667</v>
      </c>
      <c r="CG38" s="160"/>
      <c r="CH38" s="325">
        <v>-0.46666666667</v>
      </c>
      <c r="CI38" s="328">
        <v>0.53333333333</v>
      </c>
      <c r="CJ38" s="160"/>
      <c r="CK38" s="325">
        <v>0.533333333333</v>
      </c>
      <c r="CL38" s="328">
        <v>0.4</v>
      </c>
      <c r="CM38" s="160"/>
      <c r="CN38" s="160"/>
      <c r="CO38" s="160"/>
      <c r="CP38" s="160"/>
    </row>
    <row r="39" spans="1:94" ht="15.75" customHeight="1" thickBot="1">
      <c r="A39" s="101"/>
      <c r="B39" s="101"/>
      <c r="C39" s="109"/>
      <c r="D39" s="109"/>
      <c r="E39" s="135"/>
      <c r="F39" s="135"/>
      <c r="G39" s="135"/>
      <c r="H39" s="135"/>
      <c r="I39" s="139"/>
      <c r="J39" s="139"/>
      <c r="K39" s="140"/>
      <c r="L39" s="134"/>
      <c r="M39" s="134"/>
      <c r="N39" s="131"/>
      <c r="O39" s="131"/>
      <c r="P39" s="131"/>
      <c r="Q39" s="557" t="s">
        <v>134</v>
      </c>
      <c r="R39" s="558"/>
      <c r="S39" s="558"/>
      <c r="T39" s="558"/>
      <c r="U39" s="558"/>
      <c r="V39" s="558"/>
      <c r="W39" s="558"/>
      <c r="X39" s="558"/>
      <c r="Y39" s="558"/>
      <c r="Z39" s="558"/>
      <c r="AA39" s="559"/>
      <c r="AB39" s="109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337"/>
      <c r="AN39" s="337"/>
      <c r="AO39" s="323"/>
      <c r="AP39" s="323"/>
      <c r="AQ39" s="323"/>
      <c r="AR39" s="323"/>
      <c r="AS39" s="323"/>
      <c r="AT39" s="323"/>
      <c r="AU39" s="323"/>
      <c r="AV39" s="156"/>
      <c r="AW39" s="156"/>
      <c r="AX39" s="156"/>
      <c r="AY39" s="156"/>
      <c r="AZ39" s="156"/>
      <c r="BA39" s="156"/>
      <c r="BB39" s="156"/>
      <c r="BJ39" s="184"/>
      <c r="BK39" s="218">
        <v>1</v>
      </c>
      <c r="BL39" s="219" t="s">
        <v>155</v>
      </c>
      <c r="BM39" s="219">
        <v>0.9</v>
      </c>
      <c r="BN39" s="220">
        <f>(PI()*(BM39^2))/4</f>
        <v>0.6361725123519332</v>
      </c>
      <c r="BU39" s="156"/>
      <c r="BV39" s="156"/>
      <c r="BW39" s="156"/>
      <c r="BX39" s="156"/>
      <c r="BY39" s="188">
        <f>(($BZ$17-0.025)*$CI$5)</f>
        <v>0.2571428571428572</v>
      </c>
      <c r="BZ39" s="176">
        <f>(($CG$5-L29-0.025)*$CI$5)</f>
        <v>0.2571428571428572</v>
      </c>
      <c r="CA39" s="216"/>
      <c r="CB39" s="213"/>
      <c r="CC39" s="160"/>
      <c r="CD39" s="160"/>
      <c r="CE39" s="334">
        <v>0.53333333</v>
      </c>
      <c r="CF39" s="335">
        <v>0</v>
      </c>
      <c r="CG39" s="160"/>
      <c r="CH39" s="334">
        <v>0</v>
      </c>
      <c r="CI39" s="335">
        <v>0.53333333333</v>
      </c>
      <c r="CJ39" s="160"/>
      <c r="CK39" s="334">
        <v>0.53333333333</v>
      </c>
      <c r="CL39" s="335">
        <v>0</v>
      </c>
      <c r="CM39" s="160"/>
      <c r="CN39" s="160"/>
      <c r="CO39" s="160"/>
      <c r="CP39" s="160"/>
    </row>
    <row r="40" spans="1:94" ht="15.75" customHeight="1">
      <c r="A40" s="101"/>
      <c r="B40" s="101"/>
      <c r="C40" s="101"/>
      <c r="D40" s="101"/>
      <c r="E40" s="135"/>
      <c r="F40" s="135"/>
      <c r="G40" s="135"/>
      <c r="H40" s="135"/>
      <c r="I40" s="139"/>
      <c r="J40" s="139"/>
      <c r="K40" s="140"/>
      <c r="L40" s="134"/>
      <c r="M40" s="134"/>
      <c r="N40" s="131"/>
      <c r="O40" s="131"/>
      <c r="P40" s="131"/>
      <c r="Q40" s="141" t="s">
        <v>157</v>
      </c>
      <c r="R40" s="142"/>
      <c r="S40" s="142"/>
      <c r="T40" s="143" t="s">
        <v>3</v>
      </c>
      <c r="U40" s="310" t="str">
        <f>L26&amp;"X"&amp;L27&amp;"X"&amp;L28&amp;" m."</f>
        <v>0.6X0.6X0.6 m.</v>
      </c>
      <c r="V40" s="310"/>
      <c r="W40" s="310"/>
      <c r="X40" s="310"/>
      <c r="Y40" s="310"/>
      <c r="Z40" s="310"/>
      <c r="AA40" s="311"/>
      <c r="AB40" s="101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337"/>
      <c r="AN40" s="337"/>
      <c r="AO40" s="323"/>
      <c r="AP40" s="323"/>
      <c r="AQ40" s="323"/>
      <c r="AR40" s="323"/>
      <c r="AS40" s="323"/>
      <c r="AT40" s="323"/>
      <c r="AU40" s="323"/>
      <c r="AV40" s="156"/>
      <c r="AW40" s="156"/>
      <c r="AX40" s="156"/>
      <c r="AY40" s="156"/>
      <c r="AZ40" s="156"/>
      <c r="BA40" s="156"/>
      <c r="BB40" s="156"/>
      <c r="BK40" s="221">
        <v>2</v>
      </c>
      <c r="BL40" s="177" t="s">
        <v>149</v>
      </c>
      <c r="BM40" s="177">
        <v>1.2</v>
      </c>
      <c r="BN40" s="222">
        <f aca="true" t="shared" si="0" ref="BN40:BN45">(PI()*(BM40^2))/4</f>
        <v>1.1309733552923256</v>
      </c>
      <c r="BU40" s="156"/>
      <c r="BV40" s="156"/>
      <c r="BW40" s="156"/>
      <c r="BX40" s="156"/>
      <c r="BY40" s="167"/>
      <c r="BZ40" s="180"/>
      <c r="CA40" s="216"/>
      <c r="CB40" s="213"/>
      <c r="CC40" s="160"/>
      <c r="CD40" s="160"/>
      <c r="CE40" s="329">
        <v>0.5333333333</v>
      </c>
      <c r="CF40" s="332">
        <v>-0.4666666667</v>
      </c>
      <c r="CG40" s="160"/>
      <c r="CH40" s="329">
        <v>0.46666666666667</v>
      </c>
      <c r="CI40" s="332">
        <v>0.5333333333</v>
      </c>
      <c r="CJ40" s="160"/>
      <c r="CK40" s="329">
        <v>0.5333333333</v>
      </c>
      <c r="CL40" s="332">
        <v>-0.4</v>
      </c>
      <c r="CM40" s="160"/>
      <c r="CN40" s="160"/>
      <c r="CO40" s="160"/>
      <c r="CP40" s="160"/>
    </row>
    <row r="41" spans="1:94" ht="15.75" customHeight="1" thickBo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17" t="s">
        <v>135</v>
      </c>
      <c r="R41" s="109"/>
      <c r="S41" s="109"/>
      <c r="T41" s="104" t="s">
        <v>3</v>
      </c>
      <c r="U41" s="316" t="str">
        <f>G35&amp;" mm."</f>
        <v>4-DB16 mm.</v>
      </c>
      <c r="V41" s="314"/>
      <c r="W41" s="314"/>
      <c r="X41" s="314"/>
      <c r="Y41" s="314"/>
      <c r="Z41" s="314"/>
      <c r="AA41" s="315"/>
      <c r="AB41" s="101"/>
      <c r="AC41" s="88"/>
      <c r="AD41" s="88"/>
      <c r="AE41" s="88"/>
      <c r="AF41" s="88"/>
      <c r="AG41" s="88"/>
      <c r="AH41" s="88"/>
      <c r="AI41" s="54"/>
      <c r="AJ41" s="54"/>
      <c r="AK41" s="54"/>
      <c r="AL41" s="54"/>
      <c r="AM41" s="337"/>
      <c r="AN41" s="337"/>
      <c r="AO41" s="323"/>
      <c r="AP41" s="323"/>
      <c r="AQ41" s="323"/>
      <c r="AR41" s="323"/>
      <c r="AS41" s="323"/>
      <c r="AT41" s="323"/>
      <c r="AU41" s="323"/>
      <c r="AV41" s="156"/>
      <c r="AW41" s="156"/>
      <c r="AX41" s="156"/>
      <c r="AY41" s="156"/>
      <c r="AZ41" s="156"/>
      <c r="BA41" s="156"/>
      <c r="BB41" s="156"/>
      <c r="BK41" s="221">
        <v>3</v>
      </c>
      <c r="BL41" s="177" t="s">
        <v>150</v>
      </c>
      <c r="BM41" s="177">
        <v>1.6</v>
      </c>
      <c r="BN41" s="222">
        <f t="shared" si="0"/>
        <v>2.0106192982974678</v>
      </c>
      <c r="BU41" s="156"/>
      <c r="BV41" s="156"/>
      <c r="BW41" s="156"/>
      <c r="BX41" s="156"/>
      <c r="BY41" s="167">
        <f>-(($BZ$17-0.025)*$CI$5)</f>
        <v>-0.2571428571428572</v>
      </c>
      <c r="BZ41" s="167">
        <f>(($CG$5-L29-0.025)*$CI$5)</f>
        <v>0.2571428571428572</v>
      </c>
      <c r="CA41" s="216"/>
      <c r="CB41" s="213" t="s">
        <v>128</v>
      </c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</row>
    <row r="42" spans="1:81" ht="15.75" customHeight="1">
      <c r="A42" s="101"/>
      <c r="B42" s="124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17" t="s">
        <v>136</v>
      </c>
      <c r="R42" s="109"/>
      <c r="S42" s="109"/>
      <c r="T42" s="104" t="s">
        <v>3</v>
      </c>
      <c r="U42" s="314" t="str">
        <f>F22</f>
        <v>I-0.22X0.22X21 m.</v>
      </c>
      <c r="V42" s="314"/>
      <c r="W42" s="314"/>
      <c r="X42" s="314"/>
      <c r="Y42" s="314"/>
      <c r="Z42" s="314"/>
      <c r="AA42" s="315"/>
      <c r="AB42" s="117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337"/>
      <c r="AN42" s="337"/>
      <c r="AO42" s="323"/>
      <c r="AP42" s="323"/>
      <c r="AQ42" s="323"/>
      <c r="AR42" s="323"/>
      <c r="AS42" s="323"/>
      <c r="AT42" s="323"/>
      <c r="AU42" s="323"/>
      <c r="AV42" s="156"/>
      <c r="AW42" s="156"/>
      <c r="AX42" s="156"/>
      <c r="AY42" s="156"/>
      <c r="AZ42" s="156"/>
      <c r="BA42" s="156"/>
      <c r="BB42" s="156"/>
      <c r="BK42" s="221">
        <v>4</v>
      </c>
      <c r="BL42" s="177" t="s">
        <v>151</v>
      </c>
      <c r="BM42" s="177">
        <v>2</v>
      </c>
      <c r="BN42" s="222">
        <f t="shared" si="0"/>
        <v>3.141592653589793</v>
      </c>
      <c r="BU42" s="156"/>
      <c r="BV42" s="156"/>
      <c r="BW42" s="156"/>
      <c r="BX42" s="156"/>
      <c r="BY42" s="167">
        <f>(($BZ$17-0.025)*$CI$5)</f>
        <v>0.2571428571428572</v>
      </c>
      <c r="BZ42" s="167">
        <f>(($CG$5-L29-0.025)*$CI$5)</f>
        <v>0.2571428571428572</v>
      </c>
      <c r="CA42" s="160"/>
      <c r="CB42" s="192" t="s">
        <v>109</v>
      </c>
      <c r="CC42" s="159" t="s">
        <v>110</v>
      </c>
    </row>
    <row r="43" spans="1:81" ht="15.75" customHeight="1">
      <c r="A43" s="101"/>
      <c r="B43" s="109"/>
      <c r="C43" s="101"/>
      <c r="D43" s="101"/>
      <c r="E43" s="101"/>
      <c r="F43" s="101"/>
      <c r="G43" s="101"/>
      <c r="H43" s="101"/>
      <c r="I43" s="109"/>
      <c r="J43" s="109"/>
      <c r="K43" s="104"/>
      <c r="L43" s="29"/>
      <c r="M43" s="29"/>
      <c r="N43" s="29"/>
      <c r="O43" s="109"/>
      <c r="P43" s="109"/>
      <c r="Q43" s="145" t="s">
        <v>145</v>
      </c>
      <c r="R43" s="146"/>
      <c r="S43" s="146"/>
      <c r="T43" s="147" t="s">
        <v>3</v>
      </c>
      <c r="U43" s="312" t="str">
        <f>L23&amp;" kg./Pile"</f>
        <v>22000 kg./Pile</v>
      </c>
      <c r="V43" s="312"/>
      <c r="W43" s="312"/>
      <c r="X43" s="312"/>
      <c r="Y43" s="312"/>
      <c r="Z43" s="312"/>
      <c r="AA43" s="313"/>
      <c r="AB43" s="109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337"/>
      <c r="AN43" s="337"/>
      <c r="AO43" s="323"/>
      <c r="AP43" s="323"/>
      <c r="AQ43" s="323"/>
      <c r="AR43" s="323"/>
      <c r="AS43" s="323"/>
      <c r="AT43" s="323"/>
      <c r="AU43" s="323"/>
      <c r="AV43" s="156"/>
      <c r="AW43" s="156"/>
      <c r="AX43" s="156"/>
      <c r="AY43" s="156"/>
      <c r="AZ43" s="156"/>
      <c r="BA43" s="156"/>
      <c r="BB43" s="156"/>
      <c r="BK43" s="221">
        <v>5</v>
      </c>
      <c r="BL43" s="177" t="s">
        <v>152</v>
      </c>
      <c r="BM43" s="177">
        <v>2.5</v>
      </c>
      <c r="BN43" s="222">
        <f t="shared" si="0"/>
        <v>4.908738521234052</v>
      </c>
      <c r="BU43" s="156"/>
      <c r="BV43" s="156"/>
      <c r="BW43" s="156"/>
      <c r="BX43" s="156"/>
      <c r="BY43" s="162"/>
      <c r="BZ43" s="162"/>
      <c r="CA43" s="169"/>
      <c r="CB43" s="182">
        <f>-(($BZ$17-0.025)*$CI$5)</f>
        <v>-0.2571428571428572</v>
      </c>
      <c r="CC43" s="168">
        <f>-(($CG$5-0.1)*$CI$5)</f>
        <v>-0.2285714285714286</v>
      </c>
    </row>
    <row r="44" spans="1:81" ht="15.75" customHeight="1">
      <c r="A44" s="101"/>
      <c r="B44" s="109"/>
      <c r="C44" s="101"/>
      <c r="D44" s="101"/>
      <c r="E44" s="101"/>
      <c r="F44" s="101"/>
      <c r="G44" s="101"/>
      <c r="H44" s="101"/>
      <c r="I44" s="101"/>
      <c r="J44" s="104"/>
      <c r="K44" s="104"/>
      <c r="L44" s="148"/>
      <c r="M44" s="148"/>
      <c r="N44" s="148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337"/>
      <c r="AN44" s="337"/>
      <c r="AO44" s="323"/>
      <c r="AP44" s="323"/>
      <c r="AQ44" s="323"/>
      <c r="AR44" s="323"/>
      <c r="AS44" s="323"/>
      <c r="AT44" s="323"/>
      <c r="AU44" s="323"/>
      <c r="AV44" s="156"/>
      <c r="AW44" s="156"/>
      <c r="AX44" s="156"/>
      <c r="AY44" s="156"/>
      <c r="AZ44" s="156"/>
      <c r="BA44" s="156"/>
      <c r="BB44" s="156"/>
      <c r="BK44" s="221">
        <v>6</v>
      </c>
      <c r="BL44" s="177" t="s">
        <v>153</v>
      </c>
      <c r="BM44" s="177">
        <v>2.8</v>
      </c>
      <c r="BN44" s="222">
        <f t="shared" si="0"/>
        <v>6.157521601035993</v>
      </c>
      <c r="BY44" s="160"/>
      <c r="BZ44" s="160"/>
      <c r="CA44" s="160"/>
      <c r="CB44" s="166"/>
      <c r="CC44" s="207"/>
    </row>
    <row r="45" spans="1:81" ht="15.75" customHeight="1">
      <c r="A45" s="101"/>
      <c r="B45" s="109"/>
      <c r="C45" s="149"/>
      <c r="D45" s="149"/>
      <c r="E45" s="149"/>
      <c r="F45" s="149"/>
      <c r="G45" s="149"/>
      <c r="H45" s="101"/>
      <c r="I45" s="101"/>
      <c r="J45" s="104"/>
      <c r="K45" s="104"/>
      <c r="L45" s="25"/>
      <c r="M45" s="25"/>
      <c r="N45" s="25"/>
      <c r="O45" s="25"/>
      <c r="P45" s="25"/>
      <c r="Q45" s="104"/>
      <c r="R45" s="104"/>
      <c r="S45" s="104"/>
      <c r="T45" s="104"/>
      <c r="U45" s="104"/>
      <c r="V45" s="104"/>
      <c r="W45" s="109"/>
      <c r="X45" s="109"/>
      <c r="Y45" s="109"/>
      <c r="Z45" s="109"/>
      <c r="AA45" s="109"/>
      <c r="AB45" s="109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337"/>
      <c r="AN45" s="337"/>
      <c r="AO45" s="323"/>
      <c r="AP45" s="323"/>
      <c r="AQ45" s="323"/>
      <c r="AR45" s="323"/>
      <c r="AS45" s="323"/>
      <c r="AT45" s="323"/>
      <c r="AU45" s="323"/>
      <c r="AV45" s="156"/>
      <c r="AW45" s="156"/>
      <c r="AX45" s="156"/>
      <c r="AY45" s="156"/>
      <c r="AZ45" s="156"/>
      <c r="BA45" s="156"/>
      <c r="BB45" s="156"/>
      <c r="BK45" s="223">
        <v>7</v>
      </c>
      <c r="BL45" s="224" t="s">
        <v>154</v>
      </c>
      <c r="BM45" s="224">
        <v>3.2</v>
      </c>
      <c r="BN45" s="225">
        <f t="shared" si="0"/>
        <v>8.042477193189871</v>
      </c>
      <c r="BY45" s="226"/>
      <c r="CB45" s="182">
        <f>IF($CG$22&lt;=1,$BZ$61,IF($CG$22&gt;1,$BZ$62))</f>
        <v>-0.08571428571428574</v>
      </c>
      <c r="CC45" s="168">
        <f>-(($CG$5-0.1)*$CI$5)</f>
        <v>-0.2285714285714286</v>
      </c>
    </row>
    <row r="46" spans="1:81" ht="15.75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24"/>
      <c r="M46" s="25"/>
      <c r="N46" s="25"/>
      <c r="O46" s="25"/>
      <c r="P46" s="25"/>
      <c r="Q46" s="25"/>
      <c r="R46" s="25"/>
      <c r="S46" s="25"/>
      <c r="T46" s="104"/>
      <c r="U46" s="104"/>
      <c r="V46" s="104"/>
      <c r="W46" s="109"/>
      <c r="X46" s="109"/>
      <c r="Y46" s="109"/>
      <c r="Z46" s="109"/>
      <c r="AA46" s="109"/>
      <c r="AB46" s="109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337"/>
      <c r="AN46" s="337"/>
      <c r="AO46" s="323"/>
      <c r="AP46" s="323"/>
      <c r="AQ46" s="323"/>
      <c r="AR46" s="323"/>
      <c r="AS46" s="323"/>
      <c r="AT46" s="323"/>
      <c r="AU46" s="323"/>
      <c r="AV46" s="156"/>
      <c r="AW46" s="156"/>
      <c r="AX46" s="156"/>
      <c r="AY46" s="156"/>
      <c r="AZ46" s="156"/>
      <c r="BA46" s="156"/>
      <c r="BB46" s="156"/>
      <c r="CB46" s="166"/>
      <c r="CC46" s="207"/>
    </row>
    <row r="47" spans="1:81" ht="15.75" customHeight="1">
      <c r="A47" s="151"/>
      <c r="B47" s="151"/>
      <c r="C47" s="151"/>
      <c r="D47" s="151"/>
      <c r="E47" s="151"/>
      <c r="F47" s="151"/>
      <c r="G47" s="101"/>
      <c r="H47" s="101"/>
      <c r="I47" s="101"/>
      <c r="J47" s="104"/>
      <c r="K47" s="104"/>
      <c r="L47" s="24"/>
      <c r="M47" s="24"/>
      <c r="N47" s="25"/>
      <c r="O47" s="25"/>
      <c r="P47" s="25"/>
      <c r="Q47" s="25"/>
      <c r="R47" s="25"/>
      <c r="S47" s="25"/>
      <c r="T47" s="25"/>
      <c r="U47" s="104"/>
      <c r="V47" s="104"/>
      <c r="W47" s="109"/>
      <c r="X47" s="109"/>
      <c r="Y47" s="109"/>
      <c r="Z47" s="109"/>
      <c r="AA47" s="109"/>
      <c r="AB47" s="109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337"/>
      <c r="AN47" s="337"/>
      <c r="AO47" s="323"/>
      <c r="AP47" s="323"/>
      <c r="AQ47" s="323"/>
      <c r="AR47" s="323"/>
      <c r="AS47" s="323"/>
      <c r="AT47" s="323"/>
      <c r="AU47" s="323"/>
      <c r="AV47" s="156"/>
      <c r="AW47" s="156"/>
      <c r="AX47" s="156"/>
      <c r="AY47" s="156"/>
      <c r="AZ47" s="156"/>
      <c r="BA47" s="156"/>
      <c r="BB47" s="156"/>
      <c r="CB47" s="182">
        <f>IF($CG$22&lt;=2,$BZ$61,IF($CG$22&gt;1,$BZ$63))</f>
        <v>0.08571428571428574</v>
      </c>
      <c r="CC47" s="168">
        <f>-(($CG$5-0.1)*$CI$5)</f>
        <v>-0.2285714285714286</v>
      </c>
    </row>
    <row r="48" spans="1:81" ht="15.75" customHeight="1">
      <c r="A48" s="26"/>
      <c r="B48" s="27"/>
      <c r="C48" s="26"/>
      <c r="D48" s="26"/>
      <c r="E48" s="26"/>
      <c r="F48" s="26"/>
      <c r="G48" s="26"/>
      <c r="H48" s="26"/>
      <c r="I48" s="26"/>
      <c r="J48" s="28"/>
      <c r="K48" s="28"/>
      <c r="L48" s="29"/>
      <c r="M48" s="29"/>
      <c r="N48" s="29"/>
      <c r="O48" s="27"/>
      <c r="P48" s="27"/>
      <c r="Q48" s="65"/>
      <c r="R48" s="30"/>
      <c r="S48" s="30"/>
      <c r="T48" s="30"/>
      <c r="U48" s="30"/>
      <c r="V48" s="30"/>
      <c r="W48" s="27"/>
      <c r="X48" s="26"/>
      <c r="Y48" s="27"/>
      <c r="Z48" s="27"/>
      <c r="AA48" s="27"/>
      <c r="AB48" s="27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337"/>
      <c r="AN48" s="337"/>
      <c r="AO48" s="323"/>
      <c r="AP48" s="323"/>
      <c r="AQ48" s="323"/>
      <c r="AR48" s="323"/>
      <c r="AS48" s="323"/>
      <c r="AT48" s="323"/>
      <c r="AU48" s="323"/>
      <c r="AV48" s="156"/>
      <c r="AW48" s="156"/>
      <c r="AX48" s="156"/>
      <c r="AY48" s="156"/>
      <c r="AZ48" s="156"/>
      <c r="BA48" s="156"/>
      <c r="BB48" s="156"/>
      <c r="CB48" s="166"/>
      <c r="CC48" s="207"/>
    </row>
    <row r="49" spans="2:81" ht="15.75" customHeight="1" thickBot="1">
      <c r="B49" s="101"/>
      <c r="C49" s="101"/>
      <c r="D49" s="101"/>
      <c r="E49" s="101"/>
      <c r="F49" s="151"/>
      <c r="G49" s="151"/>
      <c r="H49" s="151"/>
      <c r="I49" s="151"/>
      <c r="J49" s="151"/>
      <c r="K49" s="151"/>
      <c r="L49" s="151"/>
      <c r="M49" s="151"/>
      <c r="N49" s="101"/>
      <c r="O49" s="101"/>
      <c r="P49" s="101"/>
      <c r="Q49" s="101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337"/>
      <c r="AN49" s="337"/>
      <c r="AO49" s="323"/>
      <c r="AP49" s="323"/>
      <c r="AQ49" s="323"/>
      <c r="AR49" s="323"/>
      <c r="AS49" s="323"/>
      <c r="AT49" s="323"/>
      <c r="AU49" s="323"/>
      <c r="AV49" s="156"/>
      <c r="AW49" s="156"/>
      <c r="AX49" s="156"/>
      <c r="AY49" s="156"/>
      <c r="AZ49" s="156"/>
      <c r="BA49" s="156"/>
      <c r="BB49" s="156"/>
      <c r="CB49" s="182">
        <f>IF($CG$22&lt;=3,$BZ$61,IF($CG$22&gt;1,$BZ$64))</f>
        <v>0.2571428571428572</v>
      </c>
      <c r="CC49" s="168">
        <f>-(($CG$5-0.1)*$CI$5)</f>
        <v>-0.2285714285714286</v>
      </c>
    </row>
    <row r="50" spans="5:81" ht="15.75" customHeight="1">
      <c r="E50" s="116"/>
      <c r="F50" s="116"/>
      <c r="G50" s="116"/>
      <c r="H50" s="116"/>
      <c r="I50" s="116"/>
      <c r="J50" s="116"/>
      <c r="K50" s="116"/>
      <c r="L50" s="116"/>
      <c r="M50" s="116"/>
      <c r="S50" s="567" t="s">
        <v>49</v>
      </c>
      <c r="T50" s="567"/>
      <c r="U50" s="567"/>
      <c r="V50" s="512" t="str">
        <f>Cover!D10</f>
        <v>สมมุติ</v>
      </c>
      <c r="W50" s="512"/>
      <c r="X50" s="512"/>
      <c r="Y50" s="512"/>
      <c r="Z50" s="512"/>
      <c r="AA50" s="512"/>
      <c r="AB50" s="32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337"/>
      <c r="AN50" s="337"/>
      <c r="AO50" s="323"/>
      <c r="AP50" s="323"/>
      <c r="AQ50" s="323"/>
      <c r="AR50" s="323"/>
      <c r="AS50" s="323"/>
      <c r="AT50" s="323"/>
      <c r="AU50" s="323"/>
      <c r="AV50" s="156"/>
      <c r="AW50" s="156"/>
      <c r="AX50" s="156"/>
      <c r="AY50" s="156"/>
      <c r="AZ50" s="156"/>
      <c r="BA50" s="156"/>
      <c r="BB50" s="156"/>
      <c r="BC50" s="156"/>
      <c r="CB50" s="166"/>
      <c r="CC50" s="207"/>
    </row>
    <row r="51" spans="19:81" ht="15.75" customHeight="1">
      <c r="S51" s="567" t="s">
        <v>50</v>
      </c>
      <c r="T51" s="567"/>
      <c r="U51" s="567"/>
      <c r="V51" s="513" t="str">
        <f>Cover!H10</f>
        <v>สย.0000</v>
      </c>
      <c r="W51" s="513"/>
      <c r="X51" s="513"/>
      <c r="Y51" s="513"/>
      <c r="Z51" s="513"/>
      <c r="AA51" s="513"/>
      <c r="AB51" s="32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337"/>
      <c r="AN51" s="337"/>
      <c r="AO51" s="323"/>
      <c r="AP51" s="323"/>
      <c r="AQ51" s="323"/>
      <c r="AR51" s="323"/>
      <c r="AS51" s="323"/>
      <c r="AT51" s="323"/>
      <c r="AU51" s="323"/>
      <c r="AV51" s="156"/>
      <c r="AW51" s="156"/>
      <c r="AX51" s="156"/>
      <c r="AY51" s="156"/>
      <c r="AZ51" s="156"/>
      <c r="BA51" s="156"/>
      <c r="BB51" s="156"/>
      <c r="BC51" s="156"/>
      <c r="BO51" s="227"/>
      <c r="BP51" s="227"/>
      <c r="BQ51" s="227"/>
      <c r="CB51" s="182">
        <f>IF($CG$22&lt;=4,$BZ$61,IF($CG$22&gt;1,$BZ$65))</f>
        <v>0.2571428571428572</v>
      </c>
      <c r="CC51" s="168">
        <f>-(($CG$5-0.1)*$CI$5)</f>
        <v>-0.2285714285714286</v>
      </c>
    </row>
    <row r="52" spans="29:81" ht="15.75" customHeight="1"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323"/>
      <c r="AN52" s="323"/>
      <c r="AO52" s="323"/>
      <c r="AP52" s="323"/>
      <c r="AQ52" s="323"/>
      <c r="AR52" s="323"/>
      <c r="AS52" s="323"/>
      <c r="AT52" s="323"/>
      <c r="AU52" s="323"/>
      <c r="AV52" s="156"/>
      <c r="AW52" s="156"/>
      <c r="AX52" s="156"/>
      <c r="AY52" s="156"/>
      <c r="AZ52" s="156"/>
      <c r="BA52" s="156"/>
      <c r="BB52" s="156"/>
      <c r="BC52" s="156"/>
      <c r="CB52" s="166"/>
      <c r="CC52" s="207"/>
    </row>
    <row r="53" spans="29:81" ht="15.75" customHeight="1"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323"/>
      <c r="AN53" s="323"/>
      <c r="AO53" s="323"/>
      <c r="AP53" s="323"/>
      <c r="AQ53" s="323"/>
      <c r="AR53" s="323"/>
      <c r="AS53" s="323"/>
      <c r="AT53" s="323"/>
      <c r="AU53" s="323"/>
      <c r="AV53" s="156"/>
      <c r="AW53" s="156"/>
      <c r="AX53" s="156"/>
      <c r="AY53" s="156"/>
      <c r="AZ53" s="156"/>
      <c r="BA53" s="156"/>
      <c r="BB53" s="156"/>
      <c r="BO53" s="227"/>
      <c r="BP53" s="227"/>
      <c r="BQ53" s="227"/>
      <c r="BR53" s="227"/>
      <c r="CB53" s="182">
        <f>IF($CG$22&lt;=5,$BZ$61,IF($CG$22&gt;1,$BZ$66))</f>
        <v>0.2571428571428572</v>
      </c>
      <c r="CC53" s="168">
        <f>-(($CG$5-0.1)*$CI$5)</f>
        <v>-0.2285714285714286</v>
      </c>
    </row>
    <row r="54" spans="29:81" ht="15.75" customHeight="1"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323"/>
      <c r="AN54" s="323"/>
      <c r="AO54" s="323"/>
      <c r="AP54" s="323"/>
      <c r="AQ54" s="323"/>
      <c r="AR54" s="323"/>
      <c r="AS54" s="323"/>
      <c r="AT54" s="323"/>
      <c r="AU54" s="323"/>
      <c r="AV54" s="156"/>
      <c r="AW54" s="156"/>
      <c r="AX54" s="156"/>
      <c r="AY54" s="156"/>
      <c r="AZ54" s="156"/>
      <c r="BA54" s="156"/>
      <c r="BB54" s="156"/>
      <c r="BP54" s="228"/>
      <c r="BQ54" s="228"/>
      <c r="BR54" s="228"/>
      <c r="BS54" s="228"/>
      <c r="BT54" s="228"/>
      <c r="CB54" s="166"/>
      <c r="CC54" s="207"/>
    </row>
    <row r="55" spans="1:81" ht="15.7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4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323"/>
      <c r="AN55" s="323"/>
      <c r="AO55" s="323"/>
      <c r="AP55" s="323"/>
      <c r="AQ55" s="323"/>
      <c r="AR55" s="323"/>
      <c r="AS55" s="323"/>
      <c r="AT55" s="323"/>
      <c r="AU55" s="323"/>
      <c r="AV55" s="156"/>
      <c r="AW55" s="156"/>
      <c r="AX55" s="156"/>
      <c r="AY55" s="156"/>
      <c r="AZ55" s="156"/>
      <c r="BA55" s="156"/>
      <c r="BB55" s="156"/>
      <c r="CB55" s="182">
        <f>IF($CG$22&lt;=6,$BZ$61,IF($CG$22&gt;1,$BZ$67))</f>
        <v>0.2571428571428572</v>
      </c>
      <c r="CC55" s="168">
        <f>-(($CG$5-0.1)*$CI$5)</f>
        <v>-0.2285714285714286</v>
      </c>
    </row>
    <row r="56" spans="1:81" ht="15.7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4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CB56" s="166"/>
      <c r="CC56" s="207"/>
    </row>
    <row r="57" spans="1:81" ht="15.75" customHeight="1">
      <c r="A57" s="26"/>
      <c r="B57" s="26"/>
      <c r="C57" s="33"/>
      <c r="D57" s="33"/>
      <c r="E57" s="33"/>
      <c r="F57" s="33"/>
      <c r="G57" s="2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7"/>
      <c r="AA57" s="34"/>
      <c r="AB57" s="109"/>
      <c r="CB57" s="182">
        <f>IF($CG$22&lt;=7,$BZ$61,IF($CG$22&gt;1,-$BZ$62))</f>
        <v>0.2571428571428572</v>
      </c>
      <c r="CC57" s="168">
        <f>-(($CG$5-0.1)*$CI$5)</f>
        <v>-0.2285714285714286</v>
      </c>
    </row>
    <row r="58" spans="1:81" ht="15.75" customHeight="1">
      <c r="A58" s="26"/>
      <c r="B58" s="35"/>
      <c r="C58" s="36"/>
      <c r="D58" s="35"/>
      <c r="E58" s="35"/>
      <c r="F58" s="35"/>
      <c r="G58" s="27"/>
      <c r="H58" s="27"/>
      <c r="I58" s="27"/>
      <c r="J58" s="27"/>
      <c r="K58" s="27"/>
      <c r="L58" s="27"/>
      <c r="M58" s="3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34"/>
      <c r="AB58" s="109"/>
      <c r="CB58" s="166"/>
      <c r="CC58" s="207"/>
    </row>
    <row r="59" spans="1:81" ht="15.75" customHeight="1" thickBot="1">
      <c r="A59" s="101"/>
      <c r="B59" s="101"/>
      <c r="C59" s="101"/>
      <c r="D59" s="101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1"/>
      <c r="CB59" s="182">
        <f>(($BZ$17-0.025)*$CI$5)</f>
        <v>0.2571428571428572</v>
      </c>
      <c r="CC59" s="168">
        <f>-(($CG$5-0.1)*$CI$5)</f>
        <v>-0.2285714285714286</v>
      </c>
    </row>
    <row r="60" spans="1:87" ht="15.7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9"/>
      <c r="O60" s="109"/>
      <c r="P60" s="109"/>
      <c r="Q60" s="109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BZ60" s="229" t="s">
        <v>130</v>
      </c>
      <c r="CB60" s="161"/>
      <c r="CC60" s="230">
        <v>2</v>
      </c>
      <c r="CD60" s="158">
        <v>3</v>
      </c>
      <c r="CE60" s="158">
        <v>4</v>
      </c>
      <c r="CF60" s="158">
        <v>5</v>
      </c>
      <c r="CG60" s="158">
        <v>6</v>
      </c>
      <c r="CH60" s="158">
        <v>7</v>
      </c>
      <c r="CI60" s="159">
        <v>8</v>
      </c>
    </row>
    <row r="61" spans="1:87" ht="15.75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9"/>
      <c r="N61" s="109"/>
      <c r="O61" s="109"/>
      <c r="P61" s="109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BZ61" s="231">
        <f>VLOOKUP(1,$CB$61:$CI$67,$CH$22,TRUE)</f>
        <v>0.2571428571428572</v>
      </c>
      <c r="CB61" s="166">
        <v>1</v>
      </c>
      <c r="CC61" s="167">
        <f>(($CA$17)*$CI$5)</f>
        <v>0.2571428571428572</v>
      </c>
      <c r="CD61" s="167">
        <f aca="true" t="shared" si="1" ref="CD61:CI61">(($CA$17)*$CI$5)</f>
        <v>0.2571428571428572</v>
      </c>
      <c r="CE61" s="167">
        <f t="shared" si="1"/>
        <v>0.2571428571428572</v>
      </c>
      <c r="CF61" s="167">
        <f t="shared" si="1"/>
        <v>0.2571428571428572</v>
      </c>
      <c r="CG61" s="167">
        <f t="shared" si="1"/>
        <v>0.2571428571428572</v>
      </c>
      <c r="CH61" s="167">
        <f t="shared" si="1"/>
        <v>0.2571428571428572</v>
      </c>
      <c r="CI61" s="168">
        <f t="shared" si="1"/>
        <v>0.2571428571428572</v>
      </c>
    </row>
    <row r="62" spans="78:87" ht="15.75" customHeight="1">
      <c r="BZ62" s="231">
        <f>VLOOKUP(2,$CB$61:$CI$67,$CH$22,TRUE)</f>
        <v>-0.08571428571428574</v>
      </c>
      <c r="CB62" s="166">
        <v>2</v>
      </c>
      <c r="CC62" s="160"/>
      <c r="CD62" s="167">
        <f>$CA$17-$CA$17</f>
        <v>0</v>
      </c>
      <c r="CE62" s="180">
        <f>-($CA$17-(($CA$17*2)/CG22))*CI5</f>
        <v>-0.08571428571428574</v>
      </c>
      <c r="CF62" s="180">
        <f>-($CA$17-(($CA$17*2)/CG22))*CI5</f>
        <v>-0.08571428571428574</v>
      </c>
      <c r="CG62" s="180">
        <f>-($CA$17-(($CA$17*2)/CG22))*CI5</f>
        <v>-0.08571428571428574</v>
      </c>
      <c r="CH62" s="180">
        <f>-($CA$17-(($CA$17*2)/CG22))*CI5</f>
        <v>-0.08571428571428574</v>
      </c>
      <c r="CI62" s="261">
        <f>-($CA$17-(($CA$17*2)/CG22))*CI5</f>
        <v>-0.08571428571428574</v>
      </c>
    </row>
    <row r="63" spans="8:87" ht="15.75" customHeight="1"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BZ63" s="231">
        <f>VLOOKUP(3,$CB$61:$CI$67,$CH$22,TRUE)</f>
        <v>0.08571428571428574</v>
      </c>
      <c r="CB63" s="166">
        <v>3</v>
      </c>
      <c r="CC63" s="160"/>
      <c r="CD63" s="160"/>
      <c r="CE63" s="180">
        <f>($CA$17-(($CA$17*2)/CG22))*CI5</f>
        <v>0.08571428571428574</v>
      </c>
      <c r="CF63" s="180">
        <f>$CA$17-$CA$17</f>
        <v>0</v>
      </c>
      <c r="CG63" s="180">
        <f>-($CA$17-(($CA$17*2)/CG22)*2)*CI5</f>
        <v>0.0857142857142857</v>
      </c>
      <c r="CH63" s="180">
        <f>-($CA$17-(($CA$17*2)/CG22)*2)*CI5</f>
        <v>0.0857142857142857</v>
      </c>
      <c r="CI63" s="261">
        <f>-($CA$17-(($CA$17*2)/CG22)*2)*CI5</f>
        <v>0.0857142857142857</v>
      </c>
    </row>
    <row r="64" spans="78:87" ht="15.75" customHeight="1">
      <c r="BZ64" s="231">
        <f>VLOOKUP(4,$CB$61:$CI$67,$CH$22,TRUE)</f>
        <v>0</v>
      </c>
      <c r="CA64" s="232"/>
      <c r="CB64" s="166">
        <v>4</v>
      </c>
      <c r="CC64" s="160"/>
      <c r="CD64" s="160"/>
      <c r="CE64" s="213"/>
      <c r="CF64" s="180">
        <f>($CA$17-(($CA$17*2)/CG22))*CI5</f>
        <v>0.08571428571428574</v>
      </c>
      <c r="CG64" s="180">
        <f>($CA$17-(($CA$17*2)/CG22)*2)*CI5</f>
        <v>-0.0857142857142857</v>
      </c>
      <c r="CH64" s="180">
        <f>$CA$17-$CA$17</f>
        <v>0</v>
      </c>
      <c r="CI64" s="261">
        <f>-($CA$17-(($CA$17*2)/CG22)*3)*CI5</f>
        <v>0.2571428571428571</v>
      </c>
    </row>
    <row r="65" spans="78:87" ht="15.75" customHeight="1">
      <c r="BZ65" s="231">
        <f>VLOOKUP(5,$CB$61:$CI$67,$CH$22,TRUE)</f>
        <v>0</v>
      </c>
      <c r="CA65" s="232"/>
      <c r="CB65" s="166">
        <v>5</v>
      </c>
      <c r="CC65" s="160"/>
      <c r="CD65" s="160"/>
      <c r="CE65" s="213"/>
      <c r="CF65" s="213"/>
      <c r="CG65" s="180">
        <f>($CA$17-(($CA$17*2)/CG22))*CI5</f>
        <v>0.08571428571428574</v>
      </c>
      <c r="CH65" s="180">
        <f>($CA$17-(($CA$17*2)/CG22)*2)*CI5</f>
        <v>-0.0857142857142857</v>
      </c>
      <c r="CI65" s="261">
        <f>($CA$17-(($CA$17*2)/CG22)*3)*CI5</f>
        <v>-0.2571428571428571</v>
      </c>
    </row>
    <row r="66" spans="78:87" ht="15.75" customHeight="1">
      <c r="BZ66" s="231">
        <f>VLOOKUP(6,$CB$61:$CI$67,$CH$22,TRUE)</f>
        <v>0</v>
      </c>
      <c r="CA66" s="232"/>
      <c r="CB66" s="166">
        <v>6</v>
      </c>
      <c r="CC66" s="160"/>
      <c r="CD66" s="160"/>
      <c r="CE66" s="213"/>
      <c r="CF66" s="213"/>
      <c r="CG66" s="213"/>
      <c r="CH66" s="180">
        <f>($CA$17-(($CA$17*2)/CG22))*CI5</f>
        <v>0.08571428571428574</v>
      </c>
      <c r="CI66" s="261">
        <f>($CA$17-(($CA$17*2)/CG22)*2)*CI5</f>
        <v>-0.0857142857142857</v>
      </c>
    </row>
    <row r="67" spans="78:87" ht="15.75" customHeight="1" thickBot="1">
      <c r="BZ67" s="233">
        <f>VLOOKUP(7,$CB$61:$CI$67,$CH$22,TRUE)</f>
        <v>0</v>
      </c>
      <c r="CA67" s="232"/>
      <c r="CB67" s="174">
        <v>7</v>
      </c>
      <c r="CC67" s="262"/>
      <c r="CD67" s="262"/>
      <c r="CE67" s="262"/>
      <c r="CF67" s="262"/>
      <c r="CG67" s="262"/>
      <c r="CH67" s="262"/>
      <c r="CI67" s="263">
        <f>($CA$17-(($CA$17*2)/CG22))*CI5</f>
        <v>0.08571428571428574</v>
      </c>
    </row>
  </sheetData>
  <sheetProtection password="DA3E" sheet="1" objects="1" scenarios="1"/>
  <mergeCells count="52">
    <mergeCell ref="AC9:AE9"/>
    <mergeCell ref="AC10:AE10"/>
    <mergeCell ref="AC34:AF34"/>
    <mergeCell ref="AC19:AK19"/>
    <mergeCell ref="AC23:AG23"/>
    <mergeCell ref="L29:N29"/>
    <mergeCell ref="AC24:AG24"/>
    <mergeCell ref="AC25:AK25"/>
    <mergeCell ref="L27:N27"/>
    <mergeCell ref="L26:N26"/>
    <mergeCell ref="L24:N24"/>
    <mergeCell ref="L25:N25"/>
    <mergeCell ref="L14:N14"/>
    <mergeCell ref="L15:N15"/>
    <mergeCell ref="L16:N16"/>
    <mergeCell ref="L28:N28"/>
    <mergeCell ref="L23:N23"/>
    <mergeCell ref="L11:N11"/>
    <mergeCell ref="L12:N12"/>
    <mergeCell ref="V11:Y11"/>
    <mergeCell ref="V12:Y12"/>
    <mergeCell ref="L22:N22"/>
    <mergeCell ref="L19:N19"/>
    <mergeCell ref="L20:N20"/>
    <mergeCell ref="L21:N21"/>
    <mergeCell ref="L13:N13"/>
    <mergeCell ref="L9:N9"/>
    <mergeCell ref="L10:N10"/>
    <mergeCell ref="V9:Y9"/>
    <mergeCell ref="V10:Y10"/>
    <mergeCell ref="B7:AA7"/>
    <mergeCell ref="E5:T5"/>
    <mergeCell ref="Y3:AA3"/>
    <mergeCell ref="Y4:AA4"/>
    <mergeCell ref="E4:T4"/>
    <mergeCell ref="E3:T3"/>
    <mergeCell ref="U4:X4"/>
    <mergeCell ref="U3:X3"/>
    <mergeCell ref="V51:AA51"/>
    <mergeCell ref="V50:AA50"/>
    <mergeCell ref="S51:U51"/>
    <mergeCell ref="S50:U50"/>
    <mergeCell ref="G35:J35"/>
    <mergeCell ref="Q14:AA14"/>
    <mergeCell ref="Q39:AA39"/>
    <mergeCell ref="L34:N34"/>
    <mergeCell ref="L35:N35"/>
    <mergeCell ref="O35:P35"/>
    <mergeCell ref="L32:N32"/>
    <mergeCell ref="L33:N33"/>
    <mergeCell ref="L17:N17"/>
    <mergeCell ref="L18:N18"/>
  </mergeCells>
  <conditionalFormatting sqref="Q40 U40 Q35:U35">
    <cfRule type="expression" priority="1" dxfId="0" stopIfTrue="1">
      <formula>IF($E$37&gt;$N$37,1)</formula>
    </cfRule>
  </conditionalFormatting>
  <conditionalFormatting sqref="V34:Z34">
    <cfRule type="expression" priority="2" dxfId="0" stopIfTrue="1">
      <formula>IF($CE$36&gt;$CB$36,1)</formula>
    </cfRule>
  </conditionalFormatting>
  <conditionalFormatting sqref="V35:Z35">
    <cfRule type="expression" priority="3" dxfId="0" stopIfTrue="1">
      <formula>IF($CE$37&gt;$CB$37,1)</formula>
    </cfRule>
  </conditionalFormatting>
  <conditionalFormatting sqref="V36:Z36">
    <cfRule type="expression" priority="4" dxfId="0" stopIfTrue="1">
      <formula>IF($CE$38&gt;$CB$38,1)</formula>
    </cfRule>
  </conditionalFormatting>
  <conditionalFormatting sqref="L48:N48">
    <cfRule type="cellIs" priority="5" dxfId="0" operator="greaterThan" stopIfTrue="1">
      <formula>$Q$48</formula>
    </cfRule>
  </conditionalFormatting>
  <conditionalFormatting sqref="T48:V48">
    <cfRule type="expression" priority="6" dxfId="0" stopIfTrue="1">
      <formula>IF($L$48&gt;$Q$48,1)</formula>
    </cfRule>
  </conditionalFormatting>
  <conditionalFormatting sqref="N47 L44:L47 M44:N44 M46:M47">
    <cfRule type="cellIs" priority="7" dxfId="0" operator="lessThan" stopIfTrue="1">
      <formula>$Q$44</formula>
    </cfRule>
  </conditionalFormatting>
  <conditionalFormatting sqref="V45:V47 U44:U47 T45:T46">
    <cfRule type="expression" priority="8" dxfId="0" stopIfTrue="1">
      <formula>IF($L$44&lt;$Q$44,1)</formula>
    </cfRule>
  </conditionalFormatting>
  <conditionalFormatting sqref="L43">
    <cfRule type="cellIs" priority="9" dxfId="0" operator="lessThan" stopIfTrue="1">
      <formula>#REF!</formula>
    </cfRule>
  </conditionalFormatting>
  <conditionalFormatting sqref="Q34:U34">
    <cfRule type="expression" priority="10" dxfId="0" stopIfTrue="1">
      <formula>IF($E$36&gt;=$N$36,1)</formula>
    </cfRule>
  </conditionalFormatting>
  <conditionalFormatting sqref="O34:P34">
    <cfRule type="cellIs" priority="11" dxfId="0" operator="lessThan" stopIfTrue="1">
      <formula>$E$36</formula>
    </cfRule>
  </conditionalFormatting>
  <conditionalFormatting sqref="N39:P39">
    <cfRule type="cellIs" priority="12" dxfId="0" operator="lessThan" stopIfTrue="1">
      <formula>$E$37</formula>
    </cfRule>
  </conditionalFormatting>
  <conditionalFormatting sqref="N40:P40 O36:P36">
    <cfRule type="cellIs" priority="13" dxfId="0" operator="lessThan" stopIfTrue="1">
      <formula>$E$35</formula>
    </cfRule>
  </conditionalFormatting>
  <conditionalFormatting sqref="Q36:U36">
    <cfRule type="expression" priority="14" dxfId="0" stopIfTrue="1">
      <formula>IF($E$35&gt;$N$35,1)</formula>
    </cfRule>
  </conditionalFormatting>
  <conditionalFormatting sqref="L33:N33">
    <cfRule type="expression" priority="15" dxfId="1" stopIfTrue="1">
      <formula>IF($BO$12=1,1)</formula>
    </cfRule>
    <cfRule type="expression" priority="16" dxfId="0" stopIfTrue="1">
      <formula>IF($BO$12=2,2)</formula>
    </cfRule>
  </conditionalFormatting>
  <conditionalFormatting sqref="L35:N35">
    <cfRule type="cellIs" priority="17" dxfId="0" operator="lessThan" stopIfTrue="1">
      <formula>$L$34</formula>
    </cfRule>
    <cfRule type="cellIs" priority="18" dxfId="1" operator="greaterThanOrEqual" stopIfTrue="1">
      <formula>$L$34</formula>
    </cfRule>
  </conditionalFormatting>
  <conditionalFormatting sqref="O35:P35">
    <cfRule type="cellIs" priority="19" dxfId="1" operator="greaterThanOrEqual" stopIfTrue="1">
      <formula>$L$34</formula>
    </cfRule>
    <cfRule type="cellIs" priority="20" dxfId="0" operator="lessThan" stopIfTrue="1">
      <formula>$L$34</formula>
    </cfRule>
  </conditionalFormatting>
  <dataValidations count="2">
    <dataValidation type="list" allowBlank="1" showInputMessage="1" showErrorMessage="1" sqref="L9:N9">
      <formula1>"2400,3000,4000,5000"</formula1>
    </dataValidation>
    <dataValidation type="list" allowBlank="1" showInputMessage="1" sqref="L12:N12">
      <formula1>"173,210,240,280,320,380"</formula1>
    </dataValidation>
  </dataValidations>
  <printOptions/>
  <pageMargins left="0.35433070866141736" right="0.1968503937007874" top="0.3937007874015748" bottom="0.1968503937007874" header="0.5118110236220472" footer="0.5118110236220472"/>
  <pageSetup orientation="portrait" paperSize="9" scale="99" r:id="rId3"/>
  <rowBreaks count="1" manualBreakCount="1">
    <brk id="54" max="84" man="1"/>
  </rowBreaks>
  <colBreaks count="1" manualBreakCount="1">
    <brk id="28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DB98"/>
  <sheetViews>
    <sheetView zoomScaleSheetLayoutView="50" workbookViewId="0" topLeftCell="A1">
      <selection activeCell="AC10" sqref="AC10:AE10"/>
    </sheetView>
  </sheetViews>
  <sheetFormatPr defaultColWidth="9.140625" defaultRowHeight="15.75" customHeight="1"/>
  <cols>
    <col min="1" max="58" width="3.57421875" style="38" customWidth="1"/>
    <col min="59" max="60" width="3.57421875" style="154" customWidth="1"/>
    <col min="61" max="61" width="3.57421875" style="38" customWidth="1"/>
    <col min="62" max="62" width="13.00390625" style="38" customWidth="1"/>
    <col min="63" max="63" width="8.8515625" style="38" customWidth="1"/>
    <col min="64" max="64" width="5.8515625" style="38" customWidth="1"/>
    <col min="65" max="68" width="9.7109375" style="38" customWidth="1"/>
    <col min="69" max="69" width="11.140625" style="38" customWidth="1"/>
    <col min="70" max="72" width="9.7109375" style="38" customWidth="1"/>
    <col min="73" max="73" width="14.57421875" style="38" customWidth="1"/>
    <col min="74" max="76" width="10.7109375" style="38" customWidth="1"/>
    <col min="77" max="126" width="9.7109375" style="38" customWidth="1"/>
    <col min="127" max="16384" width="3.57421875" style="38" customWidth="1"/>
  </cols>
  <sheetData>
    <row r="1" spans="2:41" ht="15.75" customHeight="1" thickBot="1">
      <c r="B1" s="39"/>
      <c r="C1" s="39"/>
      <c r="D1" s="39"/>
      <c r="E1" s="39"/>
      <c r="F1" s="39"/>
      <c r="G1" s="39"/>
      <c r="H1" s="39"/>
      <c r="I1" s="39"/>
      <c r="J1" s="39"/>
      <c r="K1" s="40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510">
        <f>IF(AC10="","",AC10)</f>
      </c>
      <c r="AB1" s="26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1:41" ht="9.75" customHeight="1" thickBot="1">
      <c r="K2" s="42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2:94" ht="15.75" customHeight="1">
      <c r="B3" s="43" t="s">
        <v>0</v>
      </c>
      <c r="E3" s="531" t="str">
        <f>Cover!A6</f>
        <v>อาคารพาณิชย์</v>
      </c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3"/>
      <c r="U3" s="537" t="s">
        <v>33</v>
      </c>
      <c r="V3" s="537"/>
      <c r="W3" s="537"/>
      <c r="X3" s="538"/>
      <c r="Y3" s="515">
        <f ca="1">TODAY()</f>
        <v>40280</v>
      </c>
      <c r="Z3" s="613"/>
      <c r="AA3" s="614"/>
      <c r="AB3" s="28"/>
      <c r="AC3" s="44" t="s">
        <v>5</v>
      </c>
      <c r="AD3" s="45"/>
      <c r="AE3" s="45"/>
      <c r="AF3" s="46"/>
      <c r="AG3" s="46"/>
      <c r="AH3" s="46"/>
      <c r="AI3" s="46"/>
      <c r="AJ3" s="46"/>
      <c r="AK3" s="41"/>
      <c r="AL3" s="41"/>
      <c r="AM3" s="41"/>
      <c r="AN3" s="41"/>
      <c r="AO3" s="41"/>
      <c r="BU3" s="26"/>
      <c r="BV3" s="26"/>
      <c r="BW3" s="26"/>
      <c r="BX3" s="264" t="s">
        <v>112</v>
      </c>
      <c r="BY3" s="252" t="s">
        <v>113</v>
      </c>
      <c r="BZ3" s="253" t="s">
        <v>114</v>
      </c>
      <c r="CA3" s="26"/>
      <c r="CB3" s="26"/>
      <c r="CC3" s="264" t="s">
        <v>115</v>
      </c>
      <c r="CD3" s="252" t="s">
        <v>116</v>
      </c>
      <c r="CE3" s="253" t="s">
        <v>117</v>
      </c>
      <c r="CF3" s="26"/>
      <c r="CG3" s="28" t="s">
        <v>121</v>
      </c>
      <c r="CH3" s="26"/>
      <c r="CI3" s="26"/>
      <c r="CJ3" s="28" t="s">
        <v>124</v>
      </c>
      <c r="CK3" s="26"/>
      <c r="CL3" s="26"/>
      <c r="CM3" s="26"/>
      <c r="CN3" s="26"/>
      <c r="CO3" s="26"/>
      <c r="CP3" s="26"/>
    </row>
    <row r="4" spans="2:94" ht="15.75" customHeight="1" thickBot="1">
      <c r="B4" s="43" t="s">
        <v>1</v>
      </c>
      <c r="E4" s="531" t="str">
        <f>Cover!D8</f>
        <v>คุณทดลอง</v>
      </c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3"/>
      <c r="U4" s="535" t="s">
        <v>53</v>
      </c>
      <c r="V4" s="535"/>
      <c r="W4" s="535"/>
      <c r="X4" s="618"/>
      <c r="Y4" s="615" t="s">
        <v>159</v>
      </c>
      <c r="Z4" s="616"/>
      <c r="AA4" s="617"/>
      <c r="AB4" s="48"/>
      <c r="AC4" s="49" t="s">
        <v>6</v>
      </c>
      <c r="AD4" s="45"/>
      <c r="AE4" s="45"/>
      <c r="AF4" s="46"/>
      <c r="AG4" s="46"/>
      <c r="AH4" s="46"/>
      <c r="AI4" s="46"/>
      <c r="AJ4" s="46"/>
      <c r="AK4" s="41"/>
      <c r="AL4" s="41"/>
      <c r="AM4" s="41"/>
      <c r="AN4" s="41"/>
      <c r="AO4" s="41"/>
      <c r="BU4" s="23">
        <v>2</v>
      </c>
      <c r="BV4" s="23">
        <v>1</v>
      </c>
      <c r="BW4" s="23">
        <v>1</v>
      </c>
      <c r="BX4" s="265"/>
      <c r="BY4" s="28">
        <f>L26</f>
        <v>1.4</v>
      </c>
      <c r="BZ4" s="266">
        <f>L27</f>
        <v>0.6</v>
      </c>
      <c r="CA4" s="26"/>
      <c r="CB4" s="26"/>
      <c r="CC4" s="265"/>
      <c r="CD4" s="61">
        <f>L24</f>
        <v>0.3</v>
      </c>
      <c r="CE4" s="254">
        <f>L25</f>
        <v>0.3</v>
      </c>
      <c r="CF4" s="26"/>
      <c r="CG4" s="61">
        <f>L28</f>
        <v>0.6</v>
      </c>
      <c r="CH4" s="26"/>
      <c r="CI4" s="26"/>
      <c r="CJ4" s="61">
        <f>CD4+0.1</f>
        <v>0.4</v>
      </c>
      <c r="CK4" s="26"/>
      <c r="CL4" s="26"/>
      <c r="CM4" s="92">
        <f>CG4+0.1</f>
        <v>0.7</v>
      </c>
      <c r="CN4" s="26"/>
      <c r="CO4" s="26"/>
      <c r="CP4" s="26"/>
    </row>
    <row r="5" spans="2:96" ht="15.75" customHeight="1" thickBot="1">
      <c r="B5" s="43" t="s">
        <v>2</v>
      </c>
      <c r="E5" s="531" t="str">
        <f>Cover!D9</f>
        <v>กทม.</v>
      </c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3"/>
      <c r="U5" s="50"/>
      <c r="V5" s="51"/>
      <c r="W5" s="51"/>
      <c r="X5" s="51"/>
      <c r="Y5" s="47"/>
      <c r="Z5" s="47"/>
      <c r="AA5" s="47"/>
      <c r="AB5" s="48"/>
      <c r="AC5" s="46"/>
      <c r="AD5" s="46"/>
      <c r="AE5" s="46"/>
      <c r="AF5" s="46"/>
      <c r="AG5" s="46"/>
      <c r="AH5" s="45"/>
      <c r="AI5" s="46"/>
      <c r="AJ5" s="46"/>
      <c r="AK5" s="41"/>
      <c r="AL5" s="41"/>
      <c r="AM5" s="41"/>
      <c r="AN5" s="41"/>
      <c r="AO5" s="41"/>
      <c r="BU5" s="26"/>
      <c r="BV5" s="26"/>
      <c r="BW5" s="26"/>
      <c r="BX5" s="267"/>
      <c r="BY5" s="40">
        <f>BY4/2</f>
        <v>0.7</v>
      </c>
      <c r="BZ5" s="268">
        <f>BZ4/2</f>
        <v>0.3</v>
      </c>
      <c r="CA5" s="28">
        <f>MAX(BY5:BZ5)</f>
        <v>0.7</v>
      </c>
      <c r="CB5" s="27">
        <f>0.4/CA5</f>
        <v>0.5714285714285715</v>
      </c>
      <c r="CC5" s="267"/>
      <c r="CD5" s="269">
        <f>CD4/2</f>
        <v>0.15</v>
      </c>
      <c r="CE5" s="270">
        <f>CE4/2</f>
        <v>0.15</v>
      </c>
      <c r="CF5" s="26"/>
      <c r="CG5" s="28">
        <f>CG4/2</f>
        <v>0.3</v>
      </c>
      <c r="CH5" s="61">
        <f>MAX(BY5,BZ5,CG5,CM5)</f>
        <v>0.7</v>
      </c>
      <c r="CI5" s="271">
        <f>0.4/CH5</f>
        <v>0.5714285714285715</v>
      </c>
      <c r="CJ5" s="28">
        <f>CJ4/2</f>
        <v>0.2</v>
      </c>
      <c r="CK5" s="28">
        <v>0.05</v>
      </c>
      <c r="CL5" s="26"/>
      <c r="CM5" s="92">
        <f>CM4/2</f>
        <v>0.35</v>
      </c>
      <c r="CN5" s="26"/>
      <c r="CO5" s="26"/>
      <c r="CP5" s="26"/>
      <c r="CR5" s="272">
        <v>1</v>
      </c>
    </row>
    <row r="6" spans="2:94" ht="9.75" customHeight="1" thickBot="1">
      <c r="B6" s="39"/>
      <c r="C6" s="39"/>
      <c r="D6" s="39"/>
      <c r="E6" s="39"/>
      <c r="F6" s="39"/>
      <c r="G6" s="39"/>
      <c r="H6" s="39"/>
      <c r="I6" s="39"/>
      <c r="J6" s="39"/>
      <c r="K6" s="40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26"/>
      <c r="AC6" s="46"/>
      <c r="AD6" s="46"/>
      <c r="AE6" s="46"/>
      <c r="AF6" s="46"/>
      <c r="AG6" s="46"/>
      <c r="AH6" s="46"/>
      <c r="AI6" s="46"/>
      <c r="AJ6" s="46"/>
      <c r="AK6" s="41"/>
      <c r="AL6" s="41"/>
      <c r="AM6" s="41"/>
      <c r="AN6" s="41"/>
      <c r="AO6" s="41"/>
      <c r="BU6" s="26"/>
      <c r="BV6" s="26"/>
      <c r="BW6" s="26"/>
      <c r="BX6" s="26"/>
      <c r="BY6" s="27"/>
      <c r="BZ6" s="27"/>
      <c r="CA6" s="27"/>
      <c r="CB6" s="27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</row>
    <row r="7" spans="2:96" ht="15.75" customHeight="1">
      <c r="B7" s="543" t="s">
        <v>245</v>
      </c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3"/>
      <c r="AC7" s="46" t="s">
        <v>30</v>
      </c>
      <c r="AD7" s="41"/>
      <c r="AE7" s="41"/>
      <c r="AF7" s="41"/>
      <c r="AG7" s="41"/>
      <c r="AH7" s="41"/>
      <c r="AI7" s="41"/>
      <c r="AJ7" s="54"/>
      <c r="AK7" s="41"/>
      <c r="AL7" s="41"/>
      <c r="AM7" s="41"/>
      <c r="AN7" s="41"/>
      <c r="AO7" s="41"/>
      <c r="BS7" s="26"/>
      <c r="BU7" s="26"/>
      <c r="BV7" s="28"/>
      <c r="BW7" s="28"/>
      <c r="BX7" s="26"/>
      <c r="BY7" s="26"/>
      <c r="BZ7" s="26"/>
      <c r="CA7" s="26"/>
      <c r="CB7" s="26"/>
      <c r="CC7" s="26"/>
      <c r="CD7" s="26"/>
      <c r="CE7" s="26"/>
      <c r="CF7" s="26"/>
      <c r="CG7" s="28"/>
      <c r="CH7" s="26"/>
      <c r="CI7" s="26"/>
      <c r="CJ7" s="26"/>
      <c r="CK7" s="26"/>
      <c r="CL7" s="26"/>
      <c r="CM7" s="26"/>
      <c r="CN7" s="26"/>
      <c r="CO7" s="26"/>
      <c r="CP7" s="26"/>
      <c r="CR7" s="26" t="s">
        <v>188</v>
      </c>
    </row>
    <row r="8" spans="2:96" ht="15.75" customHeight="1" thickBot="1">
      <c r="B8" s="235" t="s">
        <v>52</v>
      </c>
      <c r="K8" s="42"/>
      <c r="O8" s="55"/>
      <c r="P8" s="235" t="s">
        <v>44</v>
      </c>
      <c r="AA8" s="55"/>
      <c r="AB8" s="55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BH8" s="154" t="str">
        <f>IF($BW$4=1,BU8,IF($BW$4=2,BU15,IF($BW$4=3,BU23,IF($BW$4=4,BU26,IF($BW$4=5,BU28)))))</f>
        <v>I-0.18X0.18</v>
      </c>
      <c r="BK8" s="38">
        <v>1</v>
      </c>
      <c r="BL8" s="38">
        <f>IF($BW$4=1,BV8,IF($BW$4=2,BV15,IF($BW$4=3,BV23,IF($BW$4=4,BV26,IF($BW$4=5,BV28)))))</f>
        <v>0.18</v>
      </c>
      <c r="BN8" s="38" t="s">
        <v>146</v>
      </c>
      <c r="BQ8" s="273" t="s">
        <v>146</v>
      </c>
      <c r="BT8" s="38">
        <v>1</v>
      </c>
      <c r="BU8" s="26" t="s">
        <v>64</v>
      </c>
      <c r="BV8" s="42">
        <v>0.18</v>
      </c>
      <c r="BW8" s="42"/>
      <c r="BX8" s="26"/>
      <c r="BY8" s="248" t="s">
        <v>108</v>
      </c>
      <c r="BZ8" s="28"/>
      <c r="CA8" s="248" t="s">
        <v>111</v>
      </c>
      <c r="CB8" s="28"/>
      <c r="CC8" s="26"/>
      <c r="CD8" s="26" t="s">
        <v>120</v>
      </c>
      <c r="CE8" s="26"/>
      <c r="CF8" s="26"/>
      <c r="CG8" s="28" t="s">
        <v>122</v>
      </c>
      <c r="CH8" s="26"/>
      <c r="CI8" s="26"/>
      <c r="CJ8" s="76">
        <f>(CG5+0.1)*CI5</f>
        <v>0.22857142857142862</v>
      </c>
      <c r="CK8" s="26"/>
      <c r="CL8" s="26"/>
      <c r="CM8" s="26"/>
      <c r="CN8" s="26"/>
      <c r="CO8" s="26"/>
      <c r="CP8" s="26"/>
      <c r="CR8" s="26" t="s">
        <v>189</v>
      </c>
    </row>
    <row r="9" spans="2:96" ht="15.75" customHeight="1" thickBot="1">
      <c r="B9" s="38" t="s">
        <v>34</v>
      </c>
      <c r="K9" s="42" t="s">
        <v>3</v>
      </c>
      <c r="L9" s="540">
        <v>3000</v>
      </c>
      <c r="M9" s="540"/>
      <c r="N9" s="540"/>
      <c r="O9" s="56"/>
      <c r="P9" s="38" t="s">
        <v>45</v>
      </c>
      <c r="Q9" s="42"/>
      <c r="S9" s="42"/>
      <c r="T9" s="42"/>
      <c r="U9" s="42" t="s">
        <v>3</v>
      </c>
      <c r="V9" s="546">
        <f>L10/L16</f>
        <v>10.257825921892852</v>
      </c>
      <c r="W9" s="546"/>
      <c r="X9" s="546"/>
      <c r="Y9" s="546"/>
      <c r="Z9" s="57"/>
      <c r="AA9" s="56"/>
      <c r="AB9" s="56"/>
      <c r="AC9" s="548" t="s">
        <v>255</v>
      </c>
      <c r="AD9" s="549"/>
      <c r="AE9" s="550"/>
      <c r="AF9" s="41"/>
      <c r="AG9" s="41"/>
      <c r="AH9" s="41"/>
      <c r="AI9" s="41"/>
      <c r="AJ9" s="41"/>
      <c r="AK9" s="41"/>
      <c r="AL9" s="41"/>
      <c r="AM9" s="41"/>
      <c r="AN9" s="41"/>
      <c r="AO9" s="41"/>
      <c r="BH9" s="154" t="str">
        <f>IF($BW$4=1,BU9,IF($BW$4=2,BU16,IF($BW$4=3,BU24,IF($BW$4=4,"",IF($BW$4=5,BU29)))))</f>
        <v>I-0.22X0.22</v>
      </c>
      <c r="BK9" s="38">
        <v>2</v>
      </c>
      <c r="BL9" s="38">
        <f>IF($BW$4=1,BV9,IF($BW$4=2,BV16,IF($BW$4=3,BV24,IF($BW$4=4,"",IF($BW$4=5,BV29)))))</f>
        <v>0.22</v>
      </c>
      <c r="BN9" s="38" t="s">
        <v>147</v>
      </c>
      <c r="BO9" s="42">
        <f>(L26*L27)*10000</f>
        <v>8400</v>
      </c>
      <c r="BR9" s="38">
        <f>(L26*L27*L28*L14)+(L26*L27*1800)</f>
        <v>2721.6</v>
      </c>
      <c r="BS9" s="38">
        <f>IF(CR5=1,BR9,IF(CR5=2,(BR9/1000)))</f>
        <v>2721.6</v>
      </c>
      <c r="BT9" s="38">
        <v>2</v>
      </c>
      <c r="BU9" s="26" t="s">
        <v>65</v>
      </c>
      <c r="BV9" s="42">
        <v>0.22</v>
      </c>
      <c r="BW9" s="28"/>
      <c r="BX9" s="26"/>
      <c r="BY9" s="274" t="s">
        <v>109</v>
      </c>
      <c r="BZ9" s="253" t="s">
        <v>110</v>
      </c>
      <c r="CA9" s="274" t="s">
        <v>109</v>
      </c>
      <c r="CB9" s="253" t="s">
        <v>110</v>
      </c>
      <c r="CC9" s="26"/>
      <c r="CD9" s="274" t="s">
        <v>109</v>
      </c>
      <c r="CE9" s="253" t="s">
        <v>110</v>
      </c>
      <c r="CF9" s="26"/>
      <c r="CG9" s="28">
        <f>BK28</f>
        <v>0.22</v>
      </c>
      <c r="CH9" s="28">
        <f>CG5+0.15</f>
        <v>0.44999999999999996</v>
      </c>
      <c r="CI9" s="26"/>
      <c r="CJ9" s="28">
        <f>IF(CJ8&gt;0.65,0.64,IF(CJ8&lt;=0.65,CH14))</f>
        <v>0.22857142857142862</v>
      </c>
      <c r="CK9" s="26"/>
      <c r="CL9" s="26"/>
      <c r="CM9" s="26"/>
      <c r="CN9" s="26"/>
      <c r="CO9" s="26"/>
      <c r="CP9" s="26"/>
      <c r="CR9" s="27" t="s">
        <v>190</v>
      </c>
    </row>
    <row r="10" spans="1:96" ht="15.75" customHeight="1" thickBot="1">
      <c r="A10" s="26"/>
      <c r="B10" s="38" t="s">
        <v>35</v>
      </c>
      <c r="K10" s="42" t="s">
        <v>3</v>
      </c>
      <c r="L10" s="582">
        <v>2040000</v>
      </c>
      <c r="M10" s="582"/>
      <c r="N10" s="582"/>
      <c r="P10" s="38" t="s">
        <v>46</v>
      </c>
      <c r="U10" s="42" t="s">
        <v>3</v>
      </c>
      <c r="V10" s="612">
        <f>1/(1+(L11/(V9*L15)))</f>
        <v>0.3073117948842602</v>
      </c>
      <c r="W10" s="612"/>
      <c r="X10" s="612"/>
      <c r="Y10" s="612"/>
      <c r="Z10" s="60"/>
      <c r="AC10" s="551"/>
      <c r="AD10" s="552"/>
      <c r="AE10" s="553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BH10" s="154" t="str">
        <f>IF($BW$4=1,BU10,IF($BW$4=2,BU17,IF($BW$4=3,"",IF($BW$4=4,"",IF($BW$4=5,BU30)))))</f>
        <v>I-0.26X0.26</v>
      </c>
      <c r="BK10" s="38">
        <v>3</v>
      </c>
      <c r="BL10" s="38">
        <f>IF($BW$4=1,BV10,IF($BW$4=2,BV17,IF($BW$4=3,"",IF($BW$4=4,"",IF($BW$4=5,BV30)))))</f>
        <v>0.26</v>
      </c>
      <c r="BN10" s="38" t="s">
        <v>137</v>
      </c>
      <c r="BO10" s="38">
        <f>(0.2125*BO9*L12)</f>
        <v>308805</v>
      </c>
      <c r="BQ10" s="38" t="s">
        <v>164</v>
      </c>
      <c r="BR10" s="275">
        <f>L19*1.1</f>
        <v>38940</v>
      </c>
      <c r="BS10" s="275">
        <f>L19+BS9</f>
        <v>38121.6</v>
      </c>
      <c r="BT10" s="38">
        <v>3</v>
      </c>
      <c r="BU10" s="26" t="s">
        <v>66</v>
      </c>
      <c r="BV10" s="42">
        <v>0.26</v>
      </c>
      <c r="BW10" s="28"/>
      <c r="BX10" s="26"/>
      <c r="BY10" s="276">
        <f>-($BY$5*$CB$5)</f>
        <v>-0.4</v>
      </c>
      <c r="BZ10" s="254">
        <f>($BZ$5*$CB$5)</f>
        <v>0.17142857142857146</v>
      </c>
      <c r="CA10" s="277">
        <f>-($CD$5*$CB$5)</f>
        <v>-0.08571428571428573</v>
      </c>
      <c r="CB10" s="266">
        <f>($CE$5*$CB$5)</f>
        <v>0.08571428571428573</v>
      </c>
      <c r="CC10" s="26"/>
      <c r="CD10" s="276">
        <f>-($CD$5*$CI$5)</f>
        <v>-0.08571428571428573</v>
      </c>
      <c r="CE10" s="254">
        <f>(($CG$5+0.1)*$CI$5)</f>
        <v>0.22857142857142862</v>
      </c>
      <c r="CF10" s="26"/>
      <c r="CG10" s="28">
        <f>CG9/2</f>
        <v>0.11</v>
      </c>
      <c r="CH10" s="26"/>
      <c r="CI10" s="26"/>
      <c r="CJ10" s="26"/>
      <c r="CK10" s="26"/>
      <c r="CL10" s="26"/>
      <c r="CM10" s="26"/>
      <c r="CN10" s="26"/>
      <c r="CO10" s="26"/>
      <c r="CP10" s="26"/>
      <c r="CR10" s="26" t="s">
        <v>97</v>
      </c>
    </row>
    <row r="11" spans="1:96" ht="15.75" customHeight="1">
      <c r="A11" s="26"/>
      <c r="B11" s="38" t="s">
        <v>40</v>
      </c>
      <c r="K11" s="42" t="s">
        <v>3</v>
      </c>
      <c r="L11" s="542">
        <f>IF((0.5*L9)&gt;=1700,1700,IF((0.5*L9)&lt;1700,(0.5*L9)))</f>
        <v>1500</v>
      </c>
      <c r="M11" s="542"/>
      <c r="N11" s="542"/>
      <c r="P11" s="38" t="s">
        <v>47</v>
      </c>
      <c r="U11" s="42" t="s">
        <v>3</v>
      </c>
      <c r="V11" s="612">
        <f>1-(V10/3)</f>
        <v>0.89756273503858</v>
      </c>
      <c r="W11" s="612"/>
      <c r="X11" s="612"/>
      <c r="Y11" s="612"/>
      <c r="Z11" s="60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BH11" s="154" t="str">
        <f>IF($BW$4=1,BU11,IF($BW$4=2,BU18,IF($BW$4=3,"",IF($BW$4=4,"",IF($BW$4=5,BU31)))))</f>
        <v>I-0.30X0.30</v>
      </c>
      <c r="BK11" s="38">
        <v>4</v>
      </c>
      <c r="BL11" s="38">
        <f>IF($BW$4=1,BV11,IF($BW$4=2,BV18,IF($BW$4=3,"",IF($BW$4=4,"",IF($BW$4=5,BV31)))))</f>
        <v>0.3</v>
      </c>
      <c r="BQ11" s="38" t="s">
        <v>136</v>
      </c>
      <c r="BR11" s="278">
        <f>BS11/L23</f>
        <v>1.298</v>
      </c>
      <c r="BS11" s="38">
        <f>IF(BR10&gt;=BS10,BR10,IF(BR10&lt;BS10,BS10))</f>
        <v>38940</v>
      </c>
      <c r="BT11" s="38">
        <v>4</v>
      </c>
      <c r="BU11" s="26" t="s">
        <v>67</v>
      </c>
      <c r="BV11" s="42">
        <v>0.3</v>
      </c>
      <c r="BW11" s="28"/>
      <c r="BX11" s="26"/>
      <c r="BY11" s="276">
        <f>($BY$5*$CB$5)</f>
        <v>0.4</v>
      </c>
      <c r="BZ11" s="254">
        <f>($BZ$5*$CB$5)</f>
        <v>0.17142857142857146</v>
      </c>
      <c r="CA11" s="277">
        <f>($CD$5*$CB$5)</f>
        <v>0.08571428571428573</v>
      </c>
      <c r="CB11" s="266">
        <f>($CE$5*$CB$5)</f>
        <v>0.08571428571428573</v>
      </c>
      <c r="CC11" s="26"/>
      <c r="CD11" s="276">
        <f>-($CD$5*$CI$5)</f>
        <v>-0.08571428571428573</v>
      </c>
      <c r="CE11" s="254">
        <f>($CG$5*$CI$5)</f>
        <v>0.17142857142857146</v>
      </c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R11" s="26" t="s">
        <v>98</v>
      </c>
    </row>
    <row r="12" spans="1:96" ht="15.75" customHeight="1" thickBot="1">
      <c r="A12" s="26"/>
      <c r="B12" s="38" t="s">
        <v>36</v>
      </c>
      <c r="K12" s="42" t="s">
        <v>3</v>
      </c>
      <c r="L12" s="540">
        <v>173</v>
      </c>
      <c r="M12" s="540"/>
      <c r="N12" s="540"/>
      <c r="O12" s="30"/>
      <c r="P12" s="38" t="s">
        <v>48</v>
      </c>
      <c r="U12" s="42" t="s">
        <v>3</v>
      </c>
      <c r="V12" s="612">
        <f>0.5*L15*V10*V11</f>
        <v>8.947288015647407</v>
      </c>
      <c r="W12" s="612"/>
      <c r="X12" s="612"/>
      <c r="Y12" s="612"/>
      <c r="Z12" s="60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BH12" s="154" t="str">
        <f>IF($BW$4=1,BU12,IF($BW$4=2,BU19,IF($BW$4=3,"",IF($BW$4=4,"",IF($BW$4=5,"")))))</f>
        <v>I-0.35X0.35</v>
      </c>
      <c r="BK12" s="38">
        <v>5</v>
      </c>
      <c r="BL12" s="38">
        <f>IF($BW$4=1,BV12,IF($BW$4=2,BV19,IF($BW$4=3,"",IF($BW$4=4,"",IF($BW$4=5,"")))))</f>
        <v>0.35</v>
      </c>
      <c r="BN12" s="38" t="s">
        <v>148</v>
      </c>
      <c r="BO12" s="38">
        <f>IF(L21&lt;=M32,1,IF(L21&gt;M32,2))</f>
        <v>2</v>
      </c>
      <c r="BQ12" s="38" t="s">
        <v>165</v>
      </c>
      <c r="BR12" s="38">
        <f>IF(AND(BR11&gt;1,BR11&lt;=2),1,2)</f>
        <v>1</v>
      </c>
      <c r="BT12" s="38">
        <v>5</v>
      </c>
      <c r="BU12" s="26" t="s">
        <v>68</v>
      </c>
      <c r="BV12" s="42">
        <v>0.35</v>
      </c>
      <c r="BW12" s="28"/>
      <c r="BX12" s="26"/>
      <c r="BY12" s="276">
        <f>($BY$5*$CB$5)</f>
        <v>0.4</v>
      </c>
      <c r="BZ12" s="254">
        <f>-($BZ$5*$CB$5)</f>
        <v>-0.17142857142857146</v>
      </c>
      <c r="CA12" s="277">
        <f>($CD$5*$CB$5)</f>
        <v>0.08571428571428573</v>
      </c>
      <c r="CB12" s="266">
        <f>-($CE$5*$CB$5)</f>
        <v>-0.08571428571428573</v>
      </c>
      <c r="CC12" s="26"/>
      <c r="CD12" s="276">
        <f>-($BY$5*$CI$5)</f>
        <v>-0.4</v>
      </c>
      <c r="CE12" s="254">
        <f>($CG$5*$CI$5)</f>
        <v>0.17142857142857146</v>
      </c>
      <c r="CF12" s="27"/>
      <c r="CG12" s="27" t="s">
        <v>125</v>
      </c>
      <c r="CH12" s="27"/>
      <c r="CI12" s="27"/>
      <c r="CJ12" s="27" t="s">
        <v>160</v>
      </c>
      <c r="CK12" s="27"/>
      <c r="CL12" s="28">
        <f>VLOOKUP(BK28,CJ13:CK25,2,TRUE)</f>
        <v>0.25</v>
      </c>
      <c r="CM12" s="26"/>
      <c r="CN12" s="26"/>
      <c r="CO12" s="26"/>
      <c r="CP12" s="26"/>
      <c r="CR12" s="27" t="s">
        <v>191</v>
      </c>
    </row>
    <row r="13" spans="2:94" ht="15.75" customHeight="1" thickBot="1">
      <c r="B13" s="38" t="s">
        <v>41</v>
      </c>
      <c r="K13" s="42" t="s">
        <v>3</v>
      </c>
      <c r="L13" s="586">
        <v>0.375</v>
      </c>
      <c r="M13" s="586"/>
      <c r="N13" s="586"/>
      <c r="O13" s="30"/>
      <c r="P13" s="30"/>
      <c r="Q13" s="30"/>
      <c r="V13" s="30"/>
      <c r="W13" s="60"/>
      <c r="X13" s="60"/>
      <c r="Y13" s="60"/>
      <c r="Z13" s="60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BH13" s="154" t="str">
        <f>IF($BW$4=1,BU13,IF($BW$4=2,BU20,IF($BW$4=3,"",IF($BW$4=4,"",IF($BW$4=5,"")))))</f>
        <v>I-0.40X0.40</v>
      </c>
      <c r="BK13" s="38">
        <v>6</v>
      </c>
      <c r="BL13" s="38">
        <f>IF($BW$4=1,BV13,IF($BW$4=2,BV20,IF($BW$4=3,"",IF($BW$4=4,"",IF($BW$4=5,"")))))</f>
        <v>0.4</v>
      </c>
      <c r="BN13" s="38" t="s">
        <v>141</v>
      </c>
      <c r="BO13" s="77">
        <f>0.002*(L26*L28*10000)</f>
        <v>16.8</v>
      </c>
      <c r="BQ13" s="38" t="s">
        <v>163</v>
      </c>
      <c r="BR13" s="279">
        <f>IF(BR12=1,(BR10/2),"Found")</f>
        <v>19470</v>
      </c>
      <c r="BS13" s="38">
        <f>IF(CR5=1,BR13,IF(CR5=2,(BR13)))</f>
        <v>19470</v>
      </c>
      <c r="BT13" s="38">
        <v>6</v>
      </c>
      <c r="BU13" s="26" t="s">
        <v>69</v>
      </c>
      <c r="BV13" s="42">
        <v>0.4</v>
      </c>
      <c r="BW13" s="28"/>
      <c r="BX13" s="26"/>
      <c r="BY13" s="276">
        <f>-($BY$5*$CB$5)</f>
        <v>-0.4</v>
      </c>
      <c r="BZ13" s="254">
        <f>-($BZ$5*$CB$5)</f>
        <v>-0.17142857142857146</v>
      </c>
      <c r="CA13" s="277">
        <f>-($CD$5*$CB$5)</f>
        <v>-0.08571428571428573</v>
      </c>
      <c r="CB13" s="266">
        <f>-($CE$5*$CB$5)</f>
        <v>-0.08571428571428573</v>
      </c>
      <c r="CC13" s="26"/>
      <c r="CD13" s="276">
        <f>-($BY$5*$CI$5)</f>
        <v>-0.4</v>
      </c>
      <c r="CE13" s="254">
        <f>-($CG$5*$CI$5)</f>
        <v>-0.17142857142857146</v>
      </c>
      <c r="CF13" s="27"/>
      <c r="CG13" s="274" t="s">
        <v>109</v>
      </c>
      <c r="CH13" s="253" t="s">
        <v>110</v>
      </c>
      <c r="CI13" s="27"/>
      <c r="CJ13" s="280">
        <v>0.15</v>
      </c>
      <c r="CK13" s="281">
        <v>0.15</v>
      </c>
      <c r="CL13" s="26"/>
      <c r="CM13" s="26">
        <f>CG10</f>
        <v>0.11</v>
      </c>
      <c r="CN13" s="26"/>
      <c r="CO13" s="63" t="s">
        <v>123</v>
      </c>
      <c r="CP13" s="26"/>
    </row>
    <row r="14" spans="2:94" ht="15.75" customHeight="1" thickBot="1">
      <c r="B14" s="38" t="s">
        <v>42</v>
      </c>
      <c r="K14" s="42" t="s">
        <v>3</v>
      </c>
      <c r="L14" s="540">
        <v>2400</v>
      </c>
      <c r="M14" s="540"/>
      <c r="N14" s="540"/>
      <c r="O14" s="30"/>
      <c r="P14" s="30"/>
      <c r="Q14" s="607" t="s">
        <v>133</v>
      </c>
      <c r="R14" s="608"/>
      <c r="S14" s="608"/>
      <c r="T14" s="608"/>
      <c r="U14" s="608"/>
      <c r="V14" s="608"/>
      <c r="W14" s="608"/>
      <c r="X14" s="608"/>
      <c r="Y14" s="608"/>
      <c r="Z14" s="608"/>
      <c r="AA14" s="609"/>
      <c r="AC14" s="593" t="s">
        <v>187</v>
      </c>
      <c r="AD14" s="594"/>
      <c r="AE14" s="594"/>
      <c r="AF14" s="594"/>
      <c r="AG14" s="594"/>
      <c r="AH14" s="595"/>
      <c r="AI14" s="41"/>
      <c r="AJ14" s="41"/>
      <c r="AK14" s="41"/>
      <c r="AL14" s="41"/>
      <c r="AM14" s="41"/>
      <c r="AN14" s="41"/>
      <c r="AO14" s="41"/>
      <c r="BH14" s="154">
        <f>IF($BW$4=1,"",IF($BW$4=2,BU21,IF($BW$4=3,"",IF($BW$4=4,"",IF($BW$4=5,"")))))</f>
      </c>
      <c r="BK14" s="38">
        <v>7</v>
      </c>
      <c r="BL14" s="38">
        <f>IF($BW$4=1,"",IF($BW$4=2,BV21,IF($BW$4=3,"",IF($BW$4=4,"",IF($BW$4=5,"")))))</f>
      </c>
      <c r="BQ14" s="38" t="s">
        <v>166</v>
      </c>
      <c r="BR14" s="38">
        <f>IF(CR5=1,BR13,IF(CR5=2,(BR13*1000)))</f>
        <v>19470</v>
      </c>
      <c r="BU14" s="26"/>
      <c r="BV14" s="42"/>
      <c r="BW14" s="28"/>
      <c r="BX14" s="26"/>
      <c r="BY14" s="282">
        <f>-($BY$5*$CB$5)</f>
        <v>-0.4</v>
      </c>
      <c r="BZ14" s="270">
        <f>($BZ$5*$CB$5)</f>
        <v>0.17142857142857146</v>
      </c>
      <c r="CA14" s="283">
        <f>-($CD$5*$CB$5)</f>
        <v>-0.08571428571428573</v>
      </c>
      <c r="CB14" s="268">
        <f>($CE$5*$CB$5)</f>
        <v>0.08571428571428573</v>
      </c>
      <c r="CC14" s="26"/>
      <c r="CD14" s="276">
        <f>-($CM$16*$CI$5)</f>
        <v>-0.32</v>
      </c>
      <c r="CE14" s="254">
        <f>-($CG$5*$CI$5)</f>
        <v>-0.17142857142857146</v>
      </c>
      <c r="CF14" s="63"/>
      <c r="CG14" s="284">
        <f>-($CJ$5*$CI$5)</f>
        <v>-0.11428571428571431</v>
      </c>
      <c r="CH14" s="254">
        <f>(($CG$5+0.1)*$CI$5)</f>
        <v>0.22857142857142862</v>
      </c>
      <c r="CI14" s="66"/>
      <c r="CJ14" s="284">
        <v>0.16</v>
      </c>
      <c r="CK14" s="254">
        <v>0.2</v>
      </c>
      <c r="CL14" s="28"/>
      <c r="CM14" s="26">
        <f>BY4/2</f>
        <v>0.7</v>
      </c>
      <c r="CN14" s="26"/>
      <c r="CO14" s="285" t="s">
        <v>109</v>
      </c>
      <c r="CP14" s="253" t="s">
        <v>110</v>
      </c>
    </row>
    <row r="15" spans="2:94" ht="15.75" customHeight="1">
      <c r="B15" s="38" t="s">
        <v>43</v>
      </c>
      <c r="K15" s="42" t="s">
        <v>3</v>
      </c>
      <c r="L15" s="555">
        <f>L13*L12</f>
        <v>64.875</v>
      </c>
      <c r="M15" s="555"/>
      <c r="N15" s="555"/>
      <c r="O15" s="30"/>
      <c r="P15" s="30"/>
      <c r="Q15" s="237"/>
      <c r="R15" s="68"/>
      <c r="S15" s="26"/>
      <c r="T15" s="26"/>
      <c r="U15" s="26"/>
      <c r="V15" s="26"/>
      <c r="W15" s="28"/>
      <c r="X15" s="68"/>
      <c r="Y15" s="68"/>
      <c r="Z15" s="26"/>
      <c r="AA15" s="238"/>
      <c r="AC15" s="62"/>
      <c r="AD15" s="62"/>
      <c r="AE15" s="62"/>
      <c r="AF15" s="62"/>
      <c r="AG15" s="62"/>
      <c r="AH15" s="62"/>
      <c r="AI15" s="41"/>
      <c r="AJ15" s="69"/>
      <c r="AK15" s="41"/>
      <c r="AL15" s="41"/>
      <c r="AM15" s="41"/>
      <c r="AN15" s="41"/>
      <c r="AO15" s="41"/>
      <c r="BQ15" s="38" t="s">
        <v>167</v>
      </c>
      <c r="BR15" s="38">
        <f>BR14*(CM19-CD5)</f>
        <v>5840.999999999999</v>
      </c>
      <c r="BS15" s="38">
        <f>BR15/1000</f>
        <v>5.840999999999999</v>
      </c>
      <c r="BT15" s="38">
        <v>1</v>
      </c>
      <c r="BU15" s="26" t="s">
        <v>70</v>
      </c>
      <c r="BV15" s="28">
        <v>0.16</v>
      </c>
      <c r="BW15" s="28"/>
      <c r="BX15" s="26"/>
      <c r="BY15" s="28"/>
      <c r="BZ15" s="26"/>
      <c r="CA15" s="26"/>
      <c r="CB15" s="26"/>
      <c r="CC15" s="26"/>
      <c r="CD15" s="276">
        <f>-($CM$16*$CI$5)</f>
        <v>-0.32</v>
      </c>
      <c r="CE15" s="254">
        <f>-(($CG$5-0.05)*$CI$5)</f>
        <v>-0.14285714285714288</v>
      </c>
      <c r="CF15" s="63"/>
      <c r="CG15" s="276">
        <f>-(0.025*CI5)</f>
        <v>-0.014285714285714289</v>
      </c>
      <c r="CH15" s="254">
        <f>(($CG$5+0.1)*$CI$5)</f>
        <v>0.22857142857142862</v>
      </c>
      <c r="CI15" s="66"/>
      <c r="CJ15" s="277">
        <v>0.18</v>
      </c>
      <c r="CK15" s="266">
        <v>0.2</v>
      </c>
      <c r="CL15" s="28"/>
      <c r="CM15" s="26">
        <f>CL12</f>
        <v>0.25</v>
      </c>
      <c r="CN15" s="26"/>
      <c r="CO15" s="276">
        <f>-($CM$16*$CI$5)</f>
        <v>-0.32</v>
      </c>
      <c r="CP15" s="254">
        <f>-(($CG$5-0.05)*$CI$5)</f>
        <v>-0.14285714285714288</v>
      </c>
    </row>
    <row r="16" spans="1:94" ht="15.75" customHeight="1">
      <c r="A16" s="26"/>
      <c r="B16" s="38" t="s">
        <v>37</v>
      </c>
      <c r="K16" s="42" t="s">
        <v>3</v>
      </c>
      <c r="L16" s="542">
        <f>15120*SQRT(L12)</f>
        <v>198872.5501420445</v>
      </c>
      <c r="M16" s="542"/>
      <c r="N16" s="542"/>
      <c r="Q16" s="239"/>
      <c r="R16" s="68"/>
      <c r="S16" s="26"/>
      <c r="T16" s="26"/>
      <c r="U16" s="26"/>
      <c r="V16" s="26"/>
      <c r="W16" s="26"/>
      <c r="X16" s="68"/>
      <c r="Y16" s="68"/>
      <c r="Z16" s="26"/>
      <c r="AA16" s="121"/>
      <c r="AB16" s="21"/>
      <c r="AC16" s="234"/>
      <c r="AD16" s="234"/>
      <c r="AE16" s="234"/>
      <c r="AF16" s="234"/>
      <c r="AG16" s="234"/>
      <c r="AH16" s="234"/>
      <c r="AI16" s="54"/>
      <c r="AJ16" s="54"/>
      <c r="AK16" s="54"/>
      <c r="AL16" s="54"/>
      <c r="AM16" s="54"/>
      <c r="AN16" s="54"/>
      <c r="AO16" s="54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H16" s="154" t="s">
        <v>86</v>
      </c>
      <c r="BQ16" s="273" t="s">
        <v>168</v>
      </c>
      <c r="BR16" s="286">
        <f>SQRT((BR15/(V12*BZ4)))</f>
        <v>32.985439051408065</v>
      </c>
      <c r="BT16" s="38">
        <v>2</v>
      </c>
      <c r="BU16" s="26" t="s">
        <v>71</v>
      </c>
      <c r="BV16" s="28">
        <v>0.18</v>
      </c>
      <c r="BW16" s="28"/>
      <c r="BX16" s="26"/>
      <c r="BY16" s="42"/>
      <c r="CA16" s="26"/>
      <c r="CB16" s="26"/>
      <c r="CC16" s="26"/>
      <c r="CD16" s="276">
        <f>-($CM$17*$CI$5)</f>
        <v>-0.19428571428571428</v>
      </c>
      <c r="CE16" s="254">
        <f>-(($CG$5-0.05)*$CI$5)</f>
        <v>-0.14285714285714288</v>
      </c>
      <c r="CF16" s="63"/>
      <c r="CG16" s="276">
        <f>-(0.025*CI5)</f>
        <v>-0.014285714285714289</v>
      </c>
      <c r="CH16" s="254">
        <f>(($CG$5+0.125)*$CI$5)</f>
        <v>0.24285714285714288</v>
      </c>
      <c r="CI16" s="66"/>
      <c r="CJ16" s="284">
        <v>0.2</v>
      </c>
      <c r="CK16" s="254">
        <v>0.2</v>
      </c>
      <c r="CL16" s="28"/>
      <c r="CM16" s="26">
        <f>(CM14-CM15+CM13)</f>
        <v>0.5599999999999999</v>
      </c>
      <c r="CN16" s="26"/>
      <c r="CO16" s="276">
        <f>-($CM$17*$CI$5)</f>
        <v>-0.19428571428571428</v>
      </c>
      <c r="CP16" s="254">
        <f>-(($CG$5-0.05)*$CI$5)</f>
        <v>-0.14285714285714288</v>
      </c>
    </row>
    <row r="17" spans="1:94" ht="15.75" customHeight="1">
      <c r="A17" s="26"/>
      <c r="B17" s="26"/>
      <c r="L17" s="542"/>
      <c r="M17" s="542"/>
      <c r="N17" s="542"/>
      <c r="Q17" s="239"/>
      <c r="R17" s="68"/>
      <c r="S17" s="71"/>
      <c r="T17" s="71"/>
      <c r="U17" s="71"/>
      <c r="V17" s="71"/>
      <c r="W17" s="71"/>
      <c r="X17" s="68"/>
      <c r="Y17" s="68"/>
      <c r="Z17" s="27"/>
      <c r="AA17" s="240"/>
      <c r="AB17" s="30"/>
      <c r="AC17" s="54"/>
      <c r="AD17" s="54"/>
      <c r="AE17" s="54"/>
      <c r="AF17" s="54"/>
      <c r="AG17" s="54"/>
      <c r="AH17" s="54"/>
      <c r="AI17" s="72"/>
      <c r="AJ17" s="72"/>
      <c r="AK17" s="72"/>
      <c r="AL17" s="54"/>
      <c r="AM17" s="54"/>
      <c r="AN17" s="54"/>
      <c r="AO17" s="54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H17" s="154" t="s">
        <v>87</v>
      </c>
      <c r="BR17" s="38">
        <f>CG4*100</f>
        <v>60</v>
      </c>
      <c r="BT17" s="38">
        <v>3</v>
      </c>
      <c r="BU17" s="26" t="s">
        <v>72</v>
      </c>
      <c r="BV17" s="28">
        <v>0.22</v>
      </c>
      <c r="BW17" s="28"/>
      <c r="BX17" s="26"/>
      <c r="BY17" s="42">
        <f>BY4-(L29*2)</f>
        <v>1.2999999999999998</v>
      </c>
      <c r="BZ17" s="42">
        <f>BY17/2</f>
        <v>0.6499999999999999</v>
      </c>
      <c r="CA17" s="28">
        <f>BZ17-0.025</f>
        <v>0.6249999999999999</v>
      </c>
      <c r="CB17" s="26"/>
      <c r="CC17" s="26"/>
      <c r="CD17" s="276">
        <f>-($CM$17*$CI$5)</f>
        <v>-0.19428571428571428</v>
      </c>
      <c r="CE17" s="254">
        <f>-($CG$5*$CI$5)</f>
        <v>-0.17142857142857146</v>
      </c>
      <c r="CF17" s="26"/>
      <c r="CG17" s="276">
        <f>(0.025*CI5)</f>
        <v>0.014285714285714289</v>
      </c>
      <c r="CH17" s="254">
        <f>(($CG$5+0.1-0.025)*$CI$5)</f>
        <v>0.2142857142857143</v>
      </c>
      <c r="CI17" s="26"/>
      <c r="CJ17" s="284">
        <v>0.22</v>
      </c>
      <c r="CK17" s="254">
        <v>0.25</v>
      </c>
      <c r="CL17" s="26"/>
      <c r="CM17" s="26">
        <f>(CM14-CM15-CM13)</f>
        <v>0.33999999999999997</v>
      </c>
      <c r="CN17" s="26"/>
      <c r="CO17" s="276">
        <f>-($CM$17*$CI$5)</f>
        <v>-0.19428571428571428</v>
      </c>
      <c r="CP17" s="287">
        <f>-($CH$9*$CI$5)</f>
        <v>-0.2571428571428572</v>
      </c>
    </row>
    <row r="18" spans="1:94" ht="15.75" customHeight="1" thickBot="1">
      <c r="A18" s="26"/>
      <c r="B18" s="36" t="s">
        <v>38</v>
      </c>
      <c r="D18" s="26"/>
      <c r="E18" s="26"/>
      <c r="F18" s="26"/>
      <c r="G18" s="26"/>
      <c r="H18" s="26"/>
      <c r="I18" s="26"/>
      <c r="J18" s="22"/>
      <c r="K18" s="27"/>
      <c r="L18" s="542"/>
      <c r="M18" s="542"/>
      <c r="N18" s="542"/>
      <c r="O18" s="26"/>
      <c r="P18" s="26"/>
      <c r="Q18" s="239"/>
      <c r="R18" s="68"/>
      <c r="S18" s="26"/>
      <c r="T18" s="26"/>
      <c r="U18" s="26"/>
      <c r="V18" s="125"/>
      <c r="W18" s="241"/>
      <c r="X18" s="68"/>
      <c r="Y18" s="68"/>
      <c r="Z18" s="26"/>
      <c r="AA18" s="240"/>
      <c r="AB18" s="30"/>
      <c r="AC18" s="54"/>
      <c r="AD18" s="54"/>
      <c r="AE18" s="54"/>
      <c r="AF18" s="54"/>
      <c r="AG18" s="54"/>
      <c r="AH18" s="54"/>
      <c r="AI18" s="72"/>
      <c r="AJ18" s="72"/>
      <c r="AK18" s="72"/>
      <c r="AL18" s="54"/>
      <c r="AM18" s="54"/>
      <c r="AN18" s="54"/>
      <c r="AO18" s="54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H18" s="154" t="s">
        <v>88</v>
      </c>
      <c r="BR18" s="38">
        <f>IF(BR16&lt;=BR17,1,2)</f>
        <v>1</v>
      </c>
      <c r="BT18" s="38">
        <v>4</v>
      </c>
      <c r="BU18" s="26" t="s">
        <v>73</v>
      </c>
      <c r="BV18" s="28">
        <v>0.26</v>
      </c>
      <c r="BW18" s="28"/>
      <c r="BX18" s="26"/>
      <c r="CA18" s="26"/>
      <c r="CB18" s="26"/>
      <c r="CC18" s="26"/>
      <c r="CD18" s="276">
        <f>($CM$17*$CI$5)</f>
        <v>0.19428571428571428</v>
      </c>
      <c r="CE18" s="254">
        <f>-($CG$5*$CI$5)</f>
        <v>-0.17142857142857146</v>
      </c>
      <c r="CF18" s="26"/>
      <c r="CG18" s="276">
        <f>(0.025*CI5)</f>
        <v>0.014285714285714289</v>
      </c>
      <c r="CH18" s="254">
        <f>(($CG$5+0.1)*$CI$5)</f>
        <v>0.22857142857142862</v>
      </c>
      <c r="CI18" s="26"/>
      <c r="CJ18" s="276">
        <v>0.26</v>
      </c>
      <c r="CK18" s="254">
        <v>0.3</v>
      </c>
      <c r="CL18" s="26"/>
      <c r="CM18" s="26"/>
      <c r="CN18" s="26"/>
      <c r="CO18" s="276">
        <f>-($CM$16*$CI$5)</f>
        <v>-0.32</v>
      </c>
      <c r="CP18" s="287">
        <f>-($CH$9*$CI$5)</f>
        <v>-0.2571428571428572</v>
      </c>
    </row>
    <row r="19" spans="1:94" ht="15.75" customHeight="1" thickBot="1">
      <c r="A19" s="26"/>
      <c r="B19" s="26" t="str">
        <f>IF(CR5=1,CR10,IF(CR5=2,CR7))</f>
        <v>Axial Load , P (kg.)</v>
      </c>
      <c r="D19" s="26"/>
      <c r="E19" s="26"/>
      <c r="F19" s="26"/>
      <c r="G19" s="26"/>
      <c r="H19" s="26"/>
      <c r="I19" s="26"/>
      <c r="J19" s="22"/>
      <c r="K19" s="28" t="s">
        <v>3</v>
      </c>
      <c r="L19" s="540">
        <v>35400</v>
      </c>
      <c r="M19" s="540"/>
      <c r="N19" s="540"/>
      <c r="O19" s="26"/>
      <c r="P19" s="26"/>
      <c r="Q19" s="239"/>
      <c r="R19" s="68"/>
      <c r="S19" s="26"/>
      <c r="T19" s="26"/>
      <c r="U19" s="26"/>
      <c r="V19" s="125"/>
      <c r="W19" s="241"/>
      <c r="X19" s="68"/>
      <c r="Y19" s="68"/>
      <c r="Z19" s="26"/>
      <c r="AA19" s="240"/>
      <c r="AB19" s="30"/>
      <c r="AC19" s="593" t="s">
        <v>82</v>
      </c>
      <c r="AD19" s="594"/>
      <c r="AE19" s="594"/>
      <c r="AF19" s="594"/>
      <c r="AG19" s="594"/>
      <c r="AH19" s="594"/>
      <c r="AI19" s="594"/>
      <c r="AJ19" s="594"/>
      <c r="AK19" s="595"/>
      <c r="AL19" s="54"/>
      <c r="AM19" s="54"/>
      <c r="AN19" s="54"/>
      <c r="AO19" s="54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H19" s="154" t="s">
        <v>89</v>
      </c>
      <c r="BQ19" s="38" t="s">
        <v>169</v>
      </c>
      <c r="BR19" s="38">
        <f>BR17-(L29*100)</f>
        <v>55</v>
      </c>
      <c r="BT19" s="38">
        <v>5</v>
      </c>
      <c r="BU19" s="26" t="s">
        <v>74</v>
      </c>
      <c r="BV19" s="28">
        <v>0.3</v>
      </c>
      <c r="BW19" s="28"/>
      <c r="BX19" s="26"/>
      <c r="BY19" s="38" t="s">
        <v>126</v>
      </c>
      <c r="CA19" s="26"/>
      <c r="CB19" s="26"/>
      <c r="CC19" s="26"/>
      <c r="CD19" s="276">
        <f>($CM$17*$CI$5)</f>
        <v>0.19428571428571428</v>
      </c>
      <c r="CE19" s="254">
        <f>-(($CG$5-0.05)*$CI$5)</f>
        <v>-0.14285714285714288</v>
      </c>
      <c r="CF19" s="26"/>
      <c r="CG19" s="288">
        <f>($CJ$5*$CI$5)</f>
        <v>0.11428571428571431</v>
      </c>
      <c r="CH19" s="270">
        <f>(($CG$5+0.1)*$CI$5)</f>
        <v>0.22857142857142862</v>
      </c>
      <c r="CI19" s="26"/>
      <c r="CJ19" s="276">
        <v>0.3</v>
      </c>
      <c r="CK19" s="254">
        <v>0.3</v>
      </c>
      <c r="CL19" s="26"/>
      <c r="CM19" s="26">
        <f>CM14-CM15</f>
        <v>0.44999999999999996</v>
      </c>
      <c r="CN19" s="26"/>
      <c r="CO19" s="282">
        <f>-($CM$16*$CI$5)</f>
        <v>-0.32</v>
      </c>
      <c r="CP19" s="270">
        <f>-(($CG$5-0.05)*$CI$5)</f>
        <v>-0.14285714285714288</v>
      </c>
    </row>
    <row r="20" spans="1:94" ht="15.75" customHeight="1" thickBot="1">
      <c r="A20" s="26"/>
      <c r="B20" s="26" t="s">
        <v>143</v>
      </c>
      <c r="D20" s="26"/>
      <c r="E20" s="26"/>
      <c r="F20" s="26"/>
      <c r="G20" s="26"/>
      <c r="H20" s="26"/>
      <c r="I20" s="26"/>
      <c r="J20" s="22"/>
      <c r="K20" s="28" t="s">
        <v>3</v>
      </c>
      <c r="L20" s="542">
        <f>L19*0.1</f>
        <v>3540</v>
      </c>
      <c r="M20" s="542"/>
      <c r="N20" s="542"/>
      <c r="O20" s="26"/>
      <c r="P20" s="26"/>
      <c r="Q20" s="239"/>
      <c r="R20" s="68"/>
      <c r="S20" s="26"/>
      <c r="T20" s="26"/>
      <c r="U20" s="26"/>
      <c r="V20" s="125"/>
      <c r="W20" s="241"/>
      <c r="X20" s="68"/>
      <c r="Y20" s="68"/>
      <c r="Z20" s="26"/>
      <c r="AA20" s="240"/>
      <c r="AB20" s="30"/>
      <c r="AC20" s="62"/>
      <c r="AD20" s="62"/>
      <c r="AE20" s="62"/>
      <c r="AF20" s="62"/>
      <c r="AG20" s="62"/>
      <c r="AH20" s="62"/>
      <c r="AI20" s="62"/>
      <c r="AJ20" s="62"/>
      <c r="AK20" s="62"/>
      <c r="AL20" s="54"/>
      <c r="AM20" s="54"/>
      <c r="AN20" s="54"/>
      <c r="AO20" s="54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H20" s="154" t="s">
        <v>85</v>
      </c>
      <c r="BQ20" s="273" t="s">
        <v>170</v>
      </c>
      <c r="BT20" s="38">
        <v>6</v>
      </c>
      <c r="BU20" s="26" t="s">
        <v>75</v>
      </c>
      <c r="BV20" s="28">
        <v>0.35</v>
      </c>
      <c r="BW20" s="28"/>
      <c r="BX20" s="26"/>
      <c r="BY20" s="274" t="s">
        <v>109</v>
      </c>
      <c r="BZ20" s="253" t="s">
        <v>110</v>
      </c>
      <c r="CA20" s="26"/>
      <c r="CB20" s="26"/>
      <c r="CC20" s="26"/>
      <c r="CD20" s="276">
        <f>($CM$16*$CI$5)</f>
        <v>0.32</v>
      </c>
      <c r="CE20" s="254">
        <f>-(($CG$5-0.05)*$CI$5)</f>
        <v>-0.14285714285714288</v>
      </c>
      <c r="CF20" s="26"/>
      <c r="CG20" s="61"/>
      <c r="CH20" s="61"/>
      <c r="CI20" s="26"/>
      <c r="CJ20" s="276">
        <v>0.35</v>
      </c>
      <c r="CK20" s="254">
        <v>0.35</v>
      </c>
      <c r="CL20" s="26"/>
      <c r="CM20" s="26"/>
      <c r="CN20" s="26"/>
      <c r="CO20" s="289"/>
      <c r="CP20" s="28"/>
    </row>
    <row r="21" spans="1:94" ht="15.75" customHeight="1">
      <c r="A21" s="26"/>
      <c r="B21" s="26" t="str">
        <f>IF(CR5=1,CR11,IF(CR5=2,CR8))</f>
        <v>Total Service Load , Pt(kg.)</v>
      </c>
      <c r="D21" s="26"/>
      <c r="E21" s="26"/>
      <c r="F21" s="26"/>
      <c r="G21" s="26"/>
      <c r="H21" s="26"/>
      <c r="I21" s="26"/>
      <c r="J21" s="22"/>
      <c r="K21" s="28" t="s">
        <v>3</v>
      </c>
      <c r="L21" s="542">
        <f>SUM(L19:N20)</f>
        <v>38940</v>
      </c>
      <c r="M21" s="542"/>
      <c r="N21" s="542"/>
      <c r="O21" s="26"/>
      <c r="P21" s="26"/>
      <c r="Q21" s="239"/>
      <c r="R21" s="68"/>
      <c r="S21" s="26"/>
      <c r="T21" s="26"/>
      <c r="U21" s="26"/>
      <c r="V21" s="125"/>
      <c r="W21" s="241"/>
      <c r="X21" s="68"/>
      <c r="Y21" s="68"/>
      <c r="Z21" s="26"/>
      <c r="AA21" s="240"/>
      <c r="AB21" s="30"/>
      <c r="AC21" s="62"/>
      <c r="AD21" s="62"/>
      <c r="AE21" s="62"/>
      <c r="AF21" s="62"/>
      <c r="AG21" s="62"/>
      <c r="AH21" s="62"/>
      <c r="AI21" s="62"/>
      <c r="AJ21" s="62"/>
      <c r="AK21" s="62"/>
      <c r="AL21" s="54"/>
      <c r="AM21" s="54"/>
      <c r="AN21" s="54"/>
      <c r="AO21" s="54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M21" s="42" t="str">
        <f>VLOOKUP($BL$37,$BK$39:$BN$45,2,TRUE)</f>
        <v>DB16</v>
      </c>
      <c r="BO21" s="38" t="str">
        <f>CH22&amp;"-"&amp;BM21</f>
        <v>10-DB16</v>
      </c>
      <c r="BQ21" s="38" t="s">
        <v>171</v>
      </c>
      <c r="BR21" s="38">
        <f>((BR19/100)+CD5)</f>
        <v>0.7000000000000001</v>
      </c>
      <c r="BT21" s="38">
        <v>7</v>
      </c>
      <c r="BU21" s="26" t="s">
        <v>76</v>
      </c>
      <c r="BV21" s="28">
        <v>0.4</v>
      </c>
      <c r="BW21" s="28"/>
      <c r="BX21" s="26"/>
      <c r="BY21" s="277">
        <f>-(($BZ$17-L29)*$CI$5)</f>
        <v>-0.3428571428571428</v>
      </c>
      <c r="BZ21" s="254">
        <f>(($CG$5-L29)*$CI$5)</f>
        <v>0.14285714285714288</v>
      </c>
      <c r="CA21" s="26"/>
      <c r="CB21" s="26"/>
      <c r="CC21" s="26"/>
      <c r="CD21" s="276">
        <f>($CM$16*$CI$5)</f>
        <v>0.32</v>
      </c>
      <c r="CE21" s="254">
        <f>-($CG$5*$CI$5)</f>
        <v>-0.17142857142857146</v>
      </c>
      <c r="CF21" s="26"/>
      <c r="CG21" s="153">
        <v>4</v>
      </c>
      <c r="CH21" s="28">
        <f>CG21+1</f>
        <v>5</v>
      </c>
      <c r="CI21" s="26"/>
      <c r="CJ21" s="276">
        <v>0.4</v>
      </c>
      <c r="CK21" s="254">
        <v>0.4</v>
      </c>
      <c r="CL21" s="26"/>
      <c r="CM21" s="26">
        <f>CM14-CM15+CM24</f>
        <v>0.505</v>
      </c>
      <c r="CN21" s="26"/>
      <c r="CO21" s="285" t="s">
        <v>109</v>
      </c>
      <c r="CP21" s="253" t="s">
        <v>110</v>
      </c>
    </row>
    <row r="22" spans="1:94" ht="15.75" customHeight="1" thickBot="1">
      <c r="A22" s="27"/>
      <c r="B22" s="27" t="str">
        <f>IF(AND(BW4&gt;=1,BW4&lt;=4),BJ31,IF(BW4&gt;4,BJ32))</f>
        <v>Use Driven Pile</v>
      </c>
      <c r="C22" s="26"/>
      <c r="D22" s="26"/>
      <c r="E22" s="26"/>
      <c r="F22" s="26" t="str">
        <f>"2 "&amp;BH28&amp;"X"&amp;BH29&amp;" m."</f>
        <v>2 I-0.22X0.22X21 m.</v>
      </c>
      <c r="G22" s="26"/>
      <c r="H22" s="26"/>
      <c r="I22" s="26"/>
      <c r="J22" s="27"/>
      <c r="K22" s="28"/>
      <c r="L22" s="514"/>
      <c r="M22" s="514"/>
      <c r="N22" s="514"/>
      <c r="O22" s="26"/>
      <c r="Q22" s="239"/>
      <c r="R22" s="68"/>
      <c r="S22" s="26"/>
      <c r="T22" s="26"/>
      <c r="U22" s="26"/>
      <c r="V22" s="26"/>
      <c r="W22" s="26"/>
      <c r="X22" s="68"/>
      <c r="Y22" s="68"/>
      <c r="Z22" s="26"/>
      <c r="AA22" s="238"/>
      <c r="AC22" s="41"/>
      <c r="AD22" s="41"/>
      <c r="AE22" s="41"/>
      <c r="AF22" s="41"/>
      <c r="AG22" s="41"/>
      <c r="AH22" s="54"/>
      <c r="AI22" s="54"/>
      <c r="AJ22" s="54"/>
      <c r="AK22" s="54"/>
      <c r="AL22" s="54"/>
      <c r="AM22" s="54"/>
      <c r="AN22" s="54"/>
      <c r="AO22" s="54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G22" s="154">
        <v>1</v>
      </c>
      <c r="BH22" s="154" t="str">
        <f>VLOOKUP(BU$4,BT8:BW13,2,TRUE)</f>
        <v>I-0.22X0.22</v>
      </c>
      <c r="BM22" s="42">
        <f>VLOOKUP($BL$37,$BK$39:$BN$45,3,TRUE)</f>
        <v>1.6</v>
      </c>
      <c r="BQ22" s="38" t="s">
        <v>172</v>
      </c>
      <c r="BR22" s="38">
        <f>CM19</f>
        <v>0.44999999999999996</v>
      </c>
      <c r="BU22" s="26"/>
      <c r="BV22" s="28"/>
      <c r="BW22" s="28"/>
      <c r="BX22" s="26"/>
      <c r="BY22" s="277">
        <f>-(($BZ$17)*$CI$5)</f>
        <v>-0.37142857142857144</v>
      </c>
      <c r="BZ22" s="254">
        <f>(($CG$5-L29)*$CI$5)</f>
        <v>0.14285714285714288</v>
      </c>
      <c r="CA22" s="26"/>
      <c r="CB22" s="26"/>
      <c r="CC22" s="26"/>
      <c r="CD22" s="276">
        <f>($BY$5*$CI$5)</f>
        <v>0.4</v>
      </c>
      <c r="CE22" s="254">
        <f>-($CG$5*$CI$5)</f>
        <v>-0.17142857142857146</v>
      </c>
      <c r="CF22" s="26"/>
      <c r="CG22" s="153">
        <v>9</v>
      </c>
      <c r="CH22" s="28">
        <f>CG22+1</f>
        <v>10</v>
      </c>
      <c r="CI22" s="26"/>
      <c r="CJ22" s="276">
        <v>0.5</v>
      </c>
      <c r="CK22" s="254">
        <v>0.5</v>
      </c>
      <c r="CL22" s="26"/>
      <c r="CM22" s="26">
        <f>CM14-CM15-CM24</f>
        <v>0.39499999999999996</v>
      </c>
      <c r="CN22" s="26"/>
      <c r="CO22" s="276">
        <f>($CM$16*$CI$5)</f>
        <v>0.32</v>
      </c>
      <c r="CP22" s="254">
        <f>-(($CG$5-0.05)*$CI$5)</f>
        <v>-0.14285714285714288</v>
      </c>
    </row>
    <row r="23" spans="1:94" ht="15.75" customHeight="1" thickBot="1">
      <c r="A23" s="27"/>
      <c r="B23" s="27" t="str">
        <f>IF(CR5=1,CR12,IF(CR5=2,CR9))</f>
        <v>Pile Safe Load , (kg./Pile)</v>
      </c>
      <c r="F23" s="42"/>
      <c r="G23" s="42"/>
      <c r="H23" s="42"/>
      <c r="J23" s="42"/>
      <c r="K23" s="28" t="s">
        <v>3</v>
      </c>
      <c r="L23" s="584">
        <v>30000</v>
      </c>
      <c r="M23" s="584"/>
      <c r="N23" s="584"/>
      <c r="O23" s="27"/>
      <c r="Q23" s="239"/>
      <c r="R23" s="26"/>
      <c r="S23" s="75"/>
      <c r="T23" s="75"/>
      <c r="U23" s="75"/>
      <c r="V23" s="75"/>
      <c r="W23" s="75"/>
      <c r="X23" s="26"/>
      <c r="Y23" s="26"/>
      <c r="Z23" s="26"/>
      <c r="AA23" s="238"/>
      <c r="AC23" s="593" t="s">
        <v>99</v>
      </c>
      <c r="AD23" s="594"/>
      <c r="AE23" s="594"/>
      <c r="AF23" s="594"/>
      <c r="AG23" s="594"/>
      <c r="AH23" s="96"/>
      <c r="AI23" s="97"/>
      <c r="AJ23" s="97"/>
      <c r="AK23" s="97"/>
      <c r="AL23" s="41"/>
      <c r="AM23" s="41"/>
      <c r="AN23" s="41"/>
      <c r="AO23" s="41"/>
      <c r="AZ23" s="26"/>
      <c r="BA23" s="26"/>
      <c r="BB23" s="26"/>
      <c r="BG23" s="154">
        <v>2</v>
      </c>
      <c r="BH23" s="154" t="str">
        <f>VLOOKUP(BU$4,BT15:BW21,2,TRUE)</f>
        <v>S-0.18X0.18</v>
      </c>
      <c r="BM23" s="152">
        <f>VLOOKUP($BL$37,$BK$39:$BN$45,4,TRUE)</f>
        <v>2.0106192982974678</v>
      </c>
      <c r="BO23" s="290">
        <f>CH22*BM23</f>
        <v>20.106192982974676</v>
      </c>
      <c r="BQ23" s="38" t="s">
        <v>173</v>
      </c>
      <c r="BR23" s="38">
        <f>BR21-BR22</f>
        <v>0.2500000000000001</v>
      </c>
      <c r="BS23" s="38">
        <f>BR23*100</f>
        <v>25.00000000000001</v>
      </c>
      <c r="BT23" s="38">
        <v>1</v>
      </c>
      <c r="BU23" s="26" t="s">
        <v>79</v>
      </c>
      <c r="BV23" s="28">
        <v>0.4</v>
      </c>
      <c r="BW23" s="28"/>
      <c r="BX23" s="26"/>
      <c r="BY23" s="277">
        <f>-(($BZ$17)*$CI$5)</f>
        <v>-0.37142857142857144</v>
      </c>
      <c r="BZ23" s="254">
        <f>-(($CG$5-0.075)*$CI$5)</f>
        <v>-0.1285714285714286</v>
      </c>
      <c r="CA23" s="26"/>
      <c r="CB23" s="26"/>
      <c r="CC23" s="26"/>
      <c r="CD23" s="276">
        <f>($BY$5*$CI$5)</f>
        <v>0.4</v>
      </c>
      <c r="CE23" s="254">
        <f>($CG$5*$CI$5)</f>
        <v>0.17142857142857146</v>
      </c>
      <c r="CF23" s="26"/>
      <c r="CG23" s="248" t="s">
        <v>129</v>
      </c>
      <c r="CH23" s="28"/>
      <c r="CI23" s="26"/>
      <c r="CJ23" s="291">
        <v>0.525</v>
      </c>
      <c r="CK23" s="257">
        <v>0.525</v>
      </c>
      <c r="CL23" s="26"/>
      <c r="CM23" s="26"/>
      <c r="CN23" s="26"/>
      <c r="CO23" s="276">
        <f>($CM$17*$CI$5)</f>
        <v>0.19428571428571428</v>
      </c>
      <c r="CP23" s="254">
        <f>-(($CG$5-0.05)*$CI$5)</f>
        <v>-0.14285714285714288</v>
      </c>
    </row>
    <row r="24" spans="1:94" ht="15.75" customHeight="1" thickBot="1">
      <c r="A24" s="27"/>
      <c r="B24" s="38" t="str">
        <f>IF(BV4=1,BN34,IF(BV4=2,BN37))</f>
        <v>Width of Column , Wc (m.)</v>
      </c>
      <c r="K24" s="28" t="s">
        <v>3</v>
      </c>
      <c r="L24" s="588">
        <v>0.3</v>
      </c>
      <c r="M24" s="588"/>
      <c r="N24" s="588"/>
      <c r="O24" s="27"/>
      <c r="Q24" s="239"/>
      <c r="R24" s="26"/>
      <c r="S24" s="27"/>
      <c r="T24" s="27"/>
      <c r="U24" s="27"/>
      <c r="V24" s="27"/>
      <c r="W24" s="27"/>
      <c r="X24" s="26"/>
      <c r="Y24" s="26"/>
      <c r="Z24" s="26"/>
      <c r="AA24" s="238"/>
      <c r="AC24" s="590">
        <v>21</v>
      </c>
      <c r="AD24" s="591"/>
      <c r="AE24" s="591"/>
      <c r="AF24" s="591"/>
      <c r="AG24" s="592"/>
      <c r="AH24" s="54" t="s">
        <v>39</v>
      </c>
      <c r="AI24" s="54"/>
      <c r="AJ24" s="54"/>
      <c r="AK24" s="54"/>
      <c r="AL24" s="54"/>
      <c r="AM24" s="54"/>
      <c r="AN24" s="54"/>
      <c r="AO24" s="54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G24" s="154">
        <v>3</v>
      </c>
      <c r="BH24" s="154" t="str">
        <f>VLOOKUP(BU$4,BT23:BW24,2,TRUE)</f>
        <v>SO-0.525X0.525</v>
      </c>
      <c r="BM24" s="152">
        <f>VLOOKUP(BL37,BK39:BO45,5,TRUE)</f>
        <v>5.026548245743669</v>
      </c>
      <c r="BO24" s="236">
        <f>BM24*CH22</f>
        <v>50.26548245743669</v>
      </c>
      <c r="BQ24" s="38" t="s">
        <v>176</v>
      </c>
      <c r="BR24" s="38">
        <f>IF(BR23&gt;0,1,IF(BR23=0,2,IF(BR23&lt;0,3)))</f>
        <v>1</v>
      </c>
      <c r="BT24" s="38">
        <v>2</v>
      </c>
      <c r="BU24" s="26" t="s">
        <v>80</v>
      </c>
      <c r="BV24" s="28">
        <v>0.525</v>
      </c>
      <c r="BW24" s="28"/>
      <c r="BX24" s="26"/>
      <c r="BY24" s="277">
        <f>(($BZ$17)*$CI$5)</f>
        <v>0.37142857142857144</v>
      </c>
      <c r="BZ24" s="254">
        <f>-(($CG$5-0.075)*$CI$5)</f>
        <v>-0.1285714285714286</v>
      </c>
      <c r="CA24" s="26"/>
      <c r="CB24" s="26"/>
      <c r="CC24" s="26"/>
      <c r="CD24" s="276">
        <f>($CD$5*$CI$5)</f>
        <v>0.08571428571428573</v>
      </c>
      <c r="CE24" s="254">
        <f>($CG$5*$CI$5)</f>
        <v>0.17142857142857146</v>
      </c>
      <c r="CF24" s="26"/>
      <c r="CG24" s="28">
        <v>2</v>
      </c>
      <c r="CH24" s="292"/>
      <c r="CI24" s="26"/>
      <c r="CJ24" s="276">
        <v>0.6</v>
      </c>
      <c r="CK24" s="254">
        <v>0.6</v>
      </c>
      <c r="CL24" s="26"/>
      <c r="CM24" s="26">
        <f>CM13/2</f>
        <v>0.055</v>
      </c>
      <c r="CN24" s="26"/>
      <c r="CO24" s="276">
        <f>($CM$17*$CI$5)</f>
        <v>0.19428571428571428</v>
      </c>
      <c r="CP24" s="287">
        <f>-($CH$9*$CI$5)</f>
        <v>-0.2571428571428572</v>
      </c>
    </row>
    <row r="25" spans="1:94" ht="15.75" customHeight="1" thickBot="1">
      <c r="A25" s="27"/>
      <c r="B25" s="38" t="str">
        <f>IF(BV4=1,BN35,IF(BV4=2,""))</f>
        <v>Long of Column , Lc (m.)</v>
      </c>
      <c r="K25" s="28" t="s">
        <v>3</v>
      </c>
      <c r="L25" s="588">
        <v>0.3</v>
      </c>
      <c r="M25" s="588"/>
      <c r="N25" s="588"/>
      <c r="O25" s="27"/>
      <c r="Q25" s="239"/>
      <c r="R25" s="26"/>
      <c r="S25" s="26"/>
      <c r="T25" s="26"/>
      <c r="U25" s="26"/>
      <c r="V25" s="26"/>
      <c r="W25" s="26"/>
      <c r="X25" s="26"/>
      <c r="Y25" s="26"/>
      <c r="Z25" s="26"/>
      <c r="AA25" s="238"/>
      <c r="AC25" s="593" t="s">
        <v>118</v>
      </c>
      <c r="AD25" s="594"/>
      <c r="AE25" s="594"/>
      <c r="AF25" s="594"/>
      <c r="AG25" s="594"/>
      <c r="AH25" s="594"/>
      <c r="AI25" s="594"/>
      <c r="AJ25" s="594"/>
      <c r="AK25" s="595"/>
      <c r="AL25" s="54"/>
      <c r="AM25" s="54"/>
      <c r="AN25" s="54"/>
      <c r="AO25" s="54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G25" s="154">
        <v>4</v>
      </c>
      <c r="BH25" s="154" t="str">
        <f>VLOOKUP(BU$4,BT26:BW26,2,TRUE)</f>
        <v>Hp-0.15X0.15</v>
      </c>
      <c r="BQ25" s="38" t="s">
        <v>178</v>
      </c>
      <c r="BR25" s="38">
        <f>IF(BR24=1,-BR23,IF(BR24=2,0,IF(BR24=3,ABS(BR23))))</f>
        <v>-0.2500000000000001</v>
      </c>
      <c r="BV25" s="28"/>
      <c r="BW25" s="28"/>
      <c r="BX25" s="26"/>
      <c r="BY25" s="277">
        <f>(($BZ$17)*$CI$5)</f>
        <v>0.37142857142857144</v>
      </c>
      <c r="BZ25" s="254">
        <f>(($CG$5-L29)*$CI$5)</f>
        <v>0.14285714285714288</v>
      </c>
      <c r="CA25" s="26"/>
      <c r="CB25" s="26"/>
      <c r="CC25" s="26"/>
      <c r="CD25" s="282">
        <f>($CD$5*$CI$5)</f>
        <v>0.08571428571428573</v>
      </c>
      <c r="CE25" s="270">
        <f>(($CG$5+0.1)*$CI$5)</f>
        <v>0.22857142857142862</v>
      </c>
      <c r="CF25" s="26"/>
      <c r="CG25" s="28">
        <v>3</v>
      </c>
      <c r="CH25" s="28"/>
      <c r="CI25" s="26"/>
      <c r="CJ25" s="282">
        <v>0.8</v>
      </c>
      <c r="CK25" s="270">
        <v>0.8</v>
      </c>
      <c r="CL25" s="26"/>
      <c r="CM25" s="26"/>
      <c r="CN25" s="26"/>
      <c r="CO25" s="276">
        <f>($CM$16*$CI$5)</f>
        <v>0.32</v>
      </c>
      <c r="CP25" s="287">
        <f>-($CH$9*$CI$5)</f>
        <v>-0.2571428571428572</v>
      </c>
    </row>
    <row r="26" spans="1:94" ht="15.75" customHeight="1" thickBot="1">
      <c r="A26" s="27"/>
      <c r="B26" s="26" t="s">
        <v>105</v>
      </c>
      <c r="C26" s="30"/>
      <c r="D26" s="30"/>
      <c r="E26" s="30"/>
      <c r="F26" s="30"/>
      <c r="G26" s="30"/>
      <c r="H26" s="30"/>
      <c r="I26" s="30"/>
      <c r="J26" s="30"/>
      <c r="K26" s="28" t="s">
        <v>3</v>
      </c>
      <c r="L26" s="588">
        <v>1.4</v>
      </c>
      <c r="M26" s="588"/>
      <c r="N26" s="588"/>
      <c r="O26" s="27"/>
      <c r="Q26" s="239"/>
      <c r="R26" s="26"/>
      <c r="S26" s="26"/>
      <c r="T26" s="26"/>
      <c r="U26" s="27"/>
      <c r="V26" s="242"/>
      <c r="W26" s="242"/>
      <c r="X26" s="242"/>
      <c r="Y26" s="242"/>
      <c r="Z26" s="26"/>
      <c r="AA26" s="238"/>
      <c r="AC26" s="62"/>
      <c r="AD26" s="62"/>
      <c r="AE26" s="62"/>
      <c r="AF26" s="62"/>
      <c r="AG26" s="62"/>
      <c r="AH26" s="62"/>
      <c r="AI26" s="62"/>
      <c r="AJ26" s="62"/>
      <c r="AK26" s="62"/>
      <c r="AL26" s="54"/>
      <c r="AM26" s="54"/>
      <c r="AN26" s="54"/>
      <c r="AO26" s="54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G26" s="154">
        <v>5</v>
      </c>
      <c r="BH26" s="154" t="str">
        <f>VLOOKUP(BU$4,BT28:BW31,2,TRUE)</f>
        <v>DIA.-0.50</v>
      </c>
      <c r="BM26" s="152" t="str">
        <f>VLOOKUP(BK37,BK39:BO45,2,TRUE)</f>
        <v>DB16</v>
      </c>
      <c r="BO26" s="38" t="str">
        <f>CH21&amp;"-"&amp;BM26</f>
        <v>5-DB16</v>
      </c>
      <c r="BQ26" s="38" t="s">
        <v>179</v>
      </c>
      <c r="BR26" s="38">
        <f>(BR14/30)*((BR25*100)+15)</f>
        <v>-6490.000000000007</v>
      </c>
      <c r="BT26" s="38">
        <v>1</v>
      </c>
      <c r="BU26" s="26" t="s">
        <v>81</v>
      </c>
      <c r="BV26" s="28">
        <v>0.15</v>
      </c>
      <c r="BW26" s="28"/>
      <c r="BX26" s="26"/>
      <c r="BY26" s="283">
        <f>(($BZ$17-L29)*$CI$5)</f>
        <v>0.3428571428571428</v>
      </c>
      <c r="BZ26" s="270">
        <f>(($CG$5-L29)*$CI$5)</f>
        <v>0.14285714285714288</v>
      </c>
      <c r="CA26" s="26"/>
      <c r="CB26" s="26"/>
      <c r="CC26" s="26"/>
      <c r="CF26" s="26"/>
      <c r="CG26" s="28">
        <v>4</v>
      </c>
      <c r="CH26" s="28"/>
      <c r="CI26" s="26"/>
      <c r="CJ26" s="61"/>
      <c r="CK26" s="26"/>
      <c r="CL26" s="26"/>
      <c r="CM26" s="26"/>
      <c r="CN26" s="26"/>
      <c r="CO26" s="282">
        <f>($CM$16*$CI$5)</f>
        <v>0.32</v>
      </c>
      <c r="CP26" s="270">
        <f>-(($CG$5-0.05)*$CI$5)</f>
        <v>-0.14285714285714288</v>
      </c>
    </row>
    <row r="27" spans="1:94" ht="15.75" customHeight="1">
      <c r="A27" s="27"/>
      <c r="B27" s="30" t="s">
        <v>104</v>
      </c>
      <c r="C27" s="30"/>
      <c r="D27" s="30"/>
      <c r="E27" s="30"/>
      <c r="F27" s="30"/>
      <c r="G27" s="30"/>
      <c r="H27" s="30"/>
      <c r="I27" s="30"/>
      <c r="J27" s="30"/>
      <c r="K27" s="28" t="s">
        <v>3</v>
      </c>
      <c r="L27" s="588">
        <v>0.6</v>
      </c>
      <c r="M27" s="588"/>
      <c r="N27" s="588"/>
      <c r="O27" s="27"/>
      <c r="Q27" s="237"/>
      <c r="R27" s="27"/>
      <c r="S27" s="27"/>
      <c r="T27" s="27"/>
      <c r="U27" s="27"/>
      <c r="V27" s="242"/>
      <c r="W27" s="242"/>
      <c r="X27" s="242"/>
      <c r="Y27" s="242"/>
      <c r="Z27" s="26"/>
      <c r="AA27" s="238"/>
      <c r="AC27" s="62"/>
      <c r="AD27" s="62"/>
      <c r="AE27" s="62"/>
      <c r="AF27" s="62"/>
      <c r="AG27" s="62"/>
      <c r="AH27" s="62"/>
      <c r="AI27" s="62"/>
      <c r="AJ27" s="62"/>
      <c r="AK27" s="62"/>
      <c r="AL27" s="54"/>
      <c r="AM27" s="54"/>
      <c r="AN27" s="54"/>
      <c r="AO27" s="54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M27" s="152">
        <f>VLOOKUP(BK37,BK39:BO45,3,TRUE)</f>
        <v>1.6</v>
      </c>
      <c r="BQ27" s="38" t="s">
        <v>177</v>
      </c>
      <c r="BR27" s="38">
        <f>IF(AND(BR24=1,BS23&gt;=15),0,IF(AND(BR24=1,BS23&lt;15),BR26,IF(BR24=2,(BR14/2),IF(AND(BR24=3,BS23&lt;15),BR26,IF(AND(BR24=3,BS23&gt;15),BR14)))))</f>
        <v>0</v>
      </c>
      <c r="BU27" s="26"/>
      <c r="BV27" s="28"/>
      <c r="BW27" s="28"/>
      <c r="BX27" s="26"/>
      <c r="BY27" s="61"/>
      <c r="BZ27" s="61"/>
      <c r="CA27" s="26"/>
      <c r="CB27" s="26"/>
      <c r="CC27" s="26"/>
      <c r="CD27" s="280" t="s">
        <v>109</v>
      </c>
      <c r="CE27" s="281" t="s">
        <v>110</v>
      </c>
      <c r="CF27" s="26"/>
      <c r="CG27" s="28">
        <v>5</v>
      </c>
      <c r="CH27" s="28"/>
      <c r="CI27" s="26"/>
      <c r="CJ27" s="61"/>
      <c r="CK27" s="26"/>
      <c r="CL27" s="26"/>
      <c r="CM27" s="26"/>
      <c r="CN27" s="26"/>
      <c r="CO27" s="26"/>
      <c r="CP27" s="26"/>
    </row>
    <row r="28" spans="1:94" ht="15.75" customHeight="1" thickBot="1">
      <c r="A28" s="27"/>
      <c r="B28" s="38" t="s">
        <v>106</v>
      </c>
      <c r="H28" s="30"/>
      <c r="I28" s="30"/>
      <c r="J28" s="30"/>
      <c r="K28" s="28" t="s">
        <v>3</v>
      </c>
      <c r="L28" s="588">
        <v>0.6</v>
      </c>
      <c r="M28" s="588"/>
      <c r="N28" s="588"/>
      <c r="O28" s="27"/>
      <c r="Q28" s="243"/>
      <c r="R28" s="26"/>
      <c r="S28" s="28"/>
      <c r="T28" s="28"/>
      <c r="U28" s="27"/>
      <c r="V28" s="91"/>
      <c r="W28" s="91"/>
      <c r="X28" s="91"/>
      <c r="Y28" s="91"/>
      <c r="Z28" s="26"/>
      <c r="AA28" s="238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H28" s="154" t="str">
        <f>VLOOKUP($BW$4,BG22:BH26,2,TRUE)</f>
        <v>I-0.22X0.22</v>
      </c>
      <c r="BK28" s="38">
        <f>VLOOKUP(BU4,BK8:BL14,2,TRUE)</f>
        <v>0.22</v>
      </c>
      <c r="BM28" s="152">
        <f>VLOOKUP(BK37,BK39:BO45,4,TRUE)</f>
        <v>2.0106192982974678</v>
      </c>
      <c r="BO28" s="290">
        <f>CH21*BM28</f>
        <v>10.053096491487338</v>
      </c>
      <c r="BQ28" s="38" t="s">
        <v>175</v>
      </c>
      <c r="BR28" s="278">
        <f>0.29*(SQRT(L12))</f>
        <v>3.814354467010112</v>
      </c>
      <c r="BT28" s="38">
        <v>1</v>
      </c>
      <c r="BU28" s="78" t="s">
        <v>90</v>
      </c>
      <c r="BV28" s="61">
        <v>0.35</v>
      </c>
      <c r="BW28" s="61"/>
      <c r="BX28" s="26"/>
      <c r="CA28" s="26"/>
      <c r="CB28" s="26"/>
      <c r="CC28" s="26"/>
      <c r="CD28" s="276">
        <f>-($BY$5*$CI$5)</f>
        <v>-0.4</v>
      </c>
      <c r="CE28" s="254">
        <f>-(($CG$5+0.05)*$CI$5)</f>
        <v>-0.2</v>
      </c>
      <c r="CF28" s="26"/>
      <c r="CG28" s="28">
        <v>6</v>
      </c>
      <c r="CH28" s="26"/>
      <c r="CJ28" s="26" t="s">
        <v>161</v>
      </c>
      <c r="CK28" s="26"/>
      <c r="CL28" s="26"/>
      <c r="CN28" s="26"/>
      <c r="CO28" s="26"/>
      <c r="CP28" s="26"/>
    </row>
    <row r="29" spans="1:94" ht="15.75" customHeight="1">
      <c r="A29" s="26"/>
      <c r="B29" s="38" t="s">
        <v>107</v>
      </c>
      <c r="H29" s="30"/>
      <c r="I29" s="30"/>
      <c r="J29" s="30"/>
      <c r="K29" s="28" t="s">
        <v>3</v>
      </c>
      <c r="L29" s="589">
        <v>0.05</v>
      </c>
      <c r="M29" s="589"/>
      <c r="N29" s="589"/>
      <c r="O29" s="26"/>
      <c r="Q29" s="239"/>
      <c r="R29" s="26"/>
      <c r="S29" s="26"/>
      <c r="T29" s="26"/>
      <c r="U29" s="26"/>
      <c r="V29" s="28"/>
      <c r="W29" s="27"/>
      <c r="X29" s="26"/>
      <c r="Y29" s="26"/>
      <c r="Z29" s="26"/>
      <c r="AA29" s="238"/>
      <c r="AB29" s="26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H29" s="154">
        <f>AC24</f>
        <v>21</v>
      </c>
      <c r="BM29" s="152">
        <f>VLOOKUP(BK37,BK39:BO45,5,TRUE)</f>
        <v>5.026548245743669</v>
      </c>
      <c r="BO29" s="236">
        <f>BM29*CH21</f>
        <v>25.132741228718345</v>
      </c>
      <c r="BQ29" s="38" t="s">
        <v>174</v>
      </c>
      <c r="BR29" s="77">
        <f>BR27/((L27*100)*BR19)</f>
        <v>0</v>
      </c>
      <c r="BT29" s="38">
        <v>2</v>
      </c>
      <c r="BU29" s="78" t="s">
        <v>91</v>
      </c>
      <c r="BV29" s="61">
        <v>0.5</v>
      </c>
      <c r="BW29" s="61"/>
      <c r="BX29" s="26"/>
      <c r="CA29" s="26"/>
      <c r="CB29" s="26"/>
      <c r="CC29" s="26"/>
      <c r="CD29" s="276">
        <f>-($CM$16*$CI$5)</f>
        <v>-0.32</v>
      </c>
      <c r="CE29" s="254">
        <f>-(($CG$5+0.05)*$CI$5)</f>
        <v>-0.2</v>
      </c>
      <c r="CF29" s="26"/>
      <c r="CG29" s="28">
        <v>7</v>
      </c>
      <c r="CH29" s="26"/>
      <c r="CJ29" s="274" t="s">
        <v>109</v>
      </c>
      <c r="CK29" s="281" t="s">
        <v>110</v>
      </c>
      <c r="CL29" s="26"/>
      <c r="CM29" s="26"/>
      <c r="CN29" s="26"/>
      <c r="CO29" s="26"/>
      <c r="CP29" s="26"/>
    </row>
    <row r="30" spans="1:94" ht="15.75" customHeight="1">
      <c r="A30" s="26"/>
      <c r="C30" s="26"/>
      <c r="D30" s="26"/>
      <c r="E30" s="26"/>
      <c r="F30" s="26"/>
      <c r="G30" s="26"/>
      <c r="H30" s="26"/>
      <c r="I30" s="26"/>
      <c r="J30" s="26"/>
      <c r="K30" s="28"/>
      <c r="L30" s="26"/>
      <c r="M30" s="26"/>
      <c r="N30" s="26"/>
      <c r="O30" s="26"/>
      <c r="P30" s="26"/>
      <c r="Q30" s="239"/>
      <c r="R30" s="26"/>
      <c r="S30" s="26"/>
      <c r="T30" s="26"/>
      <c r="U30" s="26"/>
      <c r="V30" s="26"/>
      <c r="W30" s="26"/>
      <c r="X30" s="26"/>
      <c r="Y30" s="26"/>
      <c r="Z30" s="26"/>
      <c r="AA30" s="238"/>
      <c r="AB30" s="26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I30" s="42"/>
      <c r="BJ30" s="79"/>
      <c r="BK30" s="30"/>
      <c r="BT30" s="38">
        <v>3</v>
      </c>
      <c r="BU30" s="78" t="s">
        <v>92</v>
      </c>
      <c r="BV30" s="61">
        <v>0.6</v>
      </c>
      <c r="BW30" s="61"/>
      <c r="BX30" s="26"/>
      <c r="CA30" s="26"/>
      <c r="CB30" s="26"/>
      <c r="CC30" s="26"/>
      <c r="CD30" s="265"/>
      <c r="CE30" s="293"/>
      <c r="CF30" s="26"/>
      <c r="CG30" s="28">
        <v>8</v>
      </c>
      <c r="CH30" s="26"/>
      <c r="CI30" s="28"/>
      <c r="CJ30" s="276">
        <f>-($CM$21*$CI$5)</f>
        <v>-0.2885714285714286</v>
      </c>
      <c r="CK30" s="266">
        <v>0</v>
      </c>
      <c r="CL30" s="26"/>
      <c r="CM30" s="26"/>
      <c r="CN30" s="26"/>
      <c r="CO30" s="26"/>
      <c r="CP30" s="26"/>
    </row>
    <row r="31" spans="1:94" ht="15.75" customHeight="1">
      <c r="A31" s="26"/>
      <c r="B31" s="36" t="s">
        <v>192</v>
      </c>
      <c r="C31" s="26"/>
      <c r="D31" s="26"/>
      <c r="E31" s="26"/>
      <c r="F31" s="26"/>
      <c r="G31" s="26"/>
      <c r="H31" s="26"/>
      <c r="I31" s="26"/>
      <c r="J31" s="26"/>
      <c r="K31" s="28"/>
      <c r="L31" s="26"/>
      <c r="M31" s="26"/>
      <c r="N31" s="26"/>
      <c r="O31" s="26"/>
      <c r="P31" s="26"/>
      <c r="Q31" s="239"/>
      <c r="R31" s="26"/>
      <c r="S31" s="26"/>
      <c r="T31" s="26"/>
      <c r="U31" s="26"/>
      <c r="V31" s="26"/>
      <c r="W31" s="26"/>
      <c r="X31" s="26"/>
      <c r="Y31" s="26"/>
      <c r="Z31" s="26"/>
      <c r="AA31" s="238"/>
      <c r="AB31" s="26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I31" s="42"/>
      <c r="BJ31" s="38" t="s">
        <v>100</v>
      </c>
      <c r="BK31" s="30"/>
      <c r="BQ31" s="273" t="s">
        <v>180</v>
      </c>
      <c r="BT31" s="38">
        <v>4</v>
      </c>
      <c r="BU31" s="78" t="s">
        <v>93</v>
      </c>
      <c r="BV31" s="61">
        <v>0.8</v>
      </c>
      <c r="BW31" s="61"/>
      <c r="BX31" s="26"/>
      <c r="CA31" s="26"/>
      <c r="CB31" s="26"/>
      <c r="CC31" s="26"/>
      <c r="CD31" s="276">
        <f>-($CM$17*$CI$5)</f>
        <v>-0.19428571428571428</v>
      </c>
      <c r="CE31" s="254">
        <f>-(($CG$5+0.05)*$CI$5)</f>
        <v>-0.2</v>
      </c>
      <c r="CF31" s="26"/>
      <c r="CG31" s="28">
        <v>9</v>
      </c>
      <c r="CH31" s="26"/>
      <c r="CI31" s="28"/>
      <c r="CJ31" s="276">
        <f>-($CM$22*$CI$5)</f>
        <v>-0.22571428571428573</v>
      </c>
      <c r="CK31" s="266">
        <v>0</v>
      </c>
      <c r="CL31" s="26"/>
      <c r="CM31" s="26"/>
      <c r="CN31" s="26"/>
      <c r="CO31" s="26"/>
      <c r="CP31" s="26"/>
    </row>
    <row r="32" spans="1:94" ht="15.75" customHeight="1">
      <c r="A32" s="27"/>
      <c r="B32" s="26" t="str">
        <f>IF($CR$5=1,"Load per Pile , (kg./Pile)",IF($CR$5=2,"Load per Pile , (Ton./Pile)"))</f>
        <v>Load per Pile , (kg./Pile)</v>
      </c>
      <c r="C32" s="26"/>
      <c r="D32" s="26"/>
      <c r="E32" s="27"/>
      <c r="F32" s="27"/>
      <c r="G32" s="27"/>
      <c r="H32" s="27"/>
      <c r="I32" s="27"/>
      <c r="J32" s="27"/>
      <c r="K32" s="28" t="s">
        <v>3</v>
      </c>
      <c r="L32" s="511">
        <f>BS13</f>
        <v>19470</v>
      </c>
      <c r="M32" s="511"/>
      <c r="N32" s="511"/>
      <c r="O32" s="27"/>
      <c r="P32" s="240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40"/>
      <c r="AB32" s="27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I32" s="42"/>
      <c r="BJ32" s="81" t="s">
        <v>101</v>
      </c>
      <c r="BK32" s="30"/>
      <c r="BQ32" s="38" t="s">
        <v>171</v>
      </c>
      <c r="BR32" s="38">
        <f>(((BR19/2)/100)+CD5)</f>
        <v>0.42500000000000004</v>
      </c>
      <c r="BU32" s="26"/>
      <c r="BV32" s="26"/>
      <c r="BW32" s="26"/>
      <c r="BX32" s="26"/>
      <c r="CA32" s="26"/>
      <c r="CB32" s="26"/>
      <c r="CC32" s="26"/>
      <c r="CD32" s="276">
        <f>($CM$17*$CI$5)</f>
        <v>0.19428571428571428</v>
      </c>
      <c r="CE32" s="254">
        <f>-(($CG$5+0.05)*$CI$5)</f>
        <v>-0.2</v>
      </c>
      <c r="CF32" s="26"/>
      <c r="CG32" s="28">
        <v>10</v>
      </c>
      <c r="CH32" s="26"/>
      <c r="CI32" s="28"/>
      <c r="CJ32" s="277"/>
      <c r="CK32" s="266"/>
      <c r="CL32" s="26"/>
      <c r="CM32" s="26"/>
      <c r="CN32" s="26"/>
      <c r="CO32" s="26"/>
      <c r="CP32" s="26"/>
    </row>
    <row r="33" spans="1:94" ht="15.75" customHeight="1">
      <c r="A33" s="27"/>
      <c r="B33" s="26" t="str">
        <f>IF($CR$5=1,"Shear , V (kg.)",IF($CR$5=2,"Shear , V (Ton.)"))</f>
        <v>Shear , V (kg.)</v>
      </c>
      <c r="C33" s="26"/>
      <c r="D33" s="26"/>
      <c r="E33" s="28"/>
      <c r="F33" s="27"/>
      <c r="G33" s="27"/>
      <c r="H33" s="27"/>
      <c r="I33" s="27"/>
      <c r="J33" s="27"/>
      <c r="K33" s="28" t="s">
        <v>3</v>
      </c>
      <c r="L33" s="511">
        <f>BS13</f>
        <v>19470</v>
      </c>
      <c r="M33" s="511"/>
      <c r="N33" s="511"/>
      <c r="O33" s="27"/>
      <c r="P33" s="240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40"/>
      <c r="AB33" s="27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Q33" s="38" t="s">
        <v>172</v>
      </c>
      <c r="BR33" s="38">
        <f>CM19</f>
        <v>0.44999999999999996</v>
      </c>
      <c r="BU33" s="26"/>
      <c r="BV33" s="26"/>
      <c r="BW33" s="26"/>
      <c r="BX33" s="26"/>
      <c r="CA33" s="26"/>
      <c r="CB33" s="26"/>
      <c r="CC33" s="26"/>
      <c r="CD33" s="265"/>
      <c r="CE33" s="293"/>
      <c r="CF33" s="26"/>
      <c r="CG33" s="28">
        <v>11</v>
      </c>
      <c r="CH33" s="26"/>
      <c r="CI33" s="28"/>
      <c r="CJ33" s="276">
        <f>-($CM$19*$CI$5)</f>
        <v>-0.2571428571428572</v>
      </c>
      <c r="CK33" s="254">
        <f>-($CM$24*$CI$5)</f>
        <v>-0.03142857142857143</v>
      </c>
      <c r="CL33" s="26"/>
      <c r="CM33" s="26"/>
      <c r="CN33" s="26"/>
      <c r="CO33" s="26"/>
      <c r="CP33" s="26"/>
    </row>
    <row r="34" spans="1:94" ht="15.75" customHeight="1" thickBot="1">
      <c r="A34" s="27"/>
      <c r="B34" s="26" t="str">
        <f>IF($CR$5=1,"Moment , M (kg.-m.)",IF($CR$5=2,"Moment , M (Ton.-m.)"))</f>
        <v>Moment , M (kg.-m.)</v>
      </c>
      <c r="C34" s="26"/>
      <c r="D34" s="26"/>
      <c r="E34" s="26"/>
      <c r="F34" s="26"/>
      <c r="G34" s="26"/>
      <c r="H34" s="26"/>
      <c r="I34" s="26"/>
      <c r="J34" s="26"/>
      <c r="K34" s="28" t="s">
        <v>3</v>
      </c>
      <c r="L34" s="511">
        <f>IF(CR5=1,BR15,IF(CR5=2,BS15))</f>
        <v>5840.999999999999</v>
      </c>
      <c r="M34" s="511"/>
      <c r="N34" s="511"/>
      <c r="O34" s="27"/>
      <c r="P34" s="240"/>
      <c r="Q34" s="27"/>
      <c r="R34" s="27"/>
      <c r="S34" s="27"/>
      <c r="T34" s="27"/>
      <c r="U34" s="27"/>
      <c r="V34" s="90"/>
      <c r="W34" s="90"/>
      <c r="X34" s="90"/>
      <c r="Y34" s="90"/>
      <c r="Z34" s="90"/>
      <c r="AA34" s="240"/>
      <c r="AB34" s="27"/>
      <c r="AC34" s="41"/>
      <c r="AD34" s="41"/>
      <c r="AE34" s="41"/>
      <c r="AF34" s="41"/>
      <c r="AG34" s="54"/>
      <c r="AH34" s="54"/>
      <c r="AI34" s="54"/>
      <c r="AJ34" s="54"/>
      <c r="AK34" s="54"/>
      <c r="AL34" s="54"/>
      <c r="AM34" s="54"/>
      <c r="AN34" s="54"/>
      <c r="AO34" s="54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N34" s="26" t="s">
        <v>102</v>
      </c>
      <c r="BO34" s="30"/>
      <c r="BP34" s="30"/>
      <c r="BQ34" s="30" t="s">
        <v>173</v>
      </c>
      <c r="BR34" s="60">
        <f>BR32-BR33</f>
        <v>-0.02499999999999991</v>
      </c>
      <c r="BS34" s="30">
        <f>BR34*100</f>
        <v>-2.499999999999991</v>
      </c>
      <c r="BT34" s="27"/>
      <c r="BU34" s="27"/>
      <c r="BV34" s="27"/>
      <c r="BW34" s="28"/>
      <c r="BY34" s="42"/>
      <c r="BZ34" s="42"/>
      <c r="CA34" s="26"/>
      <c r="CB34" s="26"/>
      <c r="CC34" s="92"/>
      <c r="CD34" s="276">
        <f>($CM$16*$CI$5)</f>
        <v>0.32</v>
      </c>
      <c r="CE34" s="254">
        <f>-(($CG$5+0.05)*$CI$5)</f>
        <v>-0.2</v>
      </c>
      <c r="CF34" s="26"/>
      <c r="CG34" s="28">
        <v>12</v>
      </c>
      <c r="CH34" s="26"/>
      <c r="CI34" s="28"/>
      <c r="CJ34" s="282">
        <f>-($CM$19*$CI$5)</f>
        <v>-0.2571428571428572</v>
      </c>
      <c r="CK34" s="270">
        <f>($CM$24*$CI$5)</f>
        <v>0.03142857142857143</v>
      </c>
      <c r="CL34" s="26"/>
      <c r="CM34" s="26"/>
      <c r="CN34" s="26"/>
      <c r="CO34" s="26"/>
      <c r="CP34" s="26"/>
    </row>
    <row r="35" spans="1:94" ht="15.75" customHeight="1" thickBot="1">
      <c r="A35" s="26"/>
      <c r="B35" s="26"/>
      <c r="C35" s="26"/>
      <c r="D35" s="26"/>
      <c r="E35" s="29"/>
      <c r="F35" s="244"/>
      <c r="G35" s="29"/>
      <c r="H35" s="29"/>
      <c r="I35" s="29"/>
      <c r="J35" s="29"/>
      <c r="K35" s="28"/>
      <c r="L35" s="542"/>
      <c r="M35" s="542"/>
      <c r="N35" s="542"/>
      <c r="O35" s="91"/>
      <c r="P35" s="245"/>
      <c r="Q35" s="27"/>
      <c r="R35" s="27"/>
      <c r="S35" s="27"/>
      <c r="T35" s="27"/>
      <c r="U35" s="27"/>
      <c r="V35" s="90"/>
      <c r="W35" s="90"/>
      <c r="X35" s="90"/>
      <c r="Y35" s="90"/>
      <c r="Z35" s="90"/>
      <c r="AA35" s="240"/>
      <c r="AB35" s="27"/>
      <c r="AC35" s="41"/>
      <c r="AD35" s="41"/>
      <c r="AE35" s="41"/>
      <c r="AF35" s="41"/>
      <c r="AG35" s="54"/>
      <c r="AH35" s="54"/>
      <c r="AI35" s="54"/>
      <c r="AJ35" s="54"/>
      <c r="AK35" s="54"/>
      <c r="AL35" s="54"/>
      <c r="AM35" s="54"/>
      <c r="AN35" s="54"/>
      <c r="AO35" s="54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N35" s="38" t="s">
        <v>103</v>
      </c>
      <c r="BO35" s="30"/>
      <c r="BP35" s="30"/>
      <c r="BQ35" s="30" t="s">
        <v>176</v>
      </c>
      <c r="BR35" s="30">
        <f>IF(BR34&gt;0,1,IF(BR34=0,2,IF(BR34&lt;0,3)))</f>
        <v>3</v>
      </c>
      <c r="BS35" s="30"/>
      <c r="BT35" s="30"/>
      <c r="BU35" s="30"/>
      <c r="BV35" s="30"/>
      <c r="BW35" s="28"/>
      <c r="BY35" s="83" t="s">
        <v>127</v>
      </c>
      <c r="BZ35" s="42"/>
      <c r="CA35" s="93"/>
      <c r="CB35" s="26"/>
      <c r="CC35" s="86"/>
      <c r="CD35" s="282">
        <f>($BY$5*$CI$5)</f>
        <v>0.4</v>
      </c>
      <c r="CE35" s="270">
        <f>-(($CG$5+0.05)*$CI$5)</f>
        <v>-0.2</v>
      </c>
      <c r="CF35" s="26"/>
      <c r="CG35" s="28">
        <v>13</v>
      </c>
      <c r="CH35" s="26"/>
      <c r="CI35" s="28"/>
      <c r="CJ35" s="28"/>
      <c r="CK35" s="28"/>
      <c r="CL35" s="26"/>
      <c r="CM35" s="26"/>
      <c r="CN35" s="26"/>
      <c r="CO35" s="26"/>
      <c r="CP35" s="26"/>
    </row>
    <row r="36" spans="1:94" ht="15.75" customHeight="1">
      <c r="A36" s="26"/>
      <c r="B36" s="36" t="s">
        <v>162</v>
      </c>
      <c r="C36" s="26"/>
      <c r="D36" s="26"/>
      <c r="E36" s="29"/>
      <c r="F36" s="29"/>
      <c r="G36" s="29"/>
      <c r="H36" s="29"/>
      <c r="I36" s="65"/>
      <c r="J36" s="65"/>
      <c r="K36" s="28"/>
      <c r="L36" s="542"/>
      <c r="M36" s="542"/>
      <c r="N36" s="542"/>
      <c r="O36" s="91"/>
      <c r="P36" s="245"/>
      <c r="Q36" s="27"/>
      <c r="R36" s="27"/>
      <c r="S36" s="27"/>
      <c r="T36" s="27"/>
      <c r="U36" s="27"/>
      <c r="V36" s="90"/>
      <c r="W36" s="90"/>
      <c r="X36" s="90"/>
      <c r="Y36" s="90"/>
      <c r="Z36" s="90"/>
      <c r="AA36" s="240"/>
      <c r="AB36" s="27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Q36" s="38" t="s">
        <v>178</v>
      </c>
      <c r="BR36" s="286">
        <f>IF(BR35=1,-BR34,IF(BR35=2,0,IF(BR35=3,ABS(BR34))))</f>
        <v>0.02499999999999991</v>
      </c>
      <c r="BU36" s="26"/>
      <c r="BV36" s="26"/>
      <c r="BW36" s="26"/>
      <c r="BX36" s="26"/>
      <c r="BY36" s="294" t="s">
        <v>109</v>
      </c>
      <c r="BZ36" s="295" t="s">
        <v>110</v>
      </c>
      <c r="CA36" s="296"/>
      <c r="CB36" s="86"/>
      <c r="CC36" s="26"/>
      <c r="CF36" s="26"/>
      <c r="CG36" s="28">
        <v>14</v>
      </c>
      <c r="CH36" s="26"/>
      <c r="CI36" s="28"/>
      <c r="CJ36" s="274" t="s">
        <v>109</v>
      </c>
      <c r="CK36" s="281" t="s">
        <v>110</v>
      </c>
      <c r="CL36" s="26"/>
      <c r="CM36" s="26"/>
      <c r="CN36" s="26"/>
      <c r="CO36" s="26"/>
      <c r="CP36" s="26"/>
    </row>
    <row r="37" spans="1:94" ht="15.75" customHeight="1">
      <c r="A37" s="26"/>
      <c r="B37" s="26" t="s">
        <v>193</v>
      </c>
      <c r="C37" s="26"/>
      <c r="D37" s="26"/>
      <c r="E37" s="29"/>
      <c r="F37" s="29"/>
      <c r="G37" s="29"/>
      <c r="H37" s="29"/>
      <c r="I37" s="65"/>
      <c r="J37" s="65"/>
      <c r="K37" s="28"/>
      <c r="L37" s="542"/>
      <c r="M37" s="542"/>
      <c r="N37" s="542"/>
      <c r="O37" s="27"/>
      <c r="P37" s="240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40"/>
      <c r="AB37" s="27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K37" s="272">
        <v>3</v>
      </c>
      <c r="BL37" s="272">
        <v>3</v>
      </c>
      <c r="BN37" s="38" t="s">
        <v>119</v>
      </c>
      <c r="BQ37" s="38" t="s">
        <v>179</v>
      </c>
      <c r="BR37" s="38">
        <f>(BR14/30)*((BR36*100)+15)</f>
        <v>11357.499999999995</v>
      </c>
      <c r="BT37" s="38" t="s">
        <v>182</v>
      </c>
      <c r="BU37" s="26"/>
      <c r="BV37" s="26"/>
      <c r="BW37" s="26"/>
      <c r="BX37" s="26"/>
      <c r="BY37" s="276">
        <f>-(($BZ$17-0.025)*$CI$5)</f>
        <v>-0.35714285714285715</v>
      </c>
      <c r="BZ37" s="254">
        <f>(($CG$5-L29-0.025)*$CI$5)</f>
        <v>0.1285714285714286</v>
      </c>
      <c r="CA37" s="296"/>
      <c r="CB37" s="86"/>
      <c r="CC37" s="26"/>
      <c r="CD37" s="28"/>
      <c r="CE37" s="28"/>
      <c r="CF37" s="26"/>
      <c r="CG37" s="28">
        <v>15</v>
      </c>
      <c r="CH37" s="26"/>
      <c r="CI37" s="28"/>
      <c r="CJ37" s="276">
        <f>($CM$21*$CI$5)</f>
        <v>0.2885714285714286</v>
      </c>
      <c r="CK37" s="266">
        <v>0</v>
      </c>
      <c r="CL37" s="26"/>
      <c r="CM37" s="26"/>
      <c r="CN37" s="26"/>
      <c r="CO37" s="26"/>
      <c r="CP37" s="26"/>
    </row>
    <row r="38" spans="1:94" ht="15.75" customHeight="1">
      <c r="A38" s="26"/>
      <c r="D38" s="38" t="s">
        <v>194</v>
      </c>
      <c r="E38" s="83" t="s">
        <v>3</v>
      </c>
      <c r="F38" s="555">
        <f>BS13</f>
        <v>19470</v>
      </c>
      <c r="G38" s="555"/>
      <c r="H38" s="555"/>
      <c r="I38" s="42" t="str">
        <f>IF(BS13&lt;L23,"&lt;",IF(BS13=L23,"=",it(BS13&gt;L23,"&gt;")))</f>
        <v>&lt;</v>
      </c>
      <c r="J38" s="555">
        <f>L23</f>
        <v>30000</v>
      </c>
      <c r="K38" s="555"/>
      <c r="L38" s="555"/>
      <c r="M38" s="542" t="str">
        <f>IF(CR5=1,"kg.",IF(CR5=2,"Ton."))</f>
        <v>kg.</v>
      </c>
      <c r="N38" s="542"/>
      <c r="O38" s="542" t="str">
        <f>IF(BS13&lt;L23,"Ok.",IF(BS13=L23,"Ok.",it(BS13&gt;L23,"Not Ok.")))</f>
        <v>Ok.</v>
      </c>
      <c r="P38" s="620"/>
      <c r="Q38" s="607" t="s">
        <v>134</v>
      </c>
      <c r="R38" s="608"/>
      <c r="S38" s="608"/>
      <c r="T38" s="608"/>
      <c r="U38" s="608"/>
      <c r="V38" s="608"/>
      <c r="W38" s="608"/>
      <c r="X38" s="608"/>
      <c r="Y38" s="608"/>
      <c r="Z38" s="608"/>
      <c r="AA38" s="609"/>
      <c r="AB38" s="27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K38" s="26"/>
      <c r="BL38" s="28"/>
      <c r="BM38" s="28"/>
      <c r="BN38" s="28"/>
      <c r="BO38" s="297"/>
      <c r="BQ38" s="38" t="s">
        <v>177</v>
      </c>
      <c r="BR38" s="38">
        <f>IF(AND(BR35=1,BS34&gt;=15),0,IF(AND(BR35=1,BS34&lt;15),BR37,IF(BR35=2,(BR14/2),IF(AND(BR35=3,BS34&lt;15),BR37,IF(AND(BR35=3,BS34&gt;15),BR14)))))</f>
        <v>11357.499999999995</v>
      </c>
      <c r="BT38" s="38" t="s">
        <v>183</v>
      </c>
      <c r="BU38" s="26"/>
      <c r="BV38" s="26"/>
      <c r="BW38" s="26"/>
      <c r="BX38" s="26"/>
      <c r="BY38" s="291"/>
      <c r="BZ38" s="257"/>
      <c r="CA38" s="296"/>
      <c r="CB38" s="86"/>
      <c r="CC38" s="26"/>
      <c r="CD38" s="26"/>
      <c r="CE38" s="26"/>
      <c r="CF38" s="26"/>
      <c r="CG38" s="28">
        <v>16</v>
      </c>
      <c r="CH38" s="26"/>
      <c r="CI38" s="28"/>
      <c r="CJ38" s="276">
        <f>($CM$22*$CI$5)</f>
        <v>0.22571428571428573</v>
      </c>
      <c r="CK38" s="266">
        <v>0</v>
      </c>
      <c r="CL38" s="26"/>
      <c r="CM38" s="26"/>
      <c r="CN38" s="26"/>
      <c r="CO38" s="26"/>
      <c r="CP38" s="26"/>
    </row>
    <row r="39" spans="1:94" ht="15.75" customHeight="1" thickBot="1">
      <c r="A39" s="26"/>
      <c r="B39" s="26" t="s">
        <v>196</v>
      </c>
      <c r="C39" s="26"/>
      <c r="D39" s="26"/>
      <c r="E39" s="29"/>
      <c r="F39" s="29"/>
      <c r="G39" s="29"/>
      <c r="H39" s="29"/>
      <c r="I39" s="65"/>
      <c r="J39" s="65"/>
      <c r="K39" s="28"/>
      <c r="L39" s="21"/>
      <c r="M39" s="21"/>
      <c r="N39" s="21"/>
      <c r="O39" s="91"/>
      <c r="P39" s="91"/>
      <c r="Q39" s="246" t="s">
        <v>157</v>
      </c>
      <c r="R39" s="247"/>
      <c r="S39" s="247"/>
      <c r="T39" s="144" t="s">
        <v>3</v>
      </c>
      <c r="U39" s="610" t="str">
        <f>L27&amp;"X"&amp;L26&amp;"X"&amp;L28&amp;" m."</f>
        <v>0.6X1.4X0.6 m.</v>
      </c>
      <c r="V39" s="610"/>
      <c r="W39" s="610"/>
      <c r="X39" s="610"/>
      <c r="Y39" s="610"/>
      <c r="Z39" s="610"/>
      <c r="AA39" s="611"/>
      <c r="AB39" s="27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J39" s="77"/>
      <c r="BK39" s="298">
        <v>1</v>
      </c>
      <c r="BL39" s="144" t="s">
        <v>155</v>
      </c>
      <c r="BM39" s="144">
        <v>0.9</v>
      </c>
      <c r="BN39" s="299">
        <f aca="true" t="shared" si="0" ref="BN39:BN45">(PI()*(BM39^2))/4</f>
        <v>0.6361725123519332</v>
      </c>
      <c r="BO39" s="300">
        <f>PI()*BM39</f>
        <v>2.827433388230814</v>
      </c>
      <c r="BQ39" s="38" t="s">
        <v>175</v>
      </c>
      <c r="BR39" s="278">
        <f>0.53*(SQRT(L12))</f>
        <v>6.97106161212193</v>
      </c>
      <c r="BT39" s="38" t="s">
        <v>184</v>
      </c>
      <c r="BU39" s="255">
        <f>1.615*(SQRT($L$12)/($BM$22))</f>
        <v>13.276255310821833</v>
      </c>
      <c r="BV39" s="301">
        <f>IF(BU39&gt;11,11,IF(BU39&lt;=11,BU39))</f>
        <v>11</v>
      </c>
      <c r="BW39" s="26"/>
      <c r="BX39" s="26"/>
      <c r="BY39" s="282">
        <f>(($BZ$17-0.025)*$CI$5)</f>
        <v>0.35714285714285715</v>
      </c>
      <c r="BZ39" s="270">
        <f>(($CG$5-L29-0.025)*$CI$5)</f>
        <v>0.1285714285714286</v>
      </c>
      <c r="CA39" s="296"/>
      <c r="CB39" s="86"/>
      <c r="CC39" s="26"/>
      <c r="CD39" s="26"/>
      <c r="CE39" s="26"/>
      <c r="CF39" s="26"/>
      <c r="CG39" s="28">
        <v>17</v>
      </c>
      <c r="CH39" s="26"/>
      <c r="CI39" s="28"/>
      <c r="CJ39" s="277"/>
      <c r="CK39" s="266"/>
      <c r="CL39" s="26"/>
      <c r="CM39" s="26"/>
      <c r="CN39" s="26"/>
      <c r="CO39" s="26"/>
      <c r="CP39" s="26"/>
    </row>
    <row r="40" spans="1:94" ht="15.75" customHeight="1">
      <c r="A40" s="26"/>
      <c r="B40" s="26"/>
      <c r="C40" s="26"/>
      <c r="D40" s="26" t="s">
        <v>195</v>
      </c>
      <c r="E40" s="248" t="s">
        <v>3</v>
      </c>
      <c r="F40" s="536">
        <f>BR16</f>
        <v>32.985439051408065</v>
      </c>
      <c r="G40" s="536"/>
      <c r="H40" s="536"/>
      <c r="I40" s="28" t="str">
        <f>IF(BR16&lt;BR19,"&lt;",IF(BR16=BR19,"=",IF(BR16&gt;BR19,"&gt;")))</f>
        <v>&lt;</v>
      </c>
      <c r="J40" s="536">
        <f>BR19</f>
        <v>55</v>
      </c>
      <c r="K40" s="536"/>
      <c r="L40" s="536"/>
      <c r="M40" s="542" t="s">
        <v>62</v>
      </c>
      <c r="N40" s="542"/>
      <c r="O40" s="514" t="str">
        <f>IF(BR16&lt;BR19,"Ok.",IF(BR16=BR19,"Ok.",IF(BR16&gt;BR19,"Not Ok.")))</f>
        <v>Ok.</v>
      </c>
      <c r="P40" s="601"/>
      <c r="Q40" s="237" t="s">
        <v>135</v>
      </c>
      <c r="R40" s="27"/>
      <c r="S40" s="27"/>
      <c r="T40" s="28" t="s">
        <v>3</v>
      </c>
      <c r="U40" s="619" t="str">
        <f>BO26&amp;" mm."</f>
        <v>5-DB16 mm.</v>
      </c>
      <c r="V40" s="604"/>
      <c r="W40" s="604"/>
      <c r="X40" s="604"/>
      <c r="Y40" s="604"/>
      <c r="Z40" s="604"/>
      <c r="AA40" s="605"/>
      <c r="AB40" s="26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K40" s="239">
        <v>2</v>
      </c>
      <c r="BL40" s="28" t="s">
        <v>149</v>
      </c>
      <c r="BM40" s="28">
        <v>1.2</v>
      </c>
      <c r="BN40" s="61">
        <f t="shared" si="0"/>
        <v>1.1309733552923256</v>
      </c>
      <c r="BO40" s="302">
        <f aca="true" t="shared" si="1" ref="BO40:BO45">PI()*BM40</f>
        <v>3.7699111843077517</v>
      </c>
      <c r="BQ40" s="38" t="s">
        <v>174</v>
      </c>
      <c r="BR40" s="77">
        <f>BR38/((L27*100)*BR19)</f>
        <v>3.441666666666665</v>
      </c>
      <c r="BT40" s="38" t="s">
        <v>185</v>
      </c>
      <c r="BU40" s="255">
        <f>3.23*(SQRT($L$12)/($BM$22))</f>
        <v>26.552510621643666</v>
      </c>
      <c r="BV40" s="301">
        <f>IF(BU40&gt;35,35,IF(BU40&lt;=35,BU40))</f>
        <v>26.552510621643666</v>
      </c>
      <c r="BW40" s="26"/>
      <c r="BX40" s="26"/>
      <c r="BY40" s="61"/>
      <c r="BZ40" s="76"/>
      <c r="CA40" s="296"/>
      <c r="CB40" s="86"/>
      <c r="CC40" s="26"/>
      <c r="CD40" s="26"/>
      <c r="CE40" s="26"/>
      <c r="CF40" s="26"/>
      <c r="CG40" s="28">
        <v>18</v>
      </c>
      <c r="CH40" s="26"/>
      <c r="CI40" s="26"/>
      <c r="CJ40" s="276">
        <f>($CM$19*$CI$5)</f>
        <v>0.2571428571428572</v>
      </c>
      <c r="CK40" s="254">
        <f>-($CM$24*$CI$5)</f>
        <v>-0.03142857142857143</v>
      </c>
      <c r="CL40" s="26"/>
      <c r="CM40" s="26"/>
      <c r="CN40" s="26"/>
      <c r="CO40" s="26"/>
      <c r="CP40" s="26"/>
    </row>
    <row r="41" spans="1:94" ht="15.75" customHeight="1" thickBot="1">
      <c r="A41" s="26"/>
      <c r="B41" s="38" t="s">
        <v>197</v>
      </c>
      <c r="P41" s="238"/>
      <c r="Q41" s="606" t="s">
        <v>210</v>
      </c>
      <c r="R41" s="606"/>
      <c r="S41" s="606"/>
      <c r="T41" s="42" t="s">
        <v>3</v>
      </c>
      <c r="U41" s="604" t="str">
        <f>BO21&amp;" mm."</f>
        <v>10-DB16 mm.</v>
      </c>
      <c r="V41" s="604"/>
      <c r="W41" s="604"/>
      <c r="X41" s="604"/>
      <c r="Y41" s="604"/>
      <c r="Z41" s="604"/>
      <c r="AA41" s="605"/>
      <c r="AB41" s="26"/>
      <c r="AC41" s="88"/>
      <c r="AD41" s="88"/>
      <c r="AE41" s="88"/>
      <c r="AF41" s="88"/>
      <c r="AG41" s="88"/>
      <c r="AH41" s="88"/>
      <c r="AI41" s="54"/>
      <c r="AJ41" s="54"/>
      <c r="AK41" s="54"/>
      <c r="AL41" s="54"/>
      <c r="AM41" s="54"/>
      <c r="AN41" s="54"/>
      <c r="AO41" s="54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K41" s="239">
        <v>3</v>
      </c>
      <c r="BL41" s="28" t="s">
        <v>150</v>
      </c>
      <c r="BM41" s="28">
        <v>1.6</v>
      </c>
      <c r="BN41" s="61">
        <f t="shared" si="0"/>
        <v>2.0106192982974678</v>
      </c>
      <c r="BO41" s="302">
        <f t="shared" si="1"/>
        <v>5.026548245743669</v>
      </c>
      <c r="BU41" s="26">
        <f>IF(L9=2400,1,IF(L9&gt;2400,2))</f>
        <v>2</v>
      </c>
      <c r="BV41" s="26"/>
      <c r="BW41" s="26"/>
      <c r="BX41" s="26"/>
      <c r="BY41" s="61">
        <f>-(($BZ$17-0.025)*$CI$5)</f>
        <v>-0.35714285714285715</v>
      </c>
      <c r="BZ41" s="61">
        <f>(($CG$5-L29-0.025)*$CI$5)</f>
        <v>0.1285714285714286</v>
      </c>
      <c r="CA41" s="296"/>
      <c r="CB41" s="86" t="s">
        <v>128</v>
      </c>
      <c r="CC41" s="26"/>
      <c r="CD41" s="26"/>
      <c r="CE41" s="26"/>
      <c r="CF41" s="26"/>
      <c r="CG41" s="28">
        <v>19</v>
      </c>
      <c r="CH41" s="26"/>
      <c r="CI41" s="26"/>
      <c r="CJ41" s="282">
        <f>($CM$19*$CI$5)</f>
        <v>0.2571428571428572</v>
      </c>
      <c r="CK41" s="270">
        <f>($CM$24*$CI$5)</f>
        <v>0.03142857142857143</v>
      </c>
      <c r="CL41" s="26"/>
      <c r="CM41" s="26"/>
      <c r="CN41" s="26"/>
      <c r="CO41" s="26"/>
      <c r="CP41" s="26"/>
    </row>
    <row r="42" spans="1:89" ht="15.75" customHeight="1">
      <c r="A42" s="26"/>
      <c r="B42" s="36"/>
      <c r="C42" s="26"/>
      <c r="D42" s="26" t="s">
        <v>198</v>
      </c>
      <c r="E42" s="248" t="s">
        <v>3</v>
      </c>
      <c r="F42" s="536">
        <f>BR29</f>
        <v>0</v>
      </c>
      <c r="G42" s="536"/>
      <c r="H42" s="536"/>
      <c r="I42" s="28" t="str">
        <f>IF(F42&lt;J42,"&lt;",IF(F42=J42,"=",IF(F42&gt;J42,"&gt;")))</f>
        <v>&lt;</v>
      </c>
      <c r="J42" s="536">
        <f>BR28</f>
        <v>3.814354467010112</v>
      </c>
      <c r="K42" s="536"/>
      <c r="L42" s="536"/>
      <c r="M42" s="542" t="s">
        <v>51</v>
      </c>
      <c r="N42" s="542"/>
      <c r="O42" s="514" t="str">
        <f>IF(F42&lt;J42,"Ok.",IF(F42=J42,"Ok.",IF(F42&gt;J42,"Not Ok.")))</f>
        <v>Ok.</v>
      </c>
      <c r="P42" s="601"/>
      <c r="Q42" s="237" t="s">
        <v>136</v>
      </c>
      <c r="R42" s="27"/>
      <c r="S42" s="27"/>
      <c r="T42" s="28" t="s">
        <v>3</v>
      </c>
      <c r="U42" s="604" t="str">
        <f>F22</f>
        <v>2 I-0.22X0.22X21 m.</v>
      </c>
      <c r="V42" s="604"/>
      <c r="W42" s="604"/>
      <c r="X42" s="604"/>
      <c r="Y42" s="604"/>
      <c r="Z42" s="604"/>
      <c r="AA42" s="605"/>
      <c r="AB42" s="237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K42" s="239">
        <v>4</v>
      </c>
      <c r="BL42" s="28" t="s">
        <v>151</v>
      </c>
      <c r="BM42" s="28">
        <v>2</v>
      </c>
      <c r="BN42" s="61">
        <f t="shared" si="0"/>
        <v>3.141592653589793</v>
      </c>
      <c r="BO42" s="302">
        <f t="shared" si="1"/>
        <v>6.283185307179586</v>
      </c>
      <c r="BQ42" s="38" t="s">
        <v>141</v>
      </c>
      <c r="BR42" s="290">
        <f>(BR15/(L11*V11*(BR19/100)))</f>
        <v>7.888028015886465</v>
      </c>
      <c r="BT42" s="38" t="s">
        <v>186</v>
      </c>
      <c r="BU42" s="255">
        <f>IF(BU41=1,BV39,IF(BU41=2,BV40))</f>
        <v>26.552510621643666</v>
      </c>
      <c r="BV42" s="26"/>
      <c r="BW42" s="26"/>
      <c r="BX42" s="26"/>
      <c r="BY42" s="61">
        <f>(($BZ$17-0.025)*$CI$5)</f>
        <v>0.35714285714285715</v>
      </c>
      <c r="BZ42" s="61">
        <f>(($CG$5-L29-0.025)*$CI$5)</f>
        <v>0.1285714285714286</v>
      </c>
      <c r="CA42" s="26"/>
      <c r="CB42" s="285" t="s">
        <v>109</v>
      </c>
      <c r="CC42" s="253" t="s">
        <v>110</v>
      </c>
      <c r="CG42" s="42">
        <v>20</v>
      </c>
      <c r="CJ42" s="42"/>
      <c r="CK42" s="42"/>
    </row>
    <row r="43" spans="1:85" ht="15.75" customHeight="1">
      <c r="A43" s="26"/>
      <c r="B43" s="27" t="s">
        <v>199</v>
      </c>
      <c r="C43" s="26"/>
      <c r="D43" s="26"/>
      <c r="E43" s="26"/>
      <c r="F43" s="26"/>
      <c r="G43" s="26"/>
      <c r="H43" s="26"/>
      <c r="I43" s="27"/>
      <c r="J43" s="27"/>
      <c r="K43" s="28"/>
      <c r="L43" s="21"/>
      <c r="M43" s="21"/>
      <c r="N43" s="21"/>
      <c r="O43" s="27"/>
      <c r="P43" s="27"/>
      <c r="Q43" s="249" t="s">
        <v>145</v>
      </c>
      <c r="R43" s="250"/>
      <c r="S43" s="250"/>
      <c r="T43" s="150" t="s">
        <v>3</v>
      </c>
      <c r="U43" s="602" t="str">
        <f>L23&amp;" kg./Pile"</f>
        <v>30000 kg./Pile</v>
      </c>
      <c r="V43" s="602"/>
      <c r="W43" s="602"/>
      <c r="X43" s="602"/>
      <c r="Y43" s="602"/>
      <c r="Z43" s="602"/>
      <c r="AA43" s="603"/>
      <c r="AB43" s="27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K43" s="239">
        <v>5</v>
      </c>
      <c r="BL43" s="28" t="s">
        <v>152</v>
      </c>
      <c r="BM43" s="28">
        <v>2.5</v>
      </c>
      <c r="BN43" s="61">
        <f t="shared" si="0"/>
        <v>4.908738521234052</v>
      </c>
      <c r="BO43" s="302">
        <f t="shared" si="1"/>
        <v>7.853981633974483</v>
      </c>
      <c r="BQ43" s="38" t="s">
        <v>181</v>
      </c>
      <c r="BR43" s="290">
        <f>BR42*1.37</f>
        <v>10.806598381764458</v>
      </c>
      <c r="BU43" s="26"/>
      <c r="BV43" s="26"/>
      <c r="BW43" s="26"/>
      <c r="BX43" s="26"/>
      <c r="BY43" s="28"/>
      <c r="BZ43" s="28"/>
      <c r="CA43" s="92"/>
      <c r="CB43" s="276">
        <f>-(($BZ$17-0.025)*$CI$5)</f>
        <v>-0.35714285714285715</v>
      </c>
      <c r="CC43" s="254">
        <f>-(($CG$5-0.1)*$CI$5)</f>
        <v>-0.1142857142857143</v>
      </c>
      <c r="CG43" s="42">
        <v>21</v>
      </c>
    </row>
    <row r="44" spans="1:85" ht="15.75" customHeight="1" thickBot="1">
      <c r="A44" s="26"/>
      <c r="B44" s="27"/>
      <c r="C44" s="26"/>
      <c r="D44" s="26" t="s">
        <v>200</v>
      </c>
      <c r="E44" s="248" t="s">
        <v>3</v>
      </c>
      <c r="F44" s="536">
        <f>BR40</f>
        <v>3.441666666666665</v>
      </c>
      <c r="G44" s="514"/>
      <c r="H44" s="514"/>
      <c r="I44" s="28" t="str">
        <f>IF(F44&lt;J44,"&lt;",IF(F44=J44,"=",IF(F44&gt;J44,"&gt;")))</f>
        <v>&lt;</v>
      </c>
      <c r="J44" s="536">
        <f>BR39</f>
        <v>6.97106161212193</v>
      </c>
      <c r="K44" s="536"/>
      <c r="L44" s="536"/>
      <c r="M44" s="542" t="s">
        <v>51</v>
      </c>
      <c r="N44" s="542"/>
      <c r="O44" s="514" t="str">
        <f>IF(F44&lt;J44,"Ok.",IF(F44=J44,"Ok.",IF(F44&gt;J44,"Not Ok.")))</f>
        <v>Ok.</v>
      </c>
      <c r="P44" s="514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K44" s="239">
        <v>6</v>
      </c>
      <c r="BL44" s="28" t="s">
        <v>153</v>
      </c>
      <c r="BM44" s="28">
        <v>2.8</v>
      </c>
      <c r="BN44" s="61">
        <f t="shared" si="0"/>
        <v>6.157521601035993</v>
      </c>
      <c r="BO44" s="302">
        <f t="shared" si="1"/>
        <v>8.79645943005142</v>
      </c>
      <c r="BQ44" s="38" t="s">
        <v>201</v>
      </c>
      <c r="BR44" s="152">
        <f>0.002*(BY4*CG4*10000)</f>
        <v>16.8</v>
      </c>
      <c r="BT44" s="38" t="s">
        <v>184</v>
      </c>
      <c r="BU44" s="255">
        <f>1.615*(SQRT($L$12)/($BM$27))</f>
        <v>13.276255310821833</v>
      </c>
      <c r="BV44" s="301">
        <f>IF(BU44&gt;11,11,IF(BU44&lt;=11,BU44))</f>
        <v>11</v>
      </c>
      <c r="BY44" s="26"/>
      <c r="BZ44" s="26"/>
      <c r="CA44" s="26"/>
      <c r="CB44" s="265"/>
      <c r="CC44" s="293"/>
      <c r="CG44" s="42">
        <v>22</v>
      </c>
    </row>
    <row r="45" spans="1:85" ht="15.75" customHeight="1" thickBot="1">
      <c r="A45" s="26"/>
      <c r="B45" s="27" t="s">
        <v>202</v>
      </c>
      <c r="C45" s="251"/>
      <c r="D45" s="251"/>
      <c r="E45" s="251"/>
      <c r="F45" s="251"/>
      <c r="G45" s="251"/>
      <c r="H45" s="26"/>
      <c r="I45" s="28"/>
      <c r="J45" s="28"/>
      <c r="K45" s="28"/>
      <c r="L45" s="21"/>
      <c r="M45" s="21"/>
      <c r="N45" s="21"/>
      <c r="O45" s="514"/>
      <c r="P45" s="514"/>
      <c r="Q45" s="28"/>
      <c r="R45" s="28"/>
      <c r="S45" s="28"/>
      <c r="T45" s="28"/>
      <c r="U45" s="28"/>
      <c r="V45" s="28"/>
      <c r="W45" s="27"/>
      <c r="X45" s="27"/>
      <c r="Y45" s="27"/>
      <c r="Z45" s="27"/>
      <c r="AA45" s="27"/>
      <c r="AB45" s="27"/>
      <c r="AC45" s="593" t="s">
        <v>203</v>
      </c>
      <c r="AD45" s="594"/>
      <c r="AE45" s="594"/>
      <c r="AF45" s="595"/>
      <c r="AG45" s="54"/>
      <c r="AH45" s="54"/>
      <c r="AI45" s="54"/>
      <c r="AJ45" s="54"/>
      <c r="AK45" s="54"/>
      <c r="AL45" s="54"/>
      <c r="AM45" s="54"/>
      <c r="AN45" s="54"/>
      <c r="AO45" s="54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K45" s="303">
        <v>7</v>
      </c>
      <c r="BL45" s="150" t="s">
        <v>154</v>
      </c>
      <c r="BM45" s="150">
        <v>3.2</v>
      </c>
      <c r="BN45" s="304">
        <f t="shared" si="0"/>
        <v>8.042477193189871</v>
      </c>
      <c r="BO45" s="305">
        <f t="shared" si="1"/>
        <v>10.053096491487338</v>
      </c>
      <c r="BQ45" s="306" t="s">
        <v>211</v>
      </c>
      <c r="BR45" s="152">
        <f>BR14/(BU47*V11*BR19)</f>
        <v>14.853638754326912</v>
      </c>
      <c r="BT45" s="38" t="s">
        <v>185</v>
      </c>
      <c r="BU45" s="255">
        <f>3.23*(SQRT($L$12)/($BM$27))</f>
        <v>26.552510621643666</v>
      </c>
      <c r="BV45" s="301">
        <f>IF(BU45&gt;35,35,IF(BU45&lt;=35,BU45))</f>
        <v>26.552510621643666</v>
      </c>
      <c r="BY45" s="286"/>
      <c r="CB45" s="276">
        <f>IF($CG$22&lt;=1,$BZ$61,IF($CG$22&gt;1,$BZ$62))</f>
        <v>-0.2777777777777778</v>
      </c>
      <c r="CC45" s="254">
        <f>-(($CG$5-0.1)*$CI$5)</f>
        <v>-0.1142857142857143</v>
      </c>
      <c r="CG45" s="42">
        <v>23</v>
      </c>
    </row>
    <row r="46" spans="1:85" ht="15.75" customHeight="1">
      <c r="A46" s="94"/>
      <c r="C46" s="27" t="s">
        <v>205</v>
      </c>
      <c r="D46" s="94"/>
      <c r="E46" s="94" t="s">
        <v>3</v>
      </c>
      <c r="F46" s="546">
        <f>BO28</f>
        <v>10.053096491487338</v>
      </c>
      <c r="G46" s="546"/>
      <c r="H46" s="546"/>
      <c r="I46" s="28" t="str">
        <f>IF(F46&lt;J46,"&lt;",IF(F46=J46,"=",IF(F46&gt;J46,"&gt;")))</f>
        <v>&gt;</v>
      </c>
      <c r="J46" s="599">
        <f>BR49</f>
        <v>7.888028015886465</v>
      </c>
      <c r="K46" s="599"/>
      <c r="L46" s="599"/>
      <c r="M46" s="542" t="s">
        <v>204</v>
      </c>
      <c r="N46" s="542"/>
      <c r="O46" s="514" t="str">
        <f>IF(F46&gt;J46,"Ok.",IF(F46=J46,"Ok.",IF(F46&lt;J46,"Not Ok.")))</f>
        <v>Ok.</v>
      </c>
      <c r="P46" s="514"/>
      <c r="Q46" s="25"/>
      <c r="R46" s="25"/>
      <c r="S46" s="25"/>
      <c r="T46" s="28"/>
      <c r="U46" s="28"/>
      <c r="V46" s="28"/>
      <c r="W46" s="27"/>
      <c r="X46" s="27"/>
      <c r="Y46" s="27"/>
      <c r="Z46" s="27"/>
      <c r="AA46" s="27"/>
      <c r="AB46" s="27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Q46" s="306" t="s">
        <v>212</v>
      </c>
      <c r="BR46" s="152">
        <f>BR14/(BU42*V11*BR19)</f>
        <v>14.853638754326912</v>
      </c>
      <c r="BU46" s="26">
        <f>IF(L9=2400,1,IF(L9&gt;2400,2))</f>
        <v>2</v>
      </c>
      <c r="BV46" s="26"/>
      <c r="CB46" s="265"/>
      <c r="CC46" s="293"/>
      <c r="CG46" s="42">
        <v>24</v>
      </c>
    </row>
    <row r="47" spans="1:85" ht="15.75" customHeight="1">
      <c r="A47" s="94"/>
      <c r="C47" s="27" t="s">
        <v>206</v>
      </c>
      <c r="D47" s="94"/>
      <c r="E47" s="94" t="s">
        <v>3</v>
      </c>
      <c r="F47" s="599">
        <f>BO23</f>
        <v>20.106192982974676</v>
      </c>
      <c r="G47" s="599"/>
      <c r="H47" s="599"/>
      <c r="I47" s="28" t="str">
        <f>IF(F47&lt;J47,"&lt;",IF(F47=J47,"=",IF(F47&gt;J47,"&gt;")))</f>
        <v>&gt;</v>
      </c>
      <c r="J47" s="536">
        <f>BR44</f>
        <v>16.8</v>
      </c>
      <c r="K47" s="514"/>
      <c r="L47" s="514"/>
      <c r="M47" s="542" t="s">
        <v>204</v>
      </c>
      <c r="N47" s="542"/>
      <c r="O47" s="514" t="str">
        <f>IF(F47&gt;J47,"Ok.",IF(F47=J47,"Ok.",IF(F47&lt;J47,"Not Ok.")))</f>
        <v>Ok.</v>
      </c>
      <c r="P47" s="514"/>
      <c r="Q47" s="25"/>
      <c r="R47" s="25"/>
      <c r="S47" s="25"/>
      <c r="T47" s="25"/>
      <c r="U47" s="28"/>
      <c r="V47" s="28"/>
      <c r="W47" s="27"/>
      <c r="X47" s="27"/>
      <c r="Y47" s="27"/>
      <c r="Z47" s="27"/>
      <c r="AA47" s="27"/>
      <c r="AB47" s="27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T47" s="38" t="s">
        <v>186</v>
      </c>
      <c r="BU47" s="255">
        <f>IF(BU46=1,BV44,IF(BU46=2,BV45))</f>
        <v>26.552510621643666</v>
      </c>
      <c r="BV47" s="26"/>
      <c r="CB47" s="276">
        <f>IF($CG$22&lt;=2,$BZ$61,IF($CG$22&gt;1,$BZ$63))</f>
        <v>-0.1984126984126984</v>
      </c>
      <c r="CC47" s="254">
        <f>-(($CG$5-0.1)*$CI$5)</f>
        <v>-0.1142857142857143</v>
      </c>
      <c r="CG47" s="42">
        <v>25</v>
      </c>
    </row>
    <row r="48" spans="1:81" ht="15.75" customHeight="1">
      <c r="A48" s="26"/>
      <c r="B48" s="38" t="s">
        <v>207</v>
      </c>
      <c r="C48" s="26"/>
      <c r="D48" s="26"/>
      <c r="E48" s="26"/>
      <c r="F48" s="26"/>
      <c r="G48" s="26"/>
      <c r="H48" s="26"/>
      <c r="I48" s="28"/>
      <c r="J48" s="28"/>
      <c r="K48" s="28"/>
      <c r="L48" s="21"/>
      <c r="M48" s="21"/>
      <c r="N48" s="21"/>
      <c r="O48" s="514"/>
      <c r="P48" s="514"/>
      <c r="Q48" s="65"/>
      <c r="R48" s="30"/>
      <c r="S48" s="30"/>
      <c r="T48" s="30"/>
      <c r="U48" s="30"/>
      <c r="V48" s="30"/>
      <c r="W48" s="27"/>
      <c r="X48" s="26"/>
      <c r="Y48" s="27"/>
      <c r="Z48" s="27"/>
      <c r="AA48" s="27"/>
      <c r="AB48" s="27"/>
      <c r="AC48" s="41"/>
      <c r="AD48" s="41"/>
      <c r="AE48" s="41"/>
      <c r="AF48" s="41"/>
      <c r="AG48" s="54"/>
      <c r="AH48" s="54"/>
      <c r="AI48" s="54"/>
      <c r="AJ48" s="54"/>
      <c r="AK48" s="54"/>
      <c r="AL48" s="54"/>
      <c r="AM48" s="54"/>
      <c r="AN48" s="54"/>
      <c r="AO48" s="54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R48" s="38">
        <f>IF(BR42&lt;=BR43,1,IF(BR42&gt;BR43,2))</f>
        <v>1</v>
      </c>
      <c r="CB48" s="265"/>
      <c r="CC48" s="293"/>
    </row>
    <row r="49" spans="2:81" ht="15.75" customHeight="1" thickBot="1">
      <c r="B49" s="26"/>
      <c r="C49" s="78" t="s">
        <v>208</v>
      </c>
      <c r="D49" s="26"/>
      <c r="E49" s="26" t="s">
        <v>3</v>
      </c>
      <c r="F49" s="599">
        <f>BO29</f>
        <v>25.132741228718345</v>
      </c>
      <c r="G49" s="599"/>
      <c r="H49" s="599"/>
      <c r="I49" s="28" t="str">
        <f>IF(F49&lt;J49,"&lt;",IF(F49=J49,"=",IF(F49&gt;J49,"&gt;")))</f>
        <v>&gt;</v>
      </c>
      <c r="J49" s="599">
        <f>BR45</f>
        <v>14.853638754326912</v>
      </c>
      <c r="K49" s="600"/>
      <c r="L49" s="600"/>
      <c r="M49" s="600" t="s">
        <v>62</v>
      </c>
      <c r="N49" s="600"/>
      <c r="O49" s="514" t="str">
        <f>IF(F49&gt;J49,"Ok.",IF(F49=J49,"Ok.",IF(F49&lt;J49,"Not Ok.")))</f>
        <v>Ok.</v>
      </c>
      <c r="P49" s="514"/>
      <c r="Q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R49" s="38">
        <f>IF(BR48=1,BR42,IF(BR48=2,BR43))</f>
        <v>7.888028015886465</v>
      </c>
      <c r="CB49" s="276">
        <f>IF($CG$22&lt;=3,$BZ$61,IF($CG$22&gt;1,$BZ$64))</f>
        <v>-0.11904761904761903</v>
      </c>
      <c r="CC49" s="254">
        <f>-(($CG$5-0.1)*$CI$5)</f>
        <v>-0.1142857142857143</v>
      </c>
    </row>
    <row r="50" spans="3:81" ht="15.75" customHeight="1">
      <c r="C50" s="78" t="s">
        <v>209</v>
      </c>
      <c r="E50" s="30" t="s">
        <v>3</v>
      </c>
      <c r="F50" s="546">
        <f>BO24</f>
        <v>50.26548245743669</v>
      </c>
      <c r="G50" s="546"/>
      <c r="H50" s="546"/>
      <c r="I50" s="28" t="str">
        <f>IF(F50&lt;J50,"&lt;",IF(F50=J50,"=",IF(F50&gt;J50,"&gt;")))</f>
        <v>&gt;</v>
      </c>
      <c r="J50" s="546">
        <f>BR46</f>
        <v>14.853638754326912</v>
      </c>
      <c r="K50" s="545"/>
      <c r="L50" s="545"/>
      <c r="M50" s="545" t="s">
        <v>62</v>
      </c>
      <c r="N50" s="545"/>
      <c r="O50" s="514" t="str">
        <f>IF(F50&gt;J50,"Ok.",IF(F50=J50,"Ok.",IF(F50&lt;J50,"Not Ok.")))</f>
        <v>Ok.</v>
      </c>
      <c r="P50" s="514"/>
      <c r="S50" s="567" t="s">
        <v>49</v>
      </c>
      <c r="T50" s="567"/>
      <c r="U50" s="567"/>
      <c r="V50" s="512" t="str">
        <f>Cover!D10</f>
        <v>สมมุติ</v>
      </c>
      <c r="W50" s="512"/>
      <c r="X50" s="512"/>
      <c r="Y50" s="512"/>
      <c r="Z50" s="512"/>
      <c r="AA50" s="512"/>
      <c r="AB50" s="32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CB50" s="265"/>
      <c r="CC50" s="293"/>
    </row>
    <row r="51" spans="19:81" ht="15.75" customHeight="1">
      <c r="S51" s="567" t="s">
        <v>50</v>
      </c>
      <c r="T51" s="567"/>
      <c r="U51" s="567"/>
      <c r="V51" s="513" t="str">
        <f>Cover!H10</f>
        <v>สย.0000</v>
      </c>
      <c r="W51" s="513"/>
      <c r="X51" s="513"/>
      <c r="Y51" s="513"/>
      <c r="Z51" s="513"/>
      <c r="AA51" s="513"/>
      <c r="AB51" s="32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O51" s="95"/>
      <c r="BP51" s="95"/>
      <c r="BQ51" s="95"/>
      <c r="CB51" s="276">
        <f>IF($CG$22&lt;=4,$BZ$61,IF($CG$22&gt;1,$BZ$65))</f>
        <v>-0.03968253968253967</v>
      </c>
      <c r="CC51" s="254">
        <f>-(($CG$5-0.1)*$CI$5)</f>
        <v>-0.1142857142857143</v>
      </c>
    </row>
    <row r="52" spans="29:81" ht="15.75" customHeight="1"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CB52" s="265"/>
      <c r="CC52" s="293"/>
    </row>
    <row r="53" spans="29:81" ht="15.75" customHeight="1"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O53" s="95"/>
      <c r="BP53" s="95"/>
      <c r="BQ53" s="95"/>
      <c r="BR53" s="95"/>
      <c r="CB53" s="276">
        <f>IF($CG$22&lt;=5,$BZ$61,IF($CG$22&gt;1,$BZ$66))</f>
        <v>0.03968253968253967</v>
      </c>
      <c r="CC53" s="254">
        <f>-(($CG$5-0.1)*$CI$5)</f>
        <v>-0.1142857142857143</v>
      </c>
    </row>
    <row r="54" spans="29:81" ht="15.75" customHeight="1"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P54" s="27"/>
      <c r="BQ54" s="27"/>
      <c r="BR54" s="27"/>
      <c r="BS54" s="27"/>
      <c r="BT54" s="27"/>
      <c r="CB54" s="265"/>
      <c r="CC54" s="293"/>
    </row>
    <row r="55" spans="1:81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8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CB55" s="276">
        <f>IF($CG$22&lt;=6,$BZ$61,IF($CG$22&gt;1,$BZ$67))</f>
        <v>0.11904761904761903</v>
      </c>
      <c r="CC55" s="254">
        <f>-(($CG$5-0.1)*$CI$5)</f>
        <v>-0.1142857142857143</v>
      </c>
    </row>
    <row r="56" spans="1:81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8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CB56" s="265"/>
      <c r="CC56" s="293"/>
    </row>
    <row r="57" spans="1:81" ht="15.75" customHeight="1">
      <c r="A57" s="26"/>
      <c r="B57" s="26"/>
      <c r="C57" s="33"/>
      <c r="D57" s="33"/>
      <c r="E57" s="33"/>
      <c r="F57" s="33"/>
      <c r="G57" s="2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7"/>
      <c r="AA57" s="34"/>
      <c r="AB57" s="27"/>
      <c r="CB57" s="276">
        <f>IF($CG$22&lt;=7,$BZ$61,IF($CG$22&gt;1,$BZ$68))</f>
        <v>0.1984126984126984</v>
      </c>
      <c r="CC57" s="254">
        <f>-(($CG$5-0.1)*$CI$5)</f>
        <v>-0.1142857142857143</v>
      </c>
    </row>
    <row r="58" spans="1:81" ht="15.75" customHeight="1">
      <c r="A58" s="26"/>
      <c r="B58" s="35"/>
      <c r="C58" s="36"/>
      <c r="D58" s="35"/>
      <c r="E58" s="35"/>
      <c r="F58" s="35"/>
      <c r="G58" s="27"/>
      <c r="H58" s="27"/>
      <c r="I58" s="27"/>
      <c r="J58" s="27"/>
      <c r="K58" s="27"/>
      <c r="L58" s="27"/>
      <c r="M58" s="3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34"/>
      <c r="AB58" s="27"/>
      <c r="CB58" s="265"/>
      <c r="CC58" s="293"/>
    </row>
    <row r="59" spans="1:81" ht="15.75" customHeight="1" thickBot="1">
      <c r="A59" s="26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6"/>
      <c r="CB59" s="276">
        <f>IF($CG$22&lt;=8,$BZ$61,IF($CG$22&gt;1,$BZ$69))</f>
        <v>0.2777777777777778</v>
      </c>
      <c r="CC59" s="254">
        <f>-(($CG$5-0.1)*$CI$5)</f>
        <v>-0.1142857142857143</v>
      </c>
    </row>
    <row r="60" spans="1:106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  <c r="O60" s="27"/>
      <c r="P60" s="27"/>
      <c r="Q60" s="27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BZ60" s="307" t="s">
        <v>130</v>
      </c>
      <c r="CB60" s="265"/>
      <c r="CC60" s="293"/>
      <c r="CD60" s="264"/>
      <c r="CE60" s="259">
        <v>2</v>
      </c>
      <c r="CF60" s="252">
        <v>3</v>
      </c>
      <c r="CG60" s="252">
        <v>4</v>
      </c>
      <c r="CH60" s="252">
        <v>5</v>
      </c>
      <c r="CI60" s="252">
        <v>6</v>
      </c>
      <c r="CJ60" s="252">
        <v>7</v>
      </c>
      <c r="CK60" s="252">
        <v>8</v>
      </c>
      <c r="CL60" s="252">
        <v>9</v>
      </c>
      <c r="CM60" s="252">
        <v>10</v>
      </c>
      <c r="CN60" s="252">
        <v>11</v>
      </c>
      <c r="CO60" s="252">
        <v>12</v>
      </c>
      <c r="CP60" s="252">
        <v>13</v>
      </c>
      <c r="CQ60" s="252">
        <v>14</v>
      </c>
      <c r="CR60" s="252">
        <v>15</v>
      </c>
      <c r="CS60" s="252">
        <v>16</v>
      </c>
      <c r="CT60" s="252">
        <v>17</v>
      </c>
      <c r="CU60" s="252">
        <v>18</v>
      </c>
      <c r="CV60" s="252">
        <v>19</v>
      </c>
      <c r="CW60" s="252">
        <v>20</v>
      </c>
      <c r="CX60" s="252">
        <v>21</v>
      </c>
      <c r="CY60" s="252">
        <v>22</v>
      </c>
      <c r="CZ60" s="252">
        <v>23</v>
      </c>
      <c r="DA60" s="252">
        <v>24</v>
      </c>
      <c r="DB60" s="253">
        <v>25</v>
      </c>
    </row>
    <row r="61" spans="1:106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7"/>
      <c r="O61" s="27"/>
      <c r="P61" s="27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BZ61" s="308">
        <f>VLOOKUP(1,$CD$61:$DB$84,$CH$22,TRUE)</f>
        <v>0.35714285714285715</v>
      </c>
      <c r="CB61" s="276">
        <f>IF($CG$22&lt;=9,$BZ$61,IF($CG$22&gt;1,$BZ$70))</f>
        <v>0.35714285714285715</v>
      </c>
      <c r="CC61" s="254">
        <f>-(($CG$5-0.1)*$CI$5)</f>
        <v>-0.1142857142857143</v>
      </c>
      <c r="CD61" s="265">
        <v>1</v>
      </c>
      <c r="CE61" s="61">
        <f aca="true" t="shared" si="2" ref="CE61:DB61">(($CA$17)*$CI$5)</f>
        <v>0.35714285714285715</v>
      </c>
      <c r="CF61" s="61">
        <f t="shared" si="2"/>
        <v>0.35714285714285715</v>
      </c>
      <c r="CG61" s="61">
        <f t="shared" si="2"/>
        <v>0.35714285714285715</v>
      </c>
      <c r="CH61" s="61">
        <f t="shared" si="2"/>
        <v>0.35714285714285715</v>
      </c>
      <c r="CI61" s="61">
        <f t="shared" si="2"/>
        <v>0.35714285714285715</v>
      </c>
      <c r="CJ61" s="61">
        <f t="shared" si="2"/>
        <v>0.35714285714285715</v>
      </c>
      <c r="CK61" s="61">
        <f t="shared" si="2"/>
        <v>0.35714285714285715</v>
      </c>
      <c r="CL61" s="61">
        <f t="shared" si="2"/>
        <v>0.35714285714285715</v>
      </c>
      <c r="CM61" s="61">
        <f t="shared" si="2"/>
        <v>0.35714285714285715</v>
      </c>
      <c r="CN61" s="61">
        <f t="shared" si="2"/>
        <v>0.35714285714285715</v>
      </c>
      <c r="CO61" s="61">
        <f t="shared" si="2"/>
        <v>0.35714285714285715</v>
      </c>
      <c r="CP61" s="61">
        <f t="shared" si="2"/>
        <v>0.35714285714285715</v>
      </c>
      <c r="CQ61" s="61">
        <f t="shared" si="2"/>
        <v>0.35714285714285715</v>
      </c>
      <c r="CR61" s="61">
        <f t="shared" si="2"/>
        <v>0.35714285714285715</v>
      </c>
      <c r="CS61" s="61">
        <f t="shared" si="2"/>
        <v>0.35714285714285715</v>
      </c>
      <c r="CT61" s="61">
        <f t="shared" si="2"/>
        <v>0.35714285714285715</v>
      </c>
      <c r="CU61" s="61">
        <f t="shared" si="2"/>
        <v>0.35714285714285715</v>
      </c>
      <c r="CV61" s="61">
        <f t="shared" si="2"/>
        <v>0.35714285714285715</v>
      </c>
      <c r="CW61" s="61">
        <f t="shared" si="2"/>
        <v>0.35714285714285715</v>
      </c>
      <c r="CX61" s="61">
        <f t="shared" si="2"/>
        <v>0.35714285714285715</v>
      </c>
      <c r="CY61" s="61">
        <f t="shared" si="2"/>
        <v>0.35714285714285715</v>
      </c>
      <c r="CZ61" s="61">
        <f t="shared" si="2"/>
        <v>0.35714285714285715</v>
      </c>
      <c r="DA61" s="61">
        <f t="shared" si="2"/>
        <v>0.35714285714285715</v>
      </c>
      <c r="DB61" s="254">
        <f t="shared" si="2"/>
        <v>0.35714285714285715</v>
      </c>
    </row>
    <row r="62" spans="78:106" ht="15.75" customHeight="1">
      <c r="BZ62" s="308">
        <f>VLOOKUP(2,$CD$61:$DB$84,$CH$22,TRUE)</f>
        <v>-0.2777777777777778</v>
      </c>
      <c r="CB62" s="265"/>
      <c r="CC62" s="293"/>
      <c r="CD62" s="265">
        <v>2</v>
      </c>
      <c r="CE62" s="26"/>
      <c r="CF62" s="61">
        <f>$CA$17-$CA$17</f>
        <v>0</v>
      </c>
      <c r="CG62" s="76">
        <f>-($CA$17-(($CA$17*2)/CG22))*CI5</f>
        <v>-0.2777777777777778</v>
      </c>
      <c r="CH62" s="76">
        <f>-($CA$17-(($CA$17*2)/CG22))*CI5</f>
        <v>-0.2777777777777778</v>
      </c>
      <c r="CI62" s="76">
        <f>-($CA$17-(($CA$17*2)/CG22))*CI5</f>
        <v>-0.2777777777777778</v>
      </c>
      <c r="CJ62" s="76">
        <f>-($CA$17-(($CA$17*2)/CG22))*CI5</f>
        <v>-0.2777777777777778</v>
      </c>
      <c r="CK62" s="255">
        <f aca="true" t="shared" si="3" ref="CK62:CU62">-($CA$17-(($CA$17*2)/$CG$22))*$CI$5</f>
        <v>-0.2777777777777778</v>
      </c>
      <c r="CL62" s="255">
        <f t="shared" si="3"/>
        <v>-0.2777777777777778</v>
      </c>
      <c r="CM62" s="255">
        <f t="shared" si="3"/>
        <v>-0.2777777777777778</v>
      </c>
      <c r="CN62" s="255">
        <f t="shared" si="3"/>
        <v>-0.2777777777777778</v>
      </c>
      <c r="CO62" s="255">
        <f t="shared" si="3"/>
        <v>-0.2777777777777778</v>
      </c>
      <c r="CP62" s="255">
        <f t="shared" si="3"/>
        <v>-0.2777777777777778</v>
      </c>
      <c r="CQ62" s="255">
        <f t="shared" si="3"/>
        <v>-0.2777777777777778</v>
      </c>
      <c r="CR62" s="255">
        <f t="shared" si="3"/>
        <v>-0.2777777777777778</v>
      </c>
      <c r="CS62" s="255">
        <f t="shared" si="3"/>
        <v>-0.2777777777777778</v>
      </c>
      <c r="CT62" s="255">
        <f t="shared" si="3"/>
        <v>-0.2777777777777778</v>
      </c>
      <c r="CU62" s="255">
        <f t="shared" si="3"/>
        <v>-0.2777777777777778</v>
      </c>
      <c r="CV62" s="255">
        <f aca="true" t="shared" si="4" ref="CV62:DB62">-($CA$17-(($CA$17*2)/$CG$22))*$CI$5</f>
        <v>-0.2777777777777778</v>
      </c>
      <c r="CW62" s="255">
        <f t="shared" si="4"/>
        <v>-0.2777777777777778</v>
      </c>
      <c r="CX62" s="255">
        <f t="shared" si="4"/>
        <v>-0.2777777777777778</v>
      </c>
      <c r="CY62" s="255">
        <f t="shared" si="4"/>
        <v>-0.2777777777777778</v>
      </c>
      <c r="CZ62" s="255">
        <f t="shared" si="4"/>
        <v>-0.2777777777777778</v>
      </c>
      <c r="DA62" s="255">
        <f t="shared" si="4"/>
        <v>-0.2777777777777778</v>
      </c>
      <c r="DB62" s="256">
        <f t="shared" si="4"/>
        <v>-0.2777777777777778</v>
      </c>
    </row>
    <row r="63" spans="8:106" ht="15.75" customHeight="1"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BZ63" s="308">
        <f>VLOOKUP(3,$CD$61:$DB$84,$CH$22,TRUE)</f>
        <v>-0.1984126984126984</v>
      </c>
      <c r="CB63" s="276">
        <f>IF($CG$22&lt;=10,$BZ$61,IF($CG$22&gt;1,$BZ$71))</f>
        <v>0.35714285714285715</v>
      </c>
      <c r="CC63" s="254">
        <f>-(($CG$5-0.1)*$CI$5)</f>
        <v>-0.1142857142857143</v>
      </c>
      <c r="CD63" s="265">
        <v>3</v>
      </c>
      <c r="CE63" s="26"/>
      <c r="CF63" s="26"/>
      <c r="CG63" s="76">
        <f>($CA$17-(($CA$17*2)/CG22))*CI5</f>
        <v>0.2777777777777778</v>
      </c>
      <c r="CH63" s="76">
        <f>$CA$17-$CA$17</f>
        <v>0</v>
      </c>
      <c r="CI63" s="76">
        <f>-($CA$17-(($CA$17*2)/CG22)*2)*CI5</f>
        <v>-0.1984126984126984</v>
      </c>
      <c r="CJ63" s="76">
        <f>-($CA$17-(($CA$17*2)/CG22)*2)*CI5</f>
        <v>-0.1984126984126984</v>
      </c>
      <c r="CK63" s="255">
        <f aca="true" t="shared" si="5" ref="CK63:CU63">-($CA$17-(($CA$17*2)/$CG$22)*2)*$CI$5</f>
        <v>-0.1984126984126984</v>
      </c>
      <c r="CL63" s="255">
        <f t="shared" si="5"/>
        <v>-0.1984126984126984</v>
      </c>
      <c r="CM63" s="255">
        <f t="shared" si="5"/>
        <v>-0.1984126984126984</v>
      </c>
      <c r="CN63" s="255">
        <f t="shared" si="5"/>
        <v>-0.1984126984126984</v>
      </c>
      <c r="CO63" s="255">
        <f t="shared" si="5"/>
        <v>-0.1984126984126984</v>
      </c>
      <c r="CP63" s="255">
        <f t="shared" si="5"/>
        <v>-0.1984126984126984</v>
      </c>
      <c r="CQ63" s="255">
        <f t="shared" si="5"/>
        <v>-0.1984126984126984</v>
      </c>
      <c r="CR63" s="255">
        <f t="shared" si="5"/>
        <v>-0.1984126984126984</v>
      </c>
      <c r="CS63" s="255">
        <f t="shared" si="5"/>
        <v>-0.1984126984126984</v>
      </c>
      <c r="CT63" s="255">
        <f t="shared" si="5"/>
        <v>-0.1984126984126984</v>
      </c>
      <c r="CU63" s="255">
        <f t="shared" si="5"/>
        <v>-0.1984126984126984</v>
      </c>
      <c r="CV63" s="255">
        <f aca="true" t="shared" si="6" ref="CV63:DB63">-($CA$17-(($CA$17*2)/$CG$22)*2)*$CI$5</f>
        <v>-0.1984126984126984</v>
      </c>
      <c r="CW63" s="255">
        <f t="shared" si="6"/>
        <v>-0.1984126984126984</v>
      </c>
      <c r="CX63" s="255">
        <f t="shared" si="6"/>
        <v>-0.1984126984126984</v>
      </c>
      <c r="CY63" s="255">
        <f t="shared" si="6"/>
        <v>-0.1984126984126984</v>
      </c>
      <c r="CZ63" s="255">
        <f t="shared" si="6"/>
        <v>-0.1984126984126984</v>
      </c>
      <c r="DA63" s="255">
        <f t="shared" si="6"/>
        <v>-0.1984126984126984</v>
      </c>
      <c r="DB63" s="256">
        <f t="shared" si="6"/>
        <v>-0.1984126984126984</v>
      </c>
    </row>
    <row r="64" spans="78:106" ht="15.75" customHeight="1">
      <c r="BZ64" s="308">
        <f>VLOOKUP(4,$CD$61:$DB$84,$CH$22,TRUE)</f>
        <v>-0.11904761904761903</v>
      </c>
      <c r="CA64" s="152"/>
      <c r="CB64" s="265"/>
      <c r="CC64" s="293"/>
      <c r="CD64" s="265">
        <v>4</v>
      </c>
      <c r="CE64" s="26"/>
      <c r="CF64" s="26"/>
      <c r="CG64" s="86"/>
      <c r="CH64" s="76">
        <f>($CA$17-(($CA$17*2)/CG22))*CI5</f>
        <v>0.2777777777777778</v>
      </c>
      <c r="CI64" s="76">
        <f>($CA$17-(($CA$17*2)/CG22)*2)*CI5</f>
        <v>0.1984126984126984</v>
      </c>
      <c r="CJ64" s="76">
        <f>$CA$17-$CA$17</f>
        <v>0</v>
      </c>
      <c r="CK64" s="255">
        <f aca="true" t="shared" si="7" ref="CK64:CU64">-($CA$17-(($CA$17*2)/$CG$22)*3)*$CI$5</f>
        <v>-0.11904761904761903</v>
      </c>
      <c r="CL64" s="255">
        <f t="shared" si="7"/>
        <v>-0.11904761904761903</v>
      </c>
      <c r="CM64" s="255">
        <f t="shared" si="7"/>
        <v>-0.11904761904761903</v>
      </c>
      <c r="CN64" s="255">
        <f t="shared" si="7"/>
        <v>-0.11904761904761903</v>
      </c>
      <c r="CO64" s="255">
        <f t="shared" si="7"/>
        <v>-0.11904761904761903</v>
      </c>
      <c r="CP64" s="255">
        <f t="shared" si="7"/>
        <v>-0.11904761904761903</v>
      </c>
      <c r="CQ64" s="255">
        <f t="shared" si="7"/>
        <v>-0.11904761904761903</v>
      </c>
      <c r="CR64" s="255">
        <f t="shared" si="7"/>
        <v>-0.11904761904761903</v>
      </c>
      <c r="CS64" s="255">
        <f t="shared" si="7"/>
        <v>-0.11904761904761903</v>
      </c>
      <c r="CT64" s="255">
        <f t="shared" si="7"/>
        <v>-0.11904761904761903</v>
      </c>
      <c r="CU64" s="255">
        <f t="shared" si="7"/>
        <v>-0.11904761904761903</v>
      </c>
      <c r="CV64" s="255">
        <f aca="true" t="shared" si="8" ref="CV64:DB64">-($CA$17-(($CA$17*2)/$CG$22)*3)*$CI$5</f>
        <v>-0.11904761904761903</v>
      </c>
      <c r="CW64" s="255">
        <f t="shared" si="8"/>
        <v>-0.11904761904761903</v>
      </c>
      <c r="CX64" s="255">
        <f t="shared" si="8"/>
        <v>-0.11904761904761903</v>
      </c>
      <c r="CY64" s="255">
        <f t="shared" si="8"/>
        <v>-0.11904761904761903</v>
      </c>
      <c r="CZ64" s="255">
        <f t="shared" si="8"/>
        <v>-0.11904761904761903</v>
      </c>
      <c r="DA64" s="255">
        <f t="shared" si="8"/>
        <v>-0.11904761904761903</v>
      </c>
      <c r="DB64" s="256">
        <f t="shared" si="8"/>
        <v>-0.11904761904761903</v>
      </c>
    </row>
    <row r="65" spans="78:106" ht="15.75" customHeight="1">
      <c r="BZ65" s="308">
        <f>VLOOKUP(5,$CD$61:$DB$84,$CH$22,TRUE)</f>
        <v>-0.03968253968253967</v>
      </c>
      <c r="CA65" s="152"/>
      <c r="CB65" s="276">
        <f>IF($CG$22&lt;=11,$BZ$61,IF($CG$22&gt;1,$BZ$72))</f>
        <v>0.35714285714285715</v>
      </c>
      <c r="CC65" s="254">
        <f>-(($CG$5-0.1)*$CI$5)</f>
        <v>-0.1142857142857143</v>
      </c>
      <c r="CD65" s="265">
        <v>5</v>
      </c>
      <c r="CE65" s="26"/>
      <c r="CF65" s="26"/>
      <c r="CG65" s="86"/>
      <c r="CH65" s="86"/>
      <c r="CI65" s="76">
        <f>($CA$17-(($CA$17*2)/CG22))*CI5</f>
        <v>0.2777777777777778</v>
      </c>
      <c r="CJ65" s="76">
        <f>($CA$17-(($CA$17*2)/CG22)*2)*CI5</f>
        <v>0.1984126984126984</v>
      </c>
      <c r="CK65" s="255">
        <f>($CA$17-(($CA$17*2)/$CG$22)*3)*$CI$5</f>
        <v>0.11904761904761903</v>
      </c>
      <c r="CL65" s="76">
        <f>$CA$17-$CA$17</f>
        <v>0</v>
      </c>
      <c r="CM65" s="255">
        <f aca="true" t="shared" si="9" ref="CM65:CU65">-($CA$17-(($CA$17*2)/$CG$22)*4)*$CI$5</f>
        <v>-0.03968253968253967</v>
      </c>
      <c r="CN65" s="255">
        <f t="shared" si="9"/>
        <v>-0.03968253968253967</v>
      </c>
      <c r="CO65" s="255">
        <f t="shared" si="9"/>
        <v>-0.03968253968253967</v>
      </c>
      <c r="CP65" s="255">
        <f t="shared" si="9"/>
        <v>-0.03968253968253967</v>
      </c>
      <c r="CQ65" s="255">
        <f t="shared" si="9"/>
        <v>-0.03968253968253967</v>
      </c>
      <c r="CR65" s="255">
        <f t="shared" si="9"/>
        <v>-0.03968253968253967</v>
      </c>
      <c r="CS65" s="255">
        <f t="shared" si="9"/>
        <v>-0.03968253968253967</v>
      </c>
      <c r="CT65" s="255">
        <f t="shared" si="9"/>
        <v>-0.03968253968253967</v>
      </c>
      <c r="CU65" s="255">
        <f t="shared" si="9"/>
        <v>-0.03968253968253967</v>
      </c>
      <c r="CV65" s="255">
        <f aca="true" t="shared" si="10" ref="CV65:DB65">-($CA$17-(($CA$17*2)/$CG$22)*4)*$CI$5</f>
        <v>-0.03968253968253967</v>
      </c>
      <c r="CW65" s="255">
        <f t="shared" si="10"/>
        <v>-0.03968253968253967</v>
      </c>
      <c r="CX65" s="255">
        <f t="shared" si="10"/>
        <v>-0.03968253968253967</v>
      </c>
      <c r="CY65" s="255">
        <f t="shared" si="10"/>
        <v>-0.03968253968253967</v>
      </c>
      <c r="CZ65" s="255">
        <f t="shared" si="10"/>
        <v>-0.03968253968253967</v>
      </c>
      <c r="DA65" s="255">
        <f t="shared" si="10"/>
        <v>-0.03968253968253967</v>
      </c>
      <c r="DB65" s="256">
        <f t="shared" si="10"/>
        <v>-0.03968253968253967</v>
      </c>
    </row>
    <row r="66" spans="78:106" ht="15.75" customHeight="1">
      <c r="BZ66" s="308">
        <f>VLOOKUP(6,$CD$61:$DB$84,$CH$22,TRUE)</f>
        <v>0.03968253968253967</v>
      </c>
      <c r="CA66" s="152"/>
      <c r="CB66" s="265"/>
      <c r="CC66" s="293"/>
      <c r="CD66" s="265">
        <v>6</v>
      </c>
      <c r="CE66" s="26"/>
      <c r="CF66" s="26"/>
      <c r="CG66" s="86"/>
      <c r="CH66" s="86"/>
      <c r="CI66" s="86"/>
      <c r="CJ66" s="76">
        <f>($CA$17-(($CA$17*2)/CG22))*CI5</f>
        <v>0.2777777777777778</v>
      </c>
      <c r="CK66" s="255">
        <f>($CA$17-(($CA$17*2)/$CG$22)*2)*$CI$5</f>
        <v>0.1984126984126984</v>
      </c>
      <c r="CL66" s="255">
        <f>($CA$17-(($CA$17*2)/$CG$22)*3)*$CI$5</f>
        <v>0.11904761904761903</v>
      </c>
      <c r="CM66" s="255">
        <f>($CA$17-(($CA$17*2)/$CG$22)*4)*$CI$5</f>
        <v>0.03968253968253967</v>
      </c>
      <c r="CN66" s="76">
        <f>$CA$17-$CA$17</f>
        <v>0</v>
      </c>
      <c r="CO66" s="255">
        <f aca="true" t="shared" si="11" ref="CO66:CU66">-($CA$17-(($CA$17*2)/$CG$22)*5)*$CI$5</f>
        <v>0.03968253968253967</v>
      </c>
      <c r="CP66" s="255">
        <f t="shared" si="11"/>
        <v>0.03968253968253967</v>
      </c>
      <c r="CQ66" s="255">
        <f t="shared" si="11"/>
        <v>0.03968253968253967</v>
      </c>
      <c r="CR66" s="255">
        <f t="shared" si="11"/>
        <v>0.03968253968253967</v>
      </c>
      <c r="CS66" s="255">
        <f t="shared" si="11"/>
        <v>0.03968253968253967</v>
      </c>
      <c r="CT66" s="255">
        <f t="shared" si="11"/>
        <v>0.03968253968253967</v>
      </c>
      <c r="CU66" s="255">
        <f t="shared" si="11"/>
        <v>0.03968253968253967</v>
      </c>
      <c r="CV66" s="255">
        <f aca="true" t="shared" si="12" ref="CV66:DB66">-($CA$17-(($CA$17*2)/$CG$22)*5)*$CI$5</f>
        <v>0.03968253968253967</v>
      </c>
      <c r="CW66" s="255">
        <f t="shared" si="12"/>
        <v>0.03968253968253967</v>
      </c>
      <c r="CX66" s="255">
        <f t="shared" si="12"/>
        <v>0.03968253968253967</v>
      </c>
      <c r="CY66" s="255">
        <f t="shared" si="12"/>
        <v>0.03968253968253967</v>
      </c>
      <c r="CZ66" s="255">
        <f t="shared" si="12"/>
        <v>0.03968253968253967</v>
      </c>
      <c r="DA66" s="255">
        <f t="shared" si="12"/>
        <v>0.03968253968253967</v>
      </c>
      <c r="DB66" s="256">
        <f t="shared" si="12"/>
        <v>0.03968253968253967</v>
      </c>
    </row>
    <row r="67" spans="78:106" ht="15.75" customHeight="1">
      <c r="BZ67" s="308">
        <f>VLOOKUP(7,$CD$61:$DB$84,$CH$22,TRUE)</f>
        <v>0.11904761904761903</v>
      </c>
      <c r="CA67" s="152"/>
      <c r="CB67" s="276">
        <f>IF($CG$22&lt;=12,$BZ$61,IF($CG$22&gt;1,$BZ$73))</f>
        <v>0.35714285714285715</v>
      </c>
      <c r="CC67" s="254">
        <f>-(($CG$5-0.1)*$CI$5)</f>
        <v>-0.1142857142857143</v>
      </c>
      <c r="CD67" s="265">
        <v>7</v>
      </c>
      <c r="CE67" s="26"/>
      <c r="CF67" s="26"/>
      <c r="CG67" s="26"/>
      <c r="CH67" s="26"/>
      <c r="CI67" s="26"/>
      <c r="CJ67" s="26"/>
      <c r="CK67" s="255">
        <f>($CA$17-(($CA$17*2)/$CG$22))*$CI$5</f>
        <v>0.2777777777777778</v>
      </c>
      <c r="CL67" s="255">
        <f>($CA$17-(($CA$17*2)/$CG$22)*2)*$CI$5</f>
        <v>0.1984126984126984</v>
      </c>
      <c r="CM67" s="255">
        <f>($CA$17-(($CA$17*2)/$CG$22)*3)*$CI$5</f>
        <v>0.11904761904761903</v>
      </c>
      <c r="CN67" s="255">
        <f>($CA$17-(($CA$17*2)/$CG$22)*4)*$CI$5</f>
        <v>0.03968253968253967</v>
      </c>
      <c r="CO67" s="255">
        <f>($CA$17-(($CA$17*2)/$CG$22)*5)*$CI$5</f>
        <v>-0.03968253968253967</v>
      </c>
      <c r="CP67" s="76">
        <f>$CA$17-$CA$17</f>
        <v>0</v>
      </c>
      <c r="CQ67" s="255">
        <f>-($CA$17-(($CA$17*2)/$CG$22)*6)*$CI$5</f>
        <v>0.11904761904761908</v>
      </c>
      <c r="CR67" s="255">
        <f>-($CA$17-(($CA$17*2)/$CG$22)*6)*$CI$5</f>
        <v>0.11904761904761908</v>
      </c>
      <c r="CS67" s="255">
        <f>-($CA$17-(($CA$17*2)/$CG$22)*6)*$CI$5</f>
        <v>0.11904761904761908</v>
      </c>
      <c r="CT67" s="255">
        <f>-($CA$17-(($CA$17*2)/$CG$22)*6)*$CI$5</f>
        <v>0.11904761904761908</v>
      </c>
      <c r="CU67" s="255">
        <f>-($CA$17-(($CA$17*2)/$CG$22)*6)*$CI$5</f>
        <v>0.11904761904761908</v>
      </c>
      <c r="CV67" s="255">
        <f aca="true" t="shared" si="13" ref="CV67:DB67">-($CA$17-(($CA$17*2)/$CG$22)*6)*$CI$5</f>
        <v>0.11904761904761908</v>
      </c>
      <c r="CW67" s="255">
        <f t="shared" si="13"/>
        <v>0.11904761904761908</v>
      </c>
      <c r="CX67" s="255">
        <f t="shared" si="13"/>
        <v>0.11904761904761908</v>
      </c>
      <c r="CY67" s="255">
        <f t="shared" si="13"/>
        <v>0.11904761904761908</v>
      </c>
      <c r="CZ67" s="255">
        <f t="shared" si="13"/>
        <v>0.11904761904761908</v>
      </c>
      <c r="DA67" s="255">
        <f t="shared" si="13"/>
        <v>0.11904761904761908</v>
      </c>
      <c r="DB67" s="256">
        <f t="shared" si="13"/>
        <v>0.11904761904761908</v>
      </c>
    </row>
    <row r="68" spans="78:106" ht="15.75" customHeight="1">
      <c r="BZ68" s="308">
        <f>VLOOKUP(8,$CD$61:$DB$84,$CH$22,TRUE)</f>
        <v>0.1984126984126984</v>
      </c>
      <c r="CB68" s="265"/>
      <c r="CC68" s="293"/>
      <c r="CD68" s="265">
        <v>8</v>
      </c>
      <c r="CE68" s="26"/>
      <c r="CF68" s="26"/>
      <c r="CG68" s="26"/>
      <c r="CH68" s="26"/>
      <c r="CI68" s="26"/>
      <c r="CJ68" s="26"/>
      <c r="CK68" s="26"/>
      <c r="CL68" s="255">
        <f>($CA$17-(($CA$17*2)/$CG$22))*$CI$5</f>
        <v>0.2777777777777778</v>
      </c>
      <c r="CM68" s="255">
        <f>($CA$17-(($CA$17*2)/$CG$22)*2)*$CI$5</f>
        <v>0.1984126984126984</v>
      </c>
      <c r="CN68" s="255">
        <f>($CA$17-(($CA$17*2)/$CG$22)*3)*$CI$5</f>
        <v>0.11904761904761903</v>
      </c>
      <c r="CO68" s="255">
        <f>($CA$17-(($CA$17*2)/$CG$22)*4)*$CI$5</f>
        <v>0.03968253968253967</v>
      </c>
      <c r="CP68" s="255">
        <f>($CA$17-(($CA$17*2)/$CG$22)*5)*$CI$5</f>
        <v>-0.03968253968253967</v>
      </c>
      <c r="CQ68" s="255">
        <f>($CA$17-(($CA$17*2)/$CG$22)*6)*$CI$5</f>
        <v>-0.11904761904761908</v>
      </c>
      <c r="CR68" s="76">
        <f>$CA$17-$CA$17</f>
        <v>0</v>
      </c>
      <c r="CS68" s="255">
        <f>-($CA$17-(($CA$17*2)/$CG$22)*7)*$CI$5</f>
        <v>0.19841269841269843</v>
      </c>
      <c r="CT68" s="255">
        <f>-($CA$17-(($CA$17*2)/$CG$22)*7)*$CI$5</f>
        <v>0.19841269841269843</v>
      </c>
      <c r="CU68" s="255">
        <f>-($CA$17-(($CA$17*2)/$CG$22)*7)*$CI$5</f>
        <v>0.19841269841269843</v>
      </c>
      <c r="CV68" s="255">
        <f aca="true" t="shared" si="14" ref="CV68:DB68">-($CA$17-(($CA$17*2)/$CG$22)*7)*$CI$5</f>
        <v>0.19841269841269843</v>
      </c>
      <c r="CW68" s="255">
        <f t="shared" si="14"/>
        <v>0.19841269841269843</v>
      </c>
      <c r="CX68" s="255">
        <f t="shared" si="14"/>
        <v>0.19841269841269843</v>
      </c>
      <c r="CY68" s="255">
        <f t="shared" si="14"/>
        <v>0.19841269841269843</v>
      </c>
      <c r="CZ68" s="255">
        <f t="shared" si="14"/>
        <v>0.19841269841269843</v>
      </c>
      <c r="DA68" s="255">
        <f t="shared" si="14"/>
        <v>0.19841269841269843</v>
      </c>
      <c r="DB68" s="256">
        <f t="shared" si="14"/>
        <v>0.19841269841269843</v>
      </c>
    </row>
    <row r="69" spans="78:106" ht="15.75" customHeight="1">
      <c r="BZ69" s="308">
        <f>VLOOKUP(9,$CD$61:$DB$84,$CH$22,TRUE)</f>
        <v>0.2777777777777778</v>
      </c>
      <c r="CB69" s="276">
        <f>IF($CG$22&lt;=13,$BZ$61,IF($CG$22&gt;1,$BZ$74))</f>
        <v>0.35714285714285715</v>
      </c>
      <c r="CC69" s="254">
        <f>-(($CG$5-0.1)*$CI$5)</f>
        <v>-0.1142857142857143</v>
      </c>
      <c r="CD69" s="265">
        <v>9</v>
      </c>
      <c r="CE69" s="26"/>
      <c r="CF69" s="26"/>
      <c r="CG69" s="26"/>
      <c r="CH69" s="26"/>
      <c r="CI69" s="26"/>
      <c r="CJ69" s="26"/>
      <c r="CK69" s="26"/>
      <c r="CL69" s="26"/>
      <c r="CM69" s="255">
        <f>($CA$17-(($CA$17*2)/$CG$22))*$CI$5</f>
        <v>0.2777777777777778</v>
      </c>
      <c r="CN69" s="255">
        <f>($CA$17-(($CA$17*2)/$CG$22)*2)*$CI$5</f>
        <v>0.1984126984126984</v>
      </c>
      <c r="CO69" s="255">
        <f>($CA$17-(($CA$17*2)/$CG$22)*3)*$CI$5</f>
        <v>0.11904761904761903</v>
      </c>
      <c r="CP69" s="255">
        <f>($CA$17-(($CA$17*2)/$CG$22)*4)*$CI$5</f>
        <v>0.03968253968253967</v>
      </c>
      <c r="CQ69" s="255">
        <f>($CA$17-(($CA$17*2)/$CG$22)*5)*$CI$5</f>
        <v>-0.03968253968253967</v>
      </c>
      <c r="CR69" s="255">
        <f>($CA$17-(($CA$17*2)/$CG$22)*6)*$CI$5</f>
        <v>-0.11904761904761908</v>
      </c>
      <c r="CS69" s="255">
        <f>($CA$17-(($CA$17*2)/$CG$22)*7)*$CI$5</f>
        <v>-0.19841269841269843</v>
      </c>
      <c r="CT69" s="76">
        <f>$CA$17-$CA$17</f>
        <v>0</v>
      </c>
      <c r="CU69" s="255">
        <f>-($CA$17-(($CA$17*2)/$CG$22)*8)*$CI$5</f>
        <v>0.2777777777777778</v>
      </c>
      <c r="CV69" s="255">
        <f aca="true" t="shared" si="15" ref="CV69:DB69">-($CA$17-(($CA$17*2)/$CG$22)*8)*$CI$5</f>
        <v>0.2777777777777778</v>
      </c>
      <c r="CW69" s="255">
        <f t="shared" si="15"/>
        <v>0.2777777777777778</v>
      </c>
      <c r="CX69" s="255">
        <f t="shared" si="15"/>
        <v>0.2777777777777778</v>
      </c>
      <c r="CY69" s="255">
        <f t="shared" si="15"/>
        <v>0.2777777777777778</v>
      </c>
      <c r="CZ69" s="255">
        <f t="shared" si="15"/>
        <v>0.2777777777777778</v>
      </c>
      <c r="DA69" s="255">
        <f t="shared" si="15"/>
        <v>0.2777777777777778</v>
      </c>
      <c r="DB69" s="256">
        <f t="shared" si="15"/>
        <v>0.2777777777777778</v>
      </c>
    </row>
    <row r="70" spans="78:106" ht="15.75" customHeight="1">
      <c r="BZ70" s="308">
        <f>VLOOKUP(10,$CD$61:$DB$84,$CH$22,TRUE)</f>
        <v>0</v>
      </c>
      <c r="CB70" s="265"/>
      <c r="CC70" s="293"/>
      <c r="CD70" s="265">
        <v>10</v>
      </c>
      <c r="CE70" s="26"/>
      <c r="CF70" s="26"/>
      <c r="CG70" s="26"/>
      <c r="CH70" s="26"/>
      <c r="CI70" s="26"/>
      <c r="CJ70" s="26"/>
      <c r="CK70" s="26"/>
      <c r="CL70" s="26"/>
      <c r="CM70" s="26"/>
      <c r="CN70" s="255">
        <f>($CA$17-(($CA$17*2)/$CG$22))*$CI$5</f>
        <v>0.2777777777777778</v>
      </c>
      <c r="CO70" s="255">
        <f>($CA$17-(($CA$17*2)/$CG$22)*2)*$CI$5</f>
        <v>0.1984126984126984</v>
      </c>
      <c r="CP70" s="255">
        <f>($CA$17-(($CA$17*2)/$CG$22)*3)*$CI$5</f>
        <v>0.11904761904761903</v>
      </c>
      <c r="CQ70" s="255">
        <f>($CA$17-(($CA$17*2)/$CG$22)*4)*$CI$5</f>
        <v>0.03968253968253967</v>
      </c>
      <c r="CR70" s="255">
        <f>($CA$17-(($CA$17*2)/$CG$22)*5)*$CI$5</f>
        <v>-0.03968253968253967</v>
      </c>
      <c r="CS70" s="255">
        <f>($CA$17-(($CA$17*2)/$CG$22)*6)*$CI$5</f>
        <v>-0.11904761904761908</v>
      </c>
      <c r="CT70" s="255">
        <f>($CA$17-(($CA$17*2)/$CG$22)*7)*$CI$5</f>
        <v>-0.19841269841269843</v>
      </c>
      <c r="CU70" s="255">
        <f>($CA$17-(($CA$17*2)/$CG$22)*8)*$CI$5</f>
        <v>-0.2777777777777778</v>
      </c>
      <c r="CV70" s="76">
        <f>$CA$17-$CA$17</f>
        <v>0</v>
      </c>
      <c r="CW70" s="255">
        <f aca="true" t="shared" si="16" ref="CW70:DB70">-($CA$17-(($CA$17*2)/$CG$22)*9)*$CI$5</f>
        <v>0.35714285714285715</v>
      </c>
      <c r="CX70" s="255">
        <f t="shared" si="16"/>
        <v>0.35714285714285715</v>
      </c>
      <c r="CY70" s="255">
        <f t="shared" si="16"/>
        <v>0.35714285714285715</v>
      </c>
      <c r="CZ70" s="255">
        <f t="shared" si="16"/>
        <v>0.35714285714285715</v>
      </c>
      <c r="DA70" s="255">
        <f t="shared" si="16"/>
        <v>0.35714285714285715</v>
      </c>
      <c r="DB70" s="256">
        <f t="shared" si="16"/>
        <v>0.35714285714285715</v>
      </c>
    </row>
    <row r="71" spans="78:106" ht="15.75" customHeight="1">
      <c r="BZ71" s="308">
        <f>VLOOKUP(11,$CD$61:$DB$84,$CH$22,TRUE)</f>
        <v>0</v>
      </c>
      <c r="CB71" s="276">
        <f>IF($CG$22&lt;=14,$BZ$61,IF($CG$22&gt;1,$BZ$75))</f>
        <v>0.35714285714285715</v>
      </c>
      <c r="CC71" s="254">
        <f>-(($CG$5-0.1)*$CI$5)</f>
        <v>-0.1142857142857143</v>
      </c>
      <c r="CD71" s="265">
        <v>11</v>
      </c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55">
        <f>($CA$17-(($CA$17*2)/$CG$22))*$CI$5</f>
        <v>0.2777777777777778</v>
      </c>
      <c r="CP71" s="255">
        <f>($CA$17-(($CA$17*2)/$CG$22)*2)*$CI$5</f>
        <v>0.1984126984126984</v>
      </c>
      <c r="CQ71" s="255">
        <f>($CA$17-(($CA$17*2)/$CG$22)*3)*$CI$5</f>
        <v>0.11904761904761903</v>
      </c>
      <c r="CR71" s="255">
        <f>($CA$17-(($CA$17*2)/$CG$22)*4)*$CI$5</f>
        <v>0.03968253968253967</v>
      </c>
      <c r="CS71" s="255">
        <f>($CA$17-(($CA$17*2)/$CG$22)*5)*$CI$5</f>
        <v>-0.03968253968253967</v>
      </c>
      <c r="CT71" s="255">
        <f>($CA$17-(($CA$17*2)/$CG$22)*6)*$CI$5</f>
        <v>-0.11904761904761908</v>
      </c>
      <c r="CU71" s="255">
        <f>($CA$17-(($CA$17*2)/$CG$22)*7)*$CI$5</f>
        <v>-0.19841269841269843</v>
      </c>
      <c r="CV71" s="255">
        <f>($CA$17-(($CA$17*2)/$CG$22)*8)*$CI$5</f>
        <v>-0.2777777777777778</v>
      </c>
      <c r="CW71" s="255">
        <f>($CA$17-(($CA$17*2)/$CG$22)*9)*$CI$5</f>
        <v>-0.35714285714285715</v>
      </c>
      <c r="CX71" s="76">
        <f>$CA$17-$CA$17</f>
        <v>0</v>
      </c>
      <c r="CY71" s="255">
        <f>-($CA$17-(($CA$17*2)/$CG$22)*10)*$CI$5</f>
        <v>0.43650793650793646</v>
      </c>
      <c r="CZ71" s="255">
        <f>-($CA$17-(($CA$17*2)/$CG$22)*10)*$CI$5</f>
        <v>0.43650793650793646</v>
      </c>
      <c r="DA71" s="255">
        <f>-($CA$17-(($CA$17*2)/$CG$22)*10)*$CI$5</f>
        <v>0.43650793650793646</v>
      </c>
      <c r="DB71" s="256">
        <f>-($CA$17-(($CA$17*2)/$CG$22)*10)*$CI$5</f>
        <v>0.43650793650793646</v>
      </c>
    </row>
    <row r="72" spans="78:106" ht="15.75" customHeight="1">
      <c r="BZ72" s="308">
        <f>VLOOKUP(12,$CD$61:$DB$84,$CH$22,TRUE)</f>
        <v>0</v>
      </c>
      <c r="CB72" s="265"/>
      <c r="CC72" s="293"/>
      <c r="CD72" s="265">
        <v>12</v>
      </c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55">
        <f>($CA$17-(($CA$17*2)/$CG$22))*$CI$5</f>
        <v>0.2777777777777778</v>
      </c>
      <c r="CQ72" s="255">
        <f>($CA$17-(($CA$17*2)/$CG$22)*2)*$CI$5</f>
        <v>0.1984126984126984</v>
      </c>
      <c r="CR72" s="255">
        <f>($CA$17-(($CA$17*2)/$CG$22)*3)*$CI$5</f>
        <v>0.11904761904761903</v>
      </c>
      <c r="CS72" s="255">
        <f>($CA$17-(($CA$17*2)/$CG$22)*4)*$CI$5</f>
        <v>0.03968253968253967</v>
      </c>
      <c r="CT72" s="255">
        <f>($CA$17-(($CA$17*2)/$CG$22)*5)*$CI$5</f>
        <v>-0.03968253968253967</v>
      </c>
      <c r="CU72" s="255">
        <f>($CA$17-(($CA$17*2)/$CG$22)*6)*$CI$5</f>
        <v>-0.11904761904761908</v>
      </c>
      <c r="CV72" s="255">
        <f>($CA$17-(($CA$17*2)/$CG$22)*7)*$CI$5</f>
        <v>-0.19841269841269843</v>
      </c>
      <c r="CW72" s="255">
        <f>($CA$17-(($CA$17*2)/$CG$22)*8)*$CI$5</f>
        <v>-0.2777777777777778</v>
      </c>
      <c r="CX72" s="255">
        <f>($CA$17-(($CA$17*2)/$CG$22)*9)*$CI$5</f>
        <v>-0.35714285714285715</v>
      </c>
      <c r="CY72" s="255">
        <f>($CA$17-(($CA$17*2)/$CG$22)*10)*$CI$5</f>
        <v>-0.43650793650793646</v>
      </c>
      <c r="CZ72" s="76">
        <f>$CA$17-$CA$17</f>
        <v>0</v>
      </c>
      <c r="DA72" s="255">
        <f>-($CA$17-(($CA$17*2)/$CG$22)*11)*$CI$5</f>
        <v>0.5158730158730158</v>
      </c>
      <c r="DB72" s="256">
        <f>-($CA$17-(($CA$17*2)/$CG$22)*11)*$CI$5</f>
        <v>0.5158730158730158</v>
      </c>
    </row>
    <row r="73" spans="78:106" ht="15.75" customHeight="1">
      <c r="BZ73" s="308">
        <f>VLOOKUP(13,$CD$61:$DB$84,$CH$22,TRUE)</f>
        <v>0</v>
      </c>
      <c r="CB73" s="276">
        <f>IF($CG$22&lt;=15,$BZ$61,IF($CG$22&gt;1,$BZ$76))</f>
        <v>0.35714285714285715</v>
      </c>
      <c r="CC73" s="254">
        <f>-(($CG$5-0.1)*$CI$5)</f>
        <v>-0.1142857142857143</v>
      </c>
      <c r="CD73" s="265">
        <v>13</v>
      </c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55">
        <f>($CA$17-(($CA$17*2)/$CG$22))*$CI$5</f>
        <v>0.2777777777777778</v>
      </c>
      <c r="CR73" s="255">
        <f>($CA$17-(($CA$17*2)/$CG$22)*2)*$CI$5</f>
        <v>0.1984126984126984</v>
      </c>
      <c r="CS73" s="255">
        <f>($CA$17-(($CA$17*2)/$CG$22)*3)*$CI$5</f>
        <v>0.11904761904761903</v>
      </c>
      <c r="CT73" s="255">
        <f>($CA$17-(($CA$17*2)/$CG$22)*4)*$CI$5</f>
        <v>0.03968253968253967</v>
      </c>
      <c r="CU73" s="255">
        <f>($CA$17-(($CA$17*2)/$CG$22)*5)*$CI$5</f>
        <v>-0.03968253968253967</v>
      </c>
      <c r="CV73" s="255">
        <f>($CA$17-(($CA$17*2)/$CG$22)*6)*$CI$5</f>
        <v>-0.11904761904761908</v>
      </c>
      <c r="CW73" s="255">
        <f>($CA$17-(($CA$17*2)/$CG$22)*7)*$CI$5</f>
        <v>-0.19841269841269843</v>
      </c>
      <c r="CX73" s="255">
        <f>($CA$17-(($CA$17*2)/$CG$22)*8)*$CI$5</f>
        <v>-0.2777777777777778</v>
      </c>
      <c r="CY73" s="255">
        <f>($CA$17-(($CA$17*2)/$CG$22)*9)*$CI$5</f>
        <v>-0.35714285714285715</v>
      </c>
      <c r="CZ73" s="255">
        <f>($CA$17-(($CA$17*2)/$CG$22)*10)*$CI$5</f>
        <v>-0.43650793650793646</v>
      </c>
      <c r="DA73" s="255">
        <f>($CA$17-(($CA$17*2)/$CG$22)*11)*$CI$5</f>
        <v>-0.5158730158730158</v>
      </c>
      <c r="DB73" s="257">
        <f>$CA$17-$CA$17</f>
        <v>0</v>
      </c>
    </row>
    <row r="74" spans="78:106" ht="15.75" customHeight="1">
      <c r="BZ74" s="308">
        <f>VLOOKUP(14,$CD$61:$DB$84,$CH$22,TRUE)</f>
        <v>0</v>
      </c>
      <c r="CB74" s="265"/>
      <c r="CC74" s="293"/>
      <c r="CD74" s="265">
        <v>14</v>
      </c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55">
        <f>($CA$17-(($CA$17*2)/$CG$22))*$CI$5</f>
        <v>0.2777777777777778</v>
      </c>
      <c r="CS74" s="255">
        <f>($CA$17-(($CA$17*2)/$CG$22)*2)*$CI$5</f>
        <v>0.1984126984126984</v>
      </c>
      <c r="CT74" s="255">
        <f>($CA$17-(($CA$17*2)/$CG$22)*3)*$CI$5</f>
        <v>0.11904761904761903</v>
      </c>
      <c r="CU74" s="255">
        <f>($CA$17-(($CA$17*2)/$CG$22)*4)*$CI$5</f>
        <v>0.03968253968253967</v>
      </c>
      <c r="CV74" s="255">
        <f>($CA$17-(($CA$17*2)/$CG$22)*5)*$CI$5</f>
        <v>-0.03968253968253967</v>
      </c>
      <c r="CW74" s="255">
        <f>($CA$17-(($CA$17*2)/$CG$22)*6)*$CI$5</f>
        <v>-0.11904761904761908</v>
      </c>
      <c r="CX74" s="255">
        <f>($CA$17-(($CA$17*2)/$CG$22)*7)*$CI$5</f>
        <v>-0.19841269841269843</v>
      </c>
      <c r="CY74" s="255">
        <f>($CA$17-(($CA$17*2)/$CG$22)*8)*$CI$5</f>
        <v>-0.2777777777777778</v>
      </c>
      <c r="CZ74" s="255">
        <f>($CA$17-(($CA$17*2)/$CG$22)*9)*$CI$5</f>
        <v>-0.35714285714285715</v>
      </c>
      <c r="DA74" s="255">
        <f>($CA$17-(($CA$17*2)/$CG$22)*10)*$CI$5</f>
        <v>-0.43650793650793646</v>
      </c>
      <c r="DB74" s="256">
        <f>($CA$17-(($CA$17*2)/$CG$22)*11)*$CI$5</f>
        <v>-0.5158730158730158</v>
      </c>
    </row>
    <row r="75" spans="78:106" ht="15.75" customHeight="1">
      <c r="BZ75" s="308">
        <f>VLOOKUP(15,$CD$61:$DB$84,$CH$22,TRUE)</f>
        <v>0</v>
      </c>
      <c r="CB75" s="276">
        <f>IF($CG$22&lt;=16,$BZ$61,IF($CG$22&gt;1,$BZ$77))</f>
        <v>0.35714285714285715</v>
      </c>
      <c r="CC75" s="254">
        <f>-(($CG$5-0.1)*$CI$5)</f>
        <v>-0.1142857142857143</v>
      </c>
      <c r="CD75" s="265">
        <v>15</v>
      </c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55">
        <f>($CA$17-(($CA$17*2)/$CG$22))*$CI$5</f>
        <v>0.2777777777777778</v>
      </c>
      <c r="CT75" s="255">
        <f>($CA$17-(($CA$17*2)/$CG$22)*2)*$CI$5</f>
        <v>0.1984126984126984</v>
      </c>
      <c r="CU75" s="255">
        <f>($CA$17-(($CA$17*2)/$CG$22)*3)*$CI$5</f>
        <v>0.11904761904761903</v>
      </c>
      <c r="CV75" s="255">
        <f>($CA$17-(($CA$17*2)/$CG$22)*4)*$CI$5</f>
        <v>0.03968253968253967</v>
      </c>
      <c r="CW75" s="255">
        <f>($CA$17-(($CA$17*2)/$CG$22)*5)*$CI$5</f>
        <v>-0.03968253968253967</v>
      </c>
      <c r="CX75" s="255">
        <f>($CA$17-(($CA$17*2)/$CG$22)*6)*$CI$5</f>
        <v>-0.11904761904761908</v>
      </c>
      <c r="CY75" s="255">
        <f>($CA$17-(($CA$17*2)/$CG$22)*7)*$CI$5</f>
        <v>-0.19841269841269843</v>
      </c>
      <c r="CZ75" s="255">
        <f>($CA$17-(($CA$17*2)/$CG$22)*8)*$CI$5</f>
        <v>-0.2777777777777778</v>
      </c>
      <c r="DA75" s="255">
        <f>($CA$17-(($CA$17*2)/$CG$22)*9)*$CI$5</f>
        <v>-0.35714285714285715</v>
      </c>
      <c r="DB75" s="256">
        <f>($CA$17-(($CA$17*2)/$CG$22)*10)*$CI$5</f>
        <v>-0.43650793650793646</v>
      </c>
    </row>
    <row r="76" spans="78:106" ht="15.75" customHeight="1">
      <c r="BZ76" s="308">
        <f>VLOOKUP(16,$CD$61:$DB$84,$CH$22,TRUE)</f>
        <v>0</v>
      </c>
      <c r="CB76" s="265"/>
      <c r="CC76" s="293"/>
      <c r="CD76" s="265">
        <v>16</v>
      </c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55">
        <f>($CA$17-(($CA$17*2)/$CG$22))*$CI$5</f>
        <v>0.2777777777777778</v>
      </c>
      <c r="CU76" s="255">
        <f>($CA$17-(($CA$17*2)/$CG$22)*2)*$CI$5</f>
        <v>0.1984126984126984</v>
      </c>
      <c r="CV76" s="255">
        <f>($CA$17-(($CA$17*2)/$CG$22)*3)*$CI$5</f>
        <v>0.11904761904761903</v>
      </c>
      <c r="CW76" s="255">
        <f>($CA$17-(($CA$17*2)/$CG$22)*4)*$CI$5</f>
        <v>0.03968253968253967</v>
      </c>
      <c r="CX76" s="255">
        <f>($CA$17-(($CA$17*2)/$CG$22)*5)*$CI$5</f>
        <v>-0.03968253968253967</v>
      </c>
      <c r="CY76" s="255">
        <f>($CA$17-(($CA$17*2)/$CG$22)*6)*$CI$5</f>
        <v>-0.11904761904761908</v>
      </c>
      <c r="CZ76" s="255">
        <f>($CA$17-(($CA$17*2)/$CG$22)*7)*$CI$5</f>
        <v>-0.19841269841269843</v>
      </c>
      <c r="DA76" s="255">
        <f>($CA$17-(($CA$17*2)/$CG$22)*8)*$CI$5</f>
        <v>-0.2777777777777778</v>
      </c>
      <c r="DB76" s="256">
        <f>($CA$17-(($CA$17*2)/$CG$22)*9)*$CI$5</f>
        <v>-0.35714285714285715</v>
      </c>
    </row>
    <row r="77" spans="78:106" ht="15.75" customHeight="1">
      <c r="BZ77" s="308">
        <f>VLOOKUP(17,$CD$61:$DB$84,$CH$22,TRUE)</f>
        <v>0</v>
      </c>
      <c r="CB77" s="276">
        <f>IF($CG$22&lt;=17,$BZ$61,IF($CG$22&gt;1,$BZ$78))</f>
        <v>0.35714285714285715</v>
      </c>
      <c r="CC77" s="254">
        <f>-(($CG$5-0.1)*$CI$5)</f>
        <v>-0.1142857142857143</v>
      </c>
      <c r="CD77" s="265">
        <v>17</v>
      </c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55">
        <f>($CA$17-(($CA$17*2)/$CG$22))*$CI$5</f>
        <v>0.2777777777777778</v>
      </c>
      <c r="CV77" s="255">
        <f>($CA$17-(($CA$17*2)/$CG$22)*2)*$CI$5</f>
        <v>0.1984126984126984</v>
      </c>
      <c r="CW77" s="255">
        <f>($CA$17-(($CA$17*2)/$CG$22)*3)*$CI$5</f>
        <v>0.11904761904761903</v>
      </c>
      <c r="CX77" s="255">
        <f>($CA$17-(($CA$17*2)/$CG$22)*4)*$CI$5</f>
        <v>0.03968253968253967</v>
      </c>
      <c r="CY77" s="255">
        <f>($CA$17-(($CA$17*2)/$CG$22)*5)*$CI$5</f>
        <v>-0.03968253968253967</v>
      </c>
      <c r="CZ77" s="255">
        <f>($CA$17-(($CA$17*2)/$CG$22)*6)*$CI$5</f>
        <v>-0.11904761904761908</v>
      </c>
      <c r="DA77" s="255">
        <f>($CA$17-(($CA$17*2)/$CG$22)*7)*$CI$5</f>
        <v>-0.19841269841269843</v>
      </c>
      <c r="DB77" s="256">
        <f>($CA$17-(($CA$17*2)/$CG$22)*8)*$CI$5</f>
        <v>-0.2777777777777778</v>
      </c>
    </row>
    <row r="78" spans="78:106" ht="15.75" customHeight="1">
      <c r="BZ78" s="308">
        <f>VLOOKUP(18,$CD$61:$DB$84,$CH$22,TRUE)</f>
        <v>0</v>
      </c>
      <c r="CB78" s="265"/>
      <c r="CC78" s="293"/>
      <c r="CD78" s="265">
        <v>18</v>
      </c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55">
        <f>($CA$17-(($CA$17*2)/$CG$22))*$CI$5</f>
        <v>0.2777777777777778</v>
      </c>
      <c r="CW78" s="255">
        <f>($CA$17-(($CA$17*2)/$CG$22)*2)*$CI$5</f>
        <v>0.1984126984126984</v>
      </c>
      <c r="CX78" s="255">
        <f>($CA$17-(($CA$17*2)/$CG$22)*3)*$CI$5</f>
        <v>0.11904761904761903</v>
      </c>
      <c r="CY78" s="255">
        <f>($CA$17-(($CA$17*2)/$CG$22)*4)*$CI$5</f>
        <v>0.03968253968253967</v>
      </c>
      <c r="CZ78" s="255">
        <f>($CA$17-(($CA$17*2)/$CG$22)*5)*$CI$5</f>
        <v>-0.03968253968253967</v>
      </c>
      <c r="DA78" s="255">
        <f>($CA$17-(($CA$17*2)/$CG$22)*6)*$CI$5</f>
        <v>-0.11904761904761908</v>
      </c>
      <c r="DB78" s="256">
        <f>($CA$17-(($CA$17*2)/$CG$22)*7)*$CI$5</f>
        <v>-0.19841269841269843</v>
      </c>
    </row>
    <row r="79" spans="78:106" ht="15.75" customHeight="1">
      <c r="BZ79" s="308">
        <f>VLOOKUP(19,$CD$61:$DB$84,$CH$22,TRUE)</f>
        <v>0</v>
      </c>
      <c r="CB79" s="276">
        <f>IF($CG$22&lt;=18,$BZ$61,IF($CG$22&gt;1,$BZ$79))</f>
        <v>0.35714285714285715</v>
      </c>
      <c r="CC79" s="254">
        <f>-(($CG$5-0.1)*$CI$5)</f>
        <v>-0.1142857142857143</v>
      </c>
      <c r="CD79" s="265">
        <v>19</v>
      </c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55">
        <f>($CA$17-(($CA$17*2)/$CG$22))*$CI$5</f>
        <v>0.2777777777777778</v>
      </c>
      <c r="CX79" s="255">
        <f>($CA$17-(($CA$17*2)/$CG$22)*2)*$CI$5</f>
        <v>0.1984126984126984</v>
      </c>
      <c r="CY79" s="255">
        <f>($CA$17-(($CA$17*2)/$CG$22)*3)*$CI$5</f>
        <v>0.11904761904761903</v>
      </c>
      <c r="CZ79" s="255">
        <f>($CA$17-(($CA$17*2)/$CG$22)*4)*$CI$5</f>
        <v>0.03968253968253967</v>
      </c>
      <c r="DA79" s="255">
        <f>($CA$17-(($CA$17*2)/$CG$22)*5)*$CI$5</f>
        <v>-0.03968253968253967</v>
      </c>
      <c r="DB79" s="256">
        <f>($CA$17-(($CA$17*2)/$CG$22)*6)*$CI$5</f>
        <v>-0.11904761904761908</v>
      </c>
    </row>
    <row r="80" spans="78:106" ht="15.75" customHeight="1">
      <c r="BZ80" s="308">
        <f>VLOOKUP(20,$CD$61:$DB$84,$CH$22,TRUE)</f>
        <v>0</v>
      </c>
      <c r="CB80" s="265"/>
      <c r="CC80" s="293"/>
      <c r="CD80" s="265">
        <v>20</v>
      </c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55">
        <f>($CA$17-(($CA$17*2)/$CG$22))*$CI$5</f>
        <v>0.2777777777777778</v>
      </c>
      <c r="CY80" s="255">
        <f>($CA$17-(($CA$17*2)/$CG$22)*2)*$CI$5</f>
        <v>0.1984126984126984</v>
      </c>
      <c r="CZ80" s="255">
        <f>($CA$17-(($CA$17*2)/$CG$22)*3)*$CI$5</f>
        <v>0.11904761904761903</v>
      </c>
      <c r="DA80" s="255">
        <f>($CA$17-(($CA$17*2)/$CG$22)*4)*$CI$5</f>
        <v>0.03968253968253967</v>
      </c>
      <c r="DB80" s="256">
        <f>($CA$17-(($CA$17*2)/$CG$22)*5)*$CI$5</f>
        <v>-0.03968253968253967</v>
      </c>
    </row>
    <row r="81" spans="78:106" ht="15.75" customHeight="1">
      <c r="BZ81" s="308">
        <f>VLOOKUP(21,$CD$61:$DB$84,$CH$22,TRUE)</f>
        <v>0</v>
      </c>
      <c r="CB81" s="276">
        <f>IF($CG$22&lt;=19,$BZ$61,IF($CG$22&gt;1,$BZ$80))</f>
        <v>0.35714285714285715</v>
      </c>
      <c r="CC81" s="254">
        <f>-(($CG$5-0.1)*$CI$5)</f>
        <v>-0.1142857142857143</v>
      </c>
      <c r="CD81" s="265">
        <v>21</v>
      </c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55">
        <f>($CA$17-(($CA$17*2)/$CG$22))*$CI$5</f>
        <v>0.2777777777777778</v>
      </c>
      <c r="CZ81" s="255">
        <f>($CA$17-(($CA$17*2)/$CG$22)*2)*$CI$5</f>
        <v>0.1984126984126984</v>
      </c>
      <c r="DA81" s="255">
        <f>($CA$17-(($CA$17*2)/$CG$22)*3)*$CI$5</f>
        <v>0.11904761904761903</v>
      </c>
      <c r="DB81" s="256">
        <f>($CA$17-(($CA$17*2)/$CG$22)*4)*$CI$5</f>
        <v>0.03968253968253967</v>
      </c>
    </row>
    <row r="82" spans="78:106" ht="15.75" customHeight="1">
      <c r="BZ82" s="308">
        <f>VLOOKUP(22,$CD$61:$DB$84,$CH$22,TRUE)</f>
        <v>0</v>
      </c>
      <c r="CB82" s="265"/>
      <c r="CC82" s="293"/>
      <c r="CD82" s="265">
        <v>22</v>
      </c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55">
        <f>($CA$17-(($CA$17*2)/$CG$22))*$CI$5</f>
        <v>0.2777777777777778</v>
      </c>
      <c r="DA82" s="255">
        <f>($CA$17-(($CA$17*2)/$CG$22)*2)*$CI$5</f>
        <v>0.1984126984126984</v>
      </c>
      <c r="DB82" s="256">
        <f>($CA$17-(($CA$17*2)/$CG$22)*3)*$CI$5</f>
        <v>0.11904761904761903</v>
      </c>
    </row>
    <row r="83" spans="78:106" ht="15.75" customHeight="1">
      <c r="BZ83" s="308">
        <f>VLOOKUP(23,$CD$61:$DB$84,$CH$22,TRUE)</f>
        <v>0</v>
      </c>
      <c r="CB83" s="276">
        <f>IF($CG$22&lt;=20,$BZ$61,IF($CG$22&gt;1,$BZ$81))</f>
        <v>0.35714285714285715</v>
      </c>
      <c r="CC83" s="254">
        <f>-(($CG$5-0.1)*$CI$5)</f>
        <v>-0.1142857142857143</v>
      </c>
      <c r="CD83" s="265">
        <v>23</v>
      </c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55">
        <f>($CA$17-(($CA$17*2)/$CG$22))*$CI$5</f>
        <v>0.2777777777777778</v>
      </c>
      <c r="DB83" s="256">
        <f>($CA$17-(($CA$17*2)/$CG$22)*2)*$CI$5</f>
        <v>0.1984126984126984</v>
      </c>
    </row>
    <row r="84" spans="78:106" ht="15.75" customHeight="1" thickBot="1">
      <c r="BZ84" s="309">
        <f>VLOOKUP(24,$CD$61:$DB$84,$CH$22,TRUE)</f>
        <v>0</v>
      </c>
      <c r="CB84" s="265"/>
      <c r="CC84" s="293"/>
      <c r="CD84" s="265">
        <v>24</v>
      </c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58">
        <f>($CA$17-(($CA$17*2)/$CG$22))*$CI$5</f>
        <v>0.2777777777777778</v>
      </c>
    </row>
    <row r="85" spans="80:106" ht="15.75" customHeight="1">
      <c r="CB85" s="276">
        <f>IF($CG$22&lt;=21,$BZ$61,IF($CG$22&gt;1,$BZ$82))</f>
        <v>0.35714285714285715</v>
      </c>
      <c r="CC85" s="254">
        <f>-(($CG$5-0.1)*$CI$5)</f>
        <v>-0.1142857142857143</v>
      </c>
      <c r="CD85" s="259"/>
      <c r="CE85" s="259"/>
      <c r="CF85" s="259"/>
      <c r="CG85" s="259"/>
      <c r="CH85" s="259"/>
      <c r="CI85" s="259"/>
      <c r="CJ85" s="259"/>
      <c r="CK85" s="259"/>
      <c r="CL85" s="259"/>
      <c r="CM85" s="259"/>
      <c r="CN85" s="259"/>
      <c r="CO85" s="259"/>
      <c r="CP85" s="259"/>
      <c r="CQ85" s="259"/>
      <c r="CR85" s="259"/>
      <c r="CS85" s="259"/>
      <c r="CT85" s="259"/>
      <c r="CU85" s="259"/>
      <c r="CV85" s="259"/>
      <c r="CW85" s="259"/>
      <c r="CX85" s="259"/>
      <c r="CY85" s="259"/>
      <c r="CZ85" s="259"/>
      <c r="DA85" s="259"/>
      <c r="DB85" s="259"/>
    </row>
    <row r="86" spans="80:81" ht="15.75" customHeight="1">
      <c r="CB86" s="265"/>
      <c r="CC86" s="293"/>
    </row>
    <row r="87" spans="80:81" ht="15.75" customHeight="1">
      <c r="CB87" s="276">
        <f>IF($CG$22&lt;=22,$BZ$61,IF($CG$22&gt;1,$BZ$83))</f>
        <v>0.35714285714285715</v>
      </c>
      <c r="CC87" s="254">
        <f>-(($CG$5-0.1)*$CI$5)</f>
        <v>-0.1142857142857143</v>
      </c>
    </row>
    <row r="88" spans="80:81" ht="15.75" customHeight="1">
      <c r="CB88" s="265"/>
      <c r="CC88" s="293"/>
    </row>
    <row r="89" spans="80:81" ht="15.75" customHeight="1">
      <c r="CB89" s="276">
        <f>IF($CG$22&lt;=23,$BZ$61,IF($CG$22&gt;1,$BZ$84))</f>
        <v>0.35714285714285715</v>
      </c>
      <c r="CC89" s="254">
        <f>-(($CG$5-0.1)*$CI$5)</f>
        <v>-0.1142857142857143</v>
      </c>
    </row>
    <row r="90" spans="80:81" ht="15.75" customHeight="1">
      <c r="CB90" s="265"/>
      <c r="CC90" s="293"/>
    </row>
    <row r="91" spans="80:81" ht="15.75" customHeight="1" thickBot="1">
      <c r="CB91" s="282">
        <f>(($BZ$17-0.025)*$CI$5)</f>
        <v>0.35714285714285715</v>
      </c>
      <c r="CC91" s="270">
        <f>-(($CG$5-0.1)*$CI$5)</f>
        <v>-0.1142857142857143</v>
      </c>
    </row>
    <row r="92" spans="79:81" ht="15.75" customHeight="1">
      <c r="CA92" s="26"/>
      <c r="CC92" s="259"/>
    </row>
    <row r="98" ht="15.75" customHeight="1">
      <c r="CF98" s="26"/>
    </row>
  </sheetData>
  <sheetProtection password="DA3E" sheet="1" objects="1" scenarios="1"/>
  <mergeCells count="93">
    <mergeCell ref="AC9:AE9"/>
    <mergeCell ref="AC10:AE10"/>
    <mergeCell ref="F44:H44"/>
    <mergeCell ref="O38:P38"/>
    <mergeCell ref="O44:P44"/>
    <mergeCell ref="M44:N44"/>
    <mergeCell ref="J44:L44"/>
    <mergeCell ref="F38:H38"/>
    <mergeCell ref="J38:L38"/>
    <mergeCell ref="O40:P40"/>
    <mergeCell ref="L32:N32"/>
    <mergeCell ref="L33:N33"/>
    <mergeCell ref="L34:N34"/>
    <mergeCell ref="L35:N35"/>
    <mergeCell ref="U42:AA42"/>
    <mergeCell ref="U40:AA40"/>
    <mergeCell ref="L36:N36"/>
    <mergeCell ref="L37:N37"/>
    <mergeCell ref="M38:N38"/>
    <mergeCell ref="M40:N40"/>
    <mergeCell ref="J40:L40"/>
    <mergeCell ref="L17:N17"/>
    <mergeCell ref="L18:N18"/>
    <mergeCell ref="L25:N25"/>
    <mergeCell ref="L22:N22"/>
    <mergeCell ref="L19:N19"/>
    <mergeCell ref="L20:N20"/>
    <mergeCell ref="L21:N21"/>
    <mergeCell ref="L23:N23"/>
    <mergeCell ref="V51:AA51"/>
    <mergeCell ref="V50:AA50"/>
    <mergeCell ref="S51:U51"/>
    <mergeCell ref="S50:U50"/>
    <mergeCell ref="B7:AA7"/>
    <mergeCell ref="E5:T5"/>
    <mergeCell ref="Y3:AA3"/>
    <mergeCell ref="Y4:AA4"/>
    <mergeCell ref="E4:T4"/>
    <mergeCell ref="E3:T3"/>
    <mergeCell ref="U4:X4"/>
    <mergeCell ref="U3:X3"/>
    <mergeCell ref="L9:N9"/>
    <mergeCell ref="L10:N10"/>
    <mergeCell ref="V9:Y9"/>
    <mergeCell ref="V10:Y10"/>
    <mergeCell ref="L11:N11"/>
    <mergeCell ref="L12:N12"/>
    <mergeCell ref="V11:Y11"/>
    <mergeCell ref="V12:Y12"/>
    <mergeCell ref="L13:N13"/>
    <mergeCell ref="L14:N14"/>
    <mergeCell ref="L15:N15"/>
    <mergeCell ref="L16:N16"/>
    <mergeCell ref="L28:N28"/>
    <mergeCell ref="L29:N29"/>
    <mergeCell ref="AC24:AG24"/>
    <mergeCell ref="AC25:AK25"/>
    <mergeCell ref="L27:N27"/>
    <mergeCell ref="L26:N26"/>
    <mergeCell ref="L24:N24"/>
    <mergeCell ref="AC14:AH14"/>
    <mergeCell ref="AC19:AK19"/>
    <mergeCell ref="AC23:AG23"/>
    <mergeCell ref="O50:P50"/>
    <mergeCell ref="U43:AA43"/>
    <mergeCell ref="U41:AA41"/>
    <mergeCell ref="Q41:S41"/>
    <mergeCell ref="Q14:AA14"/>
    <mergeCell ref="Q38:AA38"/>
    <mergeCell ref="U39:AA39"/>
    <mergeCell ref="F40:H40"/>
    <mergeCell ref="O42:P42"/>
    <mergeCell ref="M42:N42"/>
    <mergeCell ref="J42:L42"/>
    <mergeCell ref="F42:H42"/>
    <mergeCell ref="F47:H47"/>
    <mergeCell ref="J46:L46"/>
    <mergeCell ref="M46:N46"/>
    <mergeCell ref="O46:P46"/>
    <mergeCell ref="F46:H46"/>
    <mergeCell ref="AC45:AF45"/>
    <mergeCell ref="J47:L47"/>
    <mergeCell ref="M47:N47"/>
    <mergeCell ref="O47:P47"/>
    <mergeCell ref="O45:P45"/>
    <mergeCell ref="F50:H50"/>
    <mergeCell ref="F49:H49"/>
    <mergeCell ref="O48:P48"/>
    <mergeCell ref="M50:N50"/>
    <mergeCell ref="O49:P49"/>
    <mergeCell ref="M49:N49"/>
    <mergeCell ref="J50:L50"/>
    <mergeCell ref="J49:L49"/>
  </mergeCells>
  <conditionalFormatting sqref="O39:P39 O36:P36">
    <cfRule type="cellIs" priority="1" dxfId="0" operator="lessThan" stopIfTrue="1">
      <formula>$E$35</formula>
    </cfRule>
  </conditionalFormatting>
  <conditionalFormatting sqref="V34:Z34">
    <cfRule type="expression" priority="2" dxfId="0" stopIfTrue="1">
      <formula>IF($CP$26&gt;$CB$36,1)</formula>
    </cfRule>
  </conditionalFormatting>
  <conditionalFormatting sqref="V35:Z35">
    <cfRule type="expression" priority="3" dxfId="0" stopIfTrue="1">
      <formula>IF($CE$37&gt;$CB$37,1)</formula>
    </cfRule>
  </conditionalFormatting>
  <conditionalFormatting sqref="V36:Z36">
    <cfRule type="expression" priority="4" dxfId="0" stopIfTrue="1">
      <formula>IF($CE$38&gt;$CB$38,1)</formula>
    </cfRule>
  </conditionalFormatting>
  <conditionalFormatting sqref="T48:V48">
    <cfRule type="expression" priority="5" dxfId="0" stopIfTrue="1">
      <formula>IF($L$48&gt;$Q$48,1)</formula>
    </cfRule>
  </conditionalFormatting>
  <conditionalFormatting sqref="V45:V47 U44:U47 T45:T46">
    <cfRule type="expression" priority="6" dxfId="0" stopIfTrue="1">
      <formula>IF($L$44&lt;$Q$44,1)</formula>
    </cfRule>
  </conditionalFormatting>
  <conditionalFormatting sqref="Q34:U34">
    <cfRule type="expression" priority="7" dxfId="0" stopIfTrue="1">
      <formula>IF($E$36&gt;=$N$36,1)</formula>
    </cfRule>
  </conditionalFormatting>
  <conditionalFormatting sqref="O34:P34">
    <cfRule type="cellIs" priority="8" dxfId="0" operator="lessThan" stopIfTrue="1">
      <formula>$E$36</formula>
    </cfRule>
  </conditionalFormatting>
  <conditionalFormatting sqref="Q35:U35 Q39 U39">
    <cfRule type="expression" priority="9" dxfId="0" stopIfTrue="1">
      <formula>IF($E$37&gt;$N$37,1)</formula>
    </cfRule>
  </conditionalFormatting>
  <conditionalFormatting sqref="Q36:U36">
    <cfRule type="expression" priority="10" dxfId="0" stopIfTrue="1">
      <formula>IF($E$35&gt;$N$35,1)</formula>
    </cfRule>
  </conditionalFormatting>
  <conditionalFormatting sqref="O35:P35">
    <cfRule type="cellIs" priority="11" dxfId="1" operator="greaterThanOrEqual" stopIfTrue="1">
      <formula>$L$34</formula>
    </cfRule>
    <cfRule type="cellIs" priority="12" dxfId="0" operator="lessThan" stopIfTrue="1">
      <formula>$L$34</formula>
    </cfRule>
  </conditionalFormatting>
  <conditionalFormatting sqref="F40:H40">
    <cfRule type="cellIs" priority="13" dxfId="0" operator="greaterThan" stopIfTrue="1">
      <formula>$J$40</formula>
    </cfRule>
    <cfRule type="cellIs" priority="14" dxfId="1" operator="lessThanOrEqual" stopIfTrue="1">
      <formula>$J$40</formula>
    </cfRule>
  </conditionalFormatting>
  <conditionalFormatting sqref="F38:H38">
    <cfRule type="cellIs" priority="15" dxfId="0" operator="greaterThan" stopIfTrue="1">
      <formula>$J$38</formula>
    </cfRule>
    <cfRule type="cellIs" priority="16" dxfId="1" operator="lessThanOrEqual" stopIfTrue="1">
      <formula>$J$38</formula>
    </cfRule>
  </conditionalFormatting>
  <conditionalFormatting sqref="F42:H42">
    <cfRule type="cellIs" priority="17" dxfId="0" operator="greaterThan" stopIfTrue="1">
      <formula>$J$42</formula>
    </cfRule>
    <cfRule type="cellIs" priority="18" dxfId="1" operator="lessThanOrEqual" stopIfTrue="1">
      <formula>$J$42</formula>
    </cfRule>
  </conditionalFormatting>
  <conditionalFormatting sqref="F44:H44">
    <cfRule type="cellIs" priority="19" dxfId="0" operator="greaterThan" stopIfTrue="1">
      <formula>$J$44</formula>
    </cfRule>
    <cfRule type="cellIs" priority="20" dxfId="1" operator="lessThanOrEqual" stopIfTrue="1">
      <formula>$J$44</formula>
    </cfRule>
  </conditionalFormatting>
  <conditionalFormatting sqref="O38:P38">
    <cfRule type="expression" priority="21" dxfId="0" stopIfTrue="1">
      <formula>IF($F$38&gt;$J$38,1)</formula>
    </cfRule>
    <cfRule type="expression" priority="22" dxfId="1" stopIfTrue="1">
      <formula>IF($F$38&lt;=$J$38,2)</formula>
    </cfRule>
  </conditionalFormatting>
  <conditionalFormatting sqref="O40:P40">
    <cfRule type="expression" priority="23" dxfId="0" stopIfTrue="1">
      <formula>IF($F$40&gt;$J$40,1)</formula>
    </cfRule>
    <cfRule type="expression" priority="24" dxfId="1" stopIfTrue="1">
      <formula>IF($F$40&lt;=$J$40,2)</formula>
    </cfRule>
  </conditionalFormatting>
  <conditionalFormatting sqref="O42:P42">
    <cfRule type="expression" priority="25" dxfId="0" stopIfTrue="1">
      <formula>IF($F$42&gt;$J$42,1)</formula>
    </cfRule>
    <cfRule type="expression" priority="26" dxfId="1" stopIfTrue="1">
      <formula>IF($F$42&lt;=$J$42,2)</formula>
    </cfRule>
  </conditionalFormatting>
  <conditionalFormatting sqref="O44:P45">
    <cfRule type="cellIs" priority="27" dxfId="0" operator="greaterThan" stopIfTrue="1">
      <formula>IF($F$44&gt;$J$44,1)</formula>
    </cfRule>
    <cfRule type="expression" priority="28" dxfId="1" stopIfTrue="1">
      <formula>IF($F$44&lt;=$J$44,2)</formula>
    </cfRule>
  </conditionalFormatting>
  <conditionalFormatting sqref="O46:P46">
    <cfRule type="expression" priority="29" dxfId="1" stopIfTrue="1">
      <formula>IF($F$46&gt;=$J$46,1)</formula>
    </cfRule>
    <cfRule type="expression" priority="30" dxfId="0" stopIfTrue="1">
      <formula>IF($F$46&lt;$J$46,2)</formula>
    </cfRule>
  </conditionalFormatting>
  <conditionalFormatting sqref="O47:P48">
    <cfRule type="expression" priority="31" dxfId="1" stopIfTrue="1">
      <formula>IF($F$47&gt;=$J$47,1)</formula>
    </cfRule>
    <cfRule type="expression" priority="32" dxfId="0" stopIfTrue="1">
      <formula>IF($F$47&lt;$J$47,2)</formula>
    </cfRule>
  </conditionalFormatting>
  <conditionalFormatting sqref="F46:H46">
    <cfRule type="cellIs" priority="33" dxfId="1" operator="greaterThanOrEqual" stopIfTrue="1">
      <formula>$J$46</formula>
    </cfRule>
    <cfRule type="cellIs" priority="34" dxfId="0" operator="lessThan" stopIfTrue="1">
      <formula>$J$46</formula>
    </cfRule>
  </conditionalFormatting>
  <conditionalFormatting sqref="F47:H47">
    <cfRule type="cellIs" priority="35" dxfId="1" operator="greaterThanOrEqual" stopIfTrue="1">
      <formula>$J$47</formula>
    </cfRule>
    <cfRule type="cellIs" priority="36" dxfId="0" operator="lessThan" stopIfTrue="1">
      <formula>$J$47</formula>
    </cfRule>
  </conditionalFormatting>
  <conditionalFormatting sqref="O49:P49">
    <cfRule type="expression" priority="37" dxfId="1" stopIfTrue="1">
      <formula>IF($F$49&gt;=$J$49,1)</formula>
    </cfRule>
    <cfRule type="expression" priority="38" dxfId="0" stopIfTrue="1">
      <formula>IF($F$49&lt;$J$49,2)</formula>
    </cfRule>
  </conditionalFormatting>
  <conditionalFormatting sqref="O50:P50">
    <cfRule type="expression" priority="39" dxfId="1" stopIfTrue="1">
      <formula>IF($F$50&gt;=$J$50,1)</formula>
    </cfRule>
    <cfRule type="expression" priority="40" dxfId="0" stopIfTrue="1">
      <formula>IF($F$50&lt;$J$50,2)</formula>
    </cfRule>
  </conditionalFormatting>
  <conditionalFormatting sqref="N58 F49:H49">
    <cfRule type="cellIs" priority="41" dxfId="1" operator="greaterThanOrEqual" stopIfTrue="1">
      <formula>$J$49</formula>
    </cfRule>
    <cfRule type="cellIs" priority="42" dxfId="0" operator="lessThan" stopIfTrue="1">
      <formula>$J$49</formula>
    </cfRule>
  </conditionalFormatting>
  <conditionalFormatting sqref="F50:H50">
    <cfRule type="cellIs" priority="43" dxfId="1" operator="greaterThanOrEqual" stopIfTrue="1">
      <formula>$J$50</formula>
    </cfRule>
    <cfRule type="cellIs" priority="44" dxfId="0" operator="lessThan" stopIfTrue="1">
      <formula>$J$50</formula>
    </cfRule>
  </conditionalFormatting>
  <dataValidations count="2">
    <dataValidation type="list" allowBlank="1" showInputMessage="1" showErrorMessage="1" sqref="L9:N9">
      <formula1>"2400,3000,4000,5000"</formula1>
    </dataValidation>
    <dataValidation type="list" allowBlank="1" showInputMessage="1" sqref="L12:N12">
      <formula1>"173,210,240,280,320,380"</formula1>
    </dataValidation>
  </dataValidations>
  <printOptions/>
  <pageMargins left="0.35433070866141736" right="0.1968503937007874" top="0.3937007874015748" bottom="0.1968503937007874" header="0.5118110236220472" footer="0.5118110236220472"/>
  <pageSetup orientation="portrait" paperSize="9" scale="99" r:id="rId3"/>
  <rowBreaks count="1" manualBreakCount="1">
    <brk id="54" max="84" man="1"/>
  </rowBreaks>
  <colBreaks count="1" manualBreakCount="1">
    <brk id="28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DB98"/>
  <sheetViews>
    <sheetView zoomScaleSheetLayoutView="50" workbookViewId="0" topLeftCell="A1">
      <selection activeCell="AC10" sqref="AC10:AE10"/>
    </sheetView>
  </sheetViews>
  <sheetFormatPr defaultColWidth="9.140625" defaultRowHeight="15.75" customHeight="1"/>
  <cols>
    <col min="1" max="54" width="3.57421875" style="38" customWidth="1"/>
    <col min="55" max="61" width="3.57421875" style="154" customWidth="1"/>
    <col min="62" max="62" width="13.00390625" style="154" customWidth="1"/>
    <col min="63" max="63" width="8.8515625" style="154" customWidth="1"/>
    <col min="64" max="64" width="5.8515625" style="154" customWidth="1"/>
    <col min="65" max="68" width="9.7109375" style="154" customWidth="1"/>
    <col min="69" max="69" width="11.140625" style="154" customWidth="1"/>
    <col min="70" max="72" width="9.7109375" style="154" customWidth="1"/>
    <col min="73" max="73" width="14.57421875" style="154" customWidth="1"/>
    <col min="74" max="76" width="10.7109375" style="154" customWidth="1"/>
    <col min="77" max="108" width="9.7109375" style="154" customWidth="1"/>
    <col min="109" max="126" width="9.7109375" style="38" customWidth="1"/>
    <col min="127" max="16384" width="3.57421875" style="38" customWidth="1"/>
  </cols>
  <sheetData>
    <row r="1" spans="2:39" ht="15.75" customHeight="1" thickBot="1">
      <c r="B1" s="39"/>
      <c r="C1" s="39"/>
      <c r="D1" s="39"/>
      <c r="E1" s="39"/>
      <c r="F1" s="39"/>
      <c r="G1" s="39"/>
      <c r="H1" s="39"/>
      <c r="I1" s="39"/>
      <c r="J1" s="39"/>
      <c r="K1" s="40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510">
        <f>IF(AC10="","",AC10)</f>
      </c>
      <c r="AB1" s="26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1:39" ht="9.75" customHeight="1" thickBot="1">
      <c r="K2" s="42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2:94" ht="15.75" customHeight="1">
      <c r="B3" s="43" t="s">
        <v>0</v>
      </c>
      <c r="E3" s="531" t="str">
        <f>Cover!A6</f>
        <v>อาคารพาณิชย์</v>
      </c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3"/>
      <c r="U3" s="537" t="s">
        <v>33</v>
      </c>
      <c r="V3" s="537"/>
      <c r="W3" s="537"/>
      <c r="X3" s="538"/>
      <c r="Y3" s="515">
        <f ca="1">TODAY()</f>
        <v>40280</v>
      </c>
      <c r="Z3" s="613"/>
      <c r="AA3" s="614"/>
      <c r="AB3" s="28"/>
      <c r="AC3" s="44" t="s">
        <v>5</v>
      </c>
      <c r="AD3" s="45"/>
      <c r="AE3" s="45"/>
      <c r="AF3" s="46"/>
      <c r="AG3" s="46"/>
      <c r="AH3" s="46"/>
      <c r="AI3" s="46"/>
      <c r="AJ3" s="46"/>
      <c r="AK3" s="41"/>
      <c r="AL3" s="41"/>
      <c r="AM3" s="41"/>
      <c r="BU3" s="156"/>
      <c r="BV3" s="156"/>
      <c r="BW3" s="156"/>
      <c r="BX3" s="157" t="s">
        <v>112</v>
      </c>
      <c r="BY3" s="341" t="s">
        <v>113</v>
      </c>
      <c r="BZ3" s="342" t="s">
        <v>114</v>
      </c>
      <c r="CA3" s="156"/>
      <c r="CB3" s="156"/>
      <c r="CC3" s="157" t="s">
        <v>115</v>
      </c>
      <c r="CD3" s="341" t="s">
        <v>116</v>
      </c>
      <c r="CE3" s="342" t="s">
        <v>117</v>
      </c>
      <c r="CF3" s="156"/>
      <c r="CG3" s="177" t="s">
        <v>121</v>
      </c>
      <c r="CH3" s="156"/>
      <c r="CI3" s="156"/>
      <c r="CJ3" s="177" t="s">
        <v>124</v>
      </c>
      <c r="CK3" s="156"/>
      <c r="CL3" s="156"/>
      <c r="CM3" s="156"/>
      <c r="CN3" s="156"/>
      <c r="CO3" s="156"/>
      <c r="CP3" s="156"/>
    </row>
    <row r="4" spans="2:94" ht="15.75" customHeight="1">
      <c r="B4" s="43" t="s">
        <v>1</v>
      </c>
      <c r="E4" s="531" t="str">
        <f>Cover!D8</f>
        <v>คุณทดลอง</v>
      </c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3"/>
      <c r="U4" s="535" t="s">
        <v>53</v>
      </c>
      <c r="V4" s="535"/>
      <c r="W4" s="535"/>
      <c r="X4" s="618"/>
      <c r="Y4" s="575" t="s">
        <v>227</v>
      </c>
      <c r="Z4" s="576"/>
      <c r="AA4" s="577"/>
      <c r="AB4" s="48"/>
      <c r="AC4" s="49" t="s">
        <v>6</v>
      </c>
      <c r="AD4" s="45"/>
      <c r="AE4" s="45"/>
      <c r="AF4" s="46"/>
      <c r="AG4" s="46"/>
      <c r="AH4" s="46"/>
      <c r="AI4" s="46"/>
      <c r="AJ4" s="46"/>
      <c r="AK4" s="41"/>
      <c r="AL4" s="41"/>
      <c r="AM4" s="41"/>
      <c r="BU4" s="163">
        <v>2</v>
      </c>
      <c r="BV4" s="156">
        <v>1</v>
      </c>
      <c r="BW4" s="163">
        <v>1</v>
      </c>
      <c r="BX4" s="164"/>
      <c r="BY4" s="177">
        <f>L26</f>
        <v>0.7</v>
      </c>
      <c r="BZ4" s="343">
        <f>L27</f>
        <v>0.25</v>
      </c>
      <c r="CA4" s="156"/>
      <c r="CB4" s="156"/>
      <c r="CC4" s="164"/>
      <c r="CD4" s="204">
        <f>L24</f>
        <v>0.3</v>
      </c>
      <c r="CE4" s="344">
        <f>L25</f>
        <v>0.3</v>
      </c>
      <c r="CF4" s="156"/>
      <c r="CG4" s="204">
        <f>L28</f>
        <v>0.6</v>
      </c>
      <c r="CH4" s="156"/>
      <c r="CI4" s="156"/>
      <c r="CJ4" s="204">
        <f>CD4+0.1</f>
        <v>0.4</v>
      </c>
      <c r="CK4" s="156"/>
      <c r="CL4" s="156"/>
      <c r="CM4" s="345">
        <f>CG4+0.1</f>
        <v>0.7</v>
      </c>
      <c r="CN4" s="156"/>
      <c r="CO4" s="156"/>
      <c r="CP4" s="156"/>
    </row>
    <row r="5" spans="2:96" ht="15.75" customHeight="1" thickBot="1">
      <c r="B5" s="43" t="s">
        <v>2</v>
      </c>
      <c r="E5" s="531" t="str">
        <f>Cover!D9</f>
        <v>กทม.</v>
      </c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3"/>
      <c r="U5" s="50"/>
      <c r="V5" s="51"/>
      <c r="W5" s="51"/>
      <c r="X5" s="51"/>
      <c r="Y5" s="47"/>
      <c r="Z5" s="47"/>
      <c r="AA5" s="47"/>
      <c r="AB5" s="48"/>
      <c r="AC5" s="46"/>
      <c r="AD5" s="46"/>
      <c r="AE5" s="46"/>
      <c r="AF5" s="46"/>
      <c r="AG5" s="46"/>
      <c r="AH5" s="45"/>
      <c r="AI5" s="46"/>
      <c r="AJ5" s="46"/>
      <c r="AK5" s="41"/>
      <c r="AL5" s="41"/>
      <c r="AM5" s="41"/>
      <c r="BU5" s="156"/>
      <c r="BV5" s="156"/>
      <c r="BW5" s="156"/>
      <c r="BX5" s="170"/>
      <c r="BY5" s="346">
        <f>BY4/2</f>
        <v>0.35</v>
      </c>
      <c r="BZ5" s="347">
        <f>BZ4</f>
        <v>0.25</v>
      </c>
      <c r="CA5" s="177">
        <f>MAX(BY12:BY14)</f>
        <v>0.6541451884327378</v>
      </c>
      <c r="CB5" s="228">
        <f>0.4/CA5</f>
        <v>0.6114850450224321</v>
      </c>
      <c r="CC5" s="170"/>
      <c r="CD5" s="348">
        <f>CD4/2</f>
        <v>0.15</v>
      </c>
      <c r="CE5" s="349">
        <f>CE4/2</f>
        <v>0.15</v>
      </c>
      <c r="CF5" s="156"/>
      <c r="CG5" s="177">
        <f>CG4/2</f>
        <v>0.3</v>
      </c>
      <c r="CH5" s="400">
        <f>MAX(BY14,CG5)</f>
        <v>0.638675134594813</v>
      </c>
      <c r="CI5" s="388">
        <f>0.4/CH5</f>
        <v>0.6262964977551024</v>
      </c>
      <c r="CJ5" s="177">
        <f>CJ4/2</f>
        <v>0.2</v>
      </c>
      <c r="CK5" s="177">
        <v>0.05</v>
      </c>
      <c r="CL5" s="156"/>
      <c r="CM5" s="345">
        <f>CM4/2</f>
        <v>0.35</v>
      </c>
      <c r="CN5" s="156"/>
      <c r="CO5" s="156"/>
      <c r="CP5" s="156"/>
      <c r="CR5" s="217">
        <v>1</v>
      </c>
    </row>
    <row r="6" spans="2:94" ht="9.75" customHeight="1" thickBot="1">
      <c r="B6" s="39"/>
      <c r="C6" s="39"/>
      <c r="D6" s="39"/>
      <c r="E6" s="39"/>
      <c r="F6" s="39"/>
      <c r="G6" s="39"/>
      <c r="H6" s="39"/>
      <c r="I6" s="39"/>
      <c r="J6" s="39"/>
      <c r="K6" s="40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26"/>
      <c r="AC6" s="46"/>
      <c r="AD6" s="46"/>
      <c r="AE6" s="46"/>
      <c r="AF6" s="46"/>
      <c r="AG6" s="46"/>
      <c r="AH6" s="46"/>
      <c r="AI6" s="46"/>
      <c r="AJ6" s="46"/>
      <c r="AK6" s="41"/>
      <c r="AL6" s="41"/>
      <c r="AM6" s="41"/>
      <c r="BU6" s="156"/>
      <c r="BV6" s="156"/>
      <c r="BW6" s="156"/>
      <c r="BX6" s="156"/>
      <c r="BY6" s="228"/>
      <c r="BZ6" s="228"/>
      <c r="CA6" s="228"/>
      <c r="CB6" s="228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</row>
    <row r="7" spans="2:96" ht="15.75" customHeight="1">
      <c r="B7" s="543" t="s">
        <v>245</v>
      </c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3"/>
      <c r="AC7" s="46" t="s">
        <v>30</v>
      </c>
      <c r="AD7" s="41"/>
      <c r="AE7" s="41"/>
      <c r="AF7" s="41"/>
      <c r="AG7" s="41"/>
      <c r="AH7" s="41"/>
      <c r="AI7" s="41"/>
      <c r="AJ7" s="54"/>
      <c r="AK7" s="41"/>
      <c r="AL7" s="41"/>
      <c r="AM7" s="41"/>
      <c r="BS7" s="156"/>
      <c r="BU7" s="156"/>
      <c r="BV7" s="177"/>
      <c r="BW7" s="177"/>
      <c r="BX7" s="156"/>
      <c r="BY7" s="156"/>
      <c r="BZ7" s="156"/>
      <c r="CA7" s="156"/>
      <c r="CB7" s="156"/>
      <c r="CC7" s="156"/>
      <c r="CD7" s="156"/>
      <c r="CE7" s="156"/>
      <c r="CF7" s="156"/>
      <c r="CG7" s="177"/>
      <c r="CH7" s="156"/>
      <c r="CI7" s="156"/>
      <c r="CJ7" s="156"/>
      <c r="CK7" s="156"/>
      <c r="CL7" s="156"/>
      <c r="CM7" s="156"/>
      <c r="CN7" s="156"/>
      <c r="CO7" s="156"/>
      <c r="CP7" s="156"/>
      <c r="CR7" s="156" t="s">
        <v>188</v>
      </c>
    </row>
    <row r="8" spans="2:102" ht="15.75" customHeight="1" thickBot="1">
      <c r="B8" s="235" t="s">
        <v>52</v>
      </c>
      <c r="K8" s="42"/>
      <c r="O8" s="55"/>
      <c r="P8" s="235" t="s">
        <v>44</v>
      </c>
      <c r="AA8" s="55"/>
      <c r="AB8" s="55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BH8" s="154" t="str">
        <f>IF($BW$4=1,BU8,IF($BW$4=2,BU15,IF($BW$4=3,BU23,IF($BW$4=4,BU26,IF($BW$4=5,BU28)))))</f>
        <v>I-0.18X0.18</v>
      </c>
      <c r="BK8" s="154">
        <v>1</v>
      </c>
      <c r="BL8" s="154">
        <f>IF($BW$4=1,BV8,IF($BW$4=2,BV15,IF($BW$4=3,BV23,IF($BW$4=4,BV26,IF($BW$4=5,BV28)))))</f>
        <v>0.18</v>
      </c>
      <c r="BN8" s="154" t="s">
        <v>146</v>
      </c>
      <c r="BQ8" s="350" t="s">
        <v>146</v>
      </c>
      <c r="BT8" s="154">
        <v>1</v>
      </c>
      <c r="BU8" s="156" t="s">
        <v>64</v>
      </c>
      <c r="BV8" s="178">
        <v>0.18</v>
      </c>
      <c r="BW8" s="178"/>
      <c r="BX8" s="156" t="s">
        <v>213</v>
      </c>
      <c r="BY8" s="154">
        <f>BY$5*TAN(RADIANS(60))</f>
        <v>0.6062177826491069</v>
      </c>
      <c r="CA8" s="154" t="s">
        <v>218</v>
      </c>
      <c r="CB8" s="154">
        <f>CL12/(TAN(RADIANS(60)))</f>
        <v>0.1443375672974065</v>
      </c>
      <c r="CC8" s="156"/>
      <c r="CD8" s="156" t="s">
        <v>120</v>
      </c>
      <c r="CE8" s="156"/>
      <c r="CF8" s="156"/>
      <c r="CG8" s="177" t="s">
        <v>122</v>
      </c>
      <c r="CH8" s="156"/>
      <c r="CI8" s="156"/>
      <c r="CJ8" s="352">
        <f>(CG5+0.1)*CI5</f>
        <v>0.250518599102041</v>
      </c>
      <c r="CK8" s="156"/>
      <c r="CL8" s="156"/>
      <c r="CM8" s="156"/>
      <c r="CN8" s="156"/>
      <c r="CO8" s="156"/>
      <c r="CP8" s="156"/>
      <c r="CR8" s="156" t="s">
        <v>189</v>
      </c>
      <c r="CU8" s="351" t="s">
        <v>108</v>
      </c>
      <c r="CV8" s="177"/>
      <c r="CW8" s="351" t="s">
        <v>111</v>
      </c>
      <c r="CX8" s="177"/>
    </row>
    <row r="9" spans="2:102" ht="15.75" customHeight="1" thickBot="1">
      <c r="B9" s="38" t="s">
        <v>34</v>
      </c>
      <c r="K9" s="42" t="s">
        <v>3</v>
      </c>
      <c r="L9" s="540">
        <v>3000</v>
      </c>
      <c r="M9" s="540"/>
      <c r="N9" s="540"/>
      <c r="O9" s="56"/>
      <c r="P9" s="38" t="s">
        <v>45</v>
      </c>
      <c r="Q9" s="42"/>
      <c r="S9" s="42"/>
      <c r="T9" s="42"/>
      <c r="U9" s="42" t="s">
        <v>3</v>
      </c>
      <c r="V9" s="546">
        <f>L10/L16</f>
        <v>10.257825921892852</v>
      </c>
      <c r="W9" s="546"/>
      <c r="X9" s="546"/>
      <c r="Y9" s="546"/>
      <c r="Z9" s="57"/>
      <c r="AA9" s="56"/>
      <c r="AB9" s="56"/>
      <c r="AC9" s="548" t="s">
        <v>255</v>
      </c>
      <c r="AD9" s="549"/>
      <c r="AE9" s="550"/>
      <c r="AF9" s="41"/>
      <c r="AG9" s="41"/>
      <c r="AH9" s="41"/>
      <c r="AI9" s="41"/>
      <c r="AJ9" s="41"/>
      <c r="AK9" s="41"/>
      <c r="AL9" s="41"/>
      <c r="AM9" s="41"/>
      <c r="BH9" s="154" t="str">
        <f>IF($BW$4=1,BU9,IF($BW$4=2,BU16,IF($BW$4=3,BU24,IF($BW$4=4,"",IF($BW$4=5,BU29)))))</f>
        <v>I-0.22X0.22</v>
      </c>
      <c r="BK9" s="154">
        <v>2</v>
      </c>
      <c r="BL9" s="154">
        <f>IF($BW$4=1,BV9,IF($BW$4=2,BV16,IF($BW$4=3,BV24,IF($BW$4=4,"",IF($BW$4=5,BV29)))))</f>
        <v>0.22</v>
      </c>
      <c r="BN9" s="154" t="s">
        <v>147</v>
      </c>
      <c r="BO9" s="178">
        <f>(L26*L27)*10000</f>
        <v>1750</v>
      </c>
      <c r="BR9" s="184">
        <f>(CB25*L28*L14)+(CB25*1800)</f>
        <v>3089.9315425894824</v>
      </c>
      <c r="BS9" s="184">
        <f>IF(CR5=1,BR9,IF(CR5=2,(BR9/1000)))</f>
        <v>3089.9315425894824</v>
      </c>
      <c r="BT9" s="154">
        <v>2</v>
      </c>
      <c r="BU9" s="156" t="s">
        <v>65</v>
      </c>
      <c r="BV9" s="178">
        <v>0.22</v>
      </c>
      <c r="BW9" s="177"/>
      <c r="BX9" s="156" t="s">
        <v>214</v>
      </c>
      <c r="BY9" s="154">
        <f>BY$5*TAN(RADIANS(30))</f>
        <v>0.202072594216369</v>
      </c>
      <c r="CA9" s="154" t="s">
        <v>219</v>
      </c>
      <c r="CB9" s="154">
        <f>CB8*2</f>
        <v>0.288675134594813</v>
      </c>
      <c r="CC9" s="156"/>
      <c r="CD9" s="353" t="s">
        <v>109</v>
      </c>
      <c r="CE9" s="342" t="s">
        <v>110</v>
      </c>
      <c r="CF9" s="156"/>
      <c r="CG9" s="177">
        <f>BK28</f>
        <v>0.22</v>
      </c>
      <c r="CH9" s="400">
        <f>CH5-0.1</f>
        <v>0.538675134594813</v>
      </c>
      <c r="CI9" s="156"/>
      <c r="CJ9" s="177">
        <f>IF(CJ8&gt;0.65,0.64,IF(CJ8&lt;=0.65,CH14))</f>
        <v>0.250518599102041</v>
      </c>
      <c r="CK9" s="156"/>
      <c r="CL9" s="156"/>
      <c r="CM9" s="156"/>
      <c r="CN9" s="156"/>
      <c r="CO9" s="156"/>
      <c r="CP9" s="156"/>
      <c r="CR9" s="228" t="s">
        <v>190</v>
      </c>
      <c r="CU9" s="353" t="s">
        <v>109</v>
      </c>
      <c r="CV9" s="342" t="s">
        <v>110</v>
      </c>
      <c r="CW9" s="353" t="s">
        <v>109</v>
      </c>
      <c r="CX9" s="342" t="s">
        <v>110</v>
      </c>
    </row>
    <row r="10" spans="1:102" ht="15.75" customHeight="1" thickBot="1">
      <c r="A10" s="26"/>
      <c r="B10" s="38" t="s">
        <v>35</v>
      </c>
      <c r="K10" s="42" t="s">
        <v>3</v>
      </c>
      <c r="L10" s="582">
        <v>2040000</v>
      </c>
      <c r="M10" s="582"/>
      <c r="N10" s="582"/>
      <c r="P10" s="38" t="s">
        <v>46</v>
      </c>
      <c r="U10" s="42" t="s">
        <v>3</v>
      </c>
      <c r="V10" s="612">
        <f>1/(1+(L11/(V9*L15)))</f>
        <v>0.3073117948842602</v>
      </c>
      <c r="W10" s="612"/>
      <c r="X10" s="612"/>
      <c r="Y10" s="612"/>
      <c r="Z10" s="60"/>
      <c r="AC10" s="551"/>
      <c r="AD10" s="552"/>
      <c r="AE10" s="553"/>
      <c r="AF10" s="41"/>
      <c r="AG10" s="41"/>
      <c r="AH10" s="41"/>
      <c r="AI10" s="41"/>
      <c r="AJ10" s="41"/>
      <c r="AK10" s="41"/>
      <c r="AL10" s="41"/>
      <c r="AM10" s="41"/>
      <c r="BH10" s="154" t="str">
        <f>IF($BW$4=1,BU10,IF($BW$4=2,BU17,IF($BW$4=3,"",IF($BW$4=4,"",IF($BW$4=5,BU30)))))</f>
        <v>I-0.26X0.26</v>
      </c>
      <c r="BK10" s="154">
        <v>3</v>
      </c>
      <c r="BL10" s="154">
        <f>IF($BW$4=1,BV10,IF($BW$4=2,BV17,IF($BW$4=3,"",IF($BW$4=4,"",IF($BW$4=5,BV30)))))</f>
        <v>0.26</v>
      </c>
      <c r="BN10" s="154" t="s">
        <v>137</v>
      </c>
      <c r="BO10" s="154">
        <f>(0.2125*BO9*L12)</f>
        <v>64334.375</v>
      </c>
      <c r="BQ10" s="154" t="s">
        <v>164</v>
      </c>
      <c r="BR10" s="356">
        <f>L19*1.1</f>
        <v>66000</v>
      </c>
      <c r="BS10" s="356">
        <f>L19+BS9</f>
        <v>63089.93154258948</v>
      </c>
      <c r="BT10" s="154">
        <v>3</v>
      </c>
      <c r="BU10" s="156" t="s">
        <v>66</v>
      </c>
      <c r="BV10" s="178">
        <v>0.26</v>
      </c>
      <c r="BW10" s="177"/>
      <c r="BX10" s="156"/>
      <c r="CC10" s="156"/>
      <c r="CD10" s="357">
        <f>-($CD$5*$CI$5)</f>
        <v>-0.09394447466326536</v>
      </c>
      <c r="CE10" s="344">
        <f>(($CG$5+0.1)*$CI$5)</f>
        <v>0.250518599102041</v>
      </c>
      <c r="CF10" s="156"/>
      <c r="CG10" s="177">
        <f>CG9/2</f>
        <v>0.11</v>
      </c>
      <c r="CH10" s="156"/>
      <c r="CI10" s="156"/>
      <c r="CJ10" s="156"/>
      <c r="CK10" s="156"/>
      <c r="CL10" s="156"/>
      <c r="CM10" s="156"/>
      <c r="CN10" s="156"/>
      <c r="CO10" s="156"/>
      <c r="CP10" s="156"/>
      <c r="CR10" s="156" t="s">
        <v>97</v>
      </c>
      <c r="CU10" s="357">
        <f>-(CL$11*$CB$5)</f>
        <v>-0.07643563062780401</v>
      </c>
      <c r="CV10" s="344">
        <f>($BY$12*$CB$5)</f>
        <v>0.4</v>
      </c>
      <c r="CW10" s="358">
        <f>-($CD$5*$CB$5)</f>
        <v>-0.0917227567533648</v>
      </c>
      <c r="CX10" s="343">
        <f>($CE$5*$CB$5)</f>
        <v>0.0917227567533648</v>
      </c>
    </row>
    <row r="11" spans="1:102" ht="15.75" customHeight="1">
      <c r="A11" s="26"/>
      <c r="B11" s="38" t="s">
        <v>40</v>
      </c>
      <c r="K11" s="42" t="s">
        <v>3</v>
      </c>
      <c r="L11" s="542">
        <f>IF((0.5*L9)&gt;=1700,1700,IF((0.5*L9)&lt;1700,(0.5*L9)))</f>
        <v>1500</v>
      </c>
      <c r="M11" s="542"/>
      <c r="N11" s="542"/>
      <c r="P11" s="38" t="s">
        <v>47</v>
      </c>
      <c r="U11" s="42" t="s">
        <v>3</v>
      </c>
      <c r="V11" s="612">
        <f>1-(V10/3)</f>
        <v>0.89756273503858</v>
      </c>
      <c r="W11" s="612"/>
      <c r="X11" s="612"/>
      <c r="Y11" s="612"/>
      <c r="Z11" s="60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BH11" s="154" t="str">
        <f>IF($BW$4=1,BU11,IF($BW$4=2,BU18,IF($BW$4=3,"",IF($BW$4=4,"",IF($BW$4=5,BU31)))))</f>
        <v>I-0.30X0.30</v>
      </c>
      <c r="BK11" s="154">
        <v>4</v>
      </c>
      <c r="BL11" s="154">
        <f>IF($BW$4=1,BV11,IF($BW$4=2,BV18,IF($BW$4=3,"",IF($BW$4=4,"",IF($BW$4=5,BV31)))))</f>
        <v>0.3</v>
      </c>
      <c r="BQ11" s="154" t="s">
        <v>136</v>
      </c>
      <c r="BR11" s="369">
        <f>BS11/L23</f>
        <v>3</v>
      </c>
      <c r="BS11" s="184">
        <f>IF(BR10&gt;=BS10,BR10,IF(BR10&lt;BS10,BS10))</f>
        <v>66000</v>
      </c>
      <c r="BT11" s="154">
        <v>4</v>
      </c>
      <c r="BU11" s="156" t="s">
        <v>67</v>
      </c>
      <c r="BV11" s="178">
        <v>0.3</v>
      </c>
      <c r="BW11" s="177"/>
      <c r="BX11" s="156" t="s">
        <v>215</v>
      </c>
      <c r="BY11" s="154">
        <f>BY8+(CL12*2)</f>
        <v>1.1062177826491069</v>
      </c>
      <c r="CC11" s="156"/>
      <c r="CD11" s="357">
        <f>-($CD$5*$CI$5)</f>
        <v>-0.09394447466326536</v>
      </c>
      <c r="CE11" s="344">
        <f>($CG$5*$CI$5)</f>
        <v>0.18788894932653072</v>
      </c>
      <c r="CF11" s="156"/>
      <c r="CG11" s="156"/>
      <c r="CH11" s="156"/>
      <c r="CI11" s="156"/>
      <c r="CJ11" s="156"/>
      <c r="CK11" s="156"/>
      <c r="CL11" s="177">
        <f>CL12/2</f>
        <v>0.125</v>
      </c>
      <c r="CM11" s="156"/>
      <c r="CN11" s="156"/>
      <c r="CO11" s="156"/>
      <c r="CP11" s="156"/>
      <c r="CR11" s="156" t="s">
        <v>98</v>
      </c>
      <c r="CU11" s="357">
        <f>($CL$11*$CB$5)</f>
        <v>0.07643563062780401</v>
      </c>
      <c r="CV11" s="344">
        <f>(BY$12*$CB$5)</f>
        <v>0.4</v>
      </c>
      <c r="CW11" s="358">
        <f>($CD$5*$CB$5)</f>
        <v>0.0917227567533648</v>
      </c>
      <c r="CX11" s="343">
        <f>($CE$5*$CB$5)</f>
        <v>0.0917227567533648</v>
      </c>
    </row>
    <row r="12" spans="1:102" ht="15.75" customHeight="1" thickBot="1">
      <c r="A12" s="26"/>
      <c r="B12" s="38" t="s">
        <v>36</v>
      </c>
      <c r="K12" s="42" t="s">
        <v>3</v>
      </c>
      <c r="L12" s="540">
        <v>173</v>
      </c>
      <c r="M12" s="540"/>
      <c r="N12" s="540"/>
      <c r="O12" s="30"/>
      <c r="P12" s="38" t="s">
        <v>48</v>
      </c>
      <c r="U12" s="42" t="s">
        <v>3</v>
      </c>
      <c r="V12" s="612">
        <f>0.5*L15*V10*V11</f>
        <v>8.947288015647407</v>
      </c>
      <c r="W12" s="612"/>
      <c r="X12" s="612"/>
      <c r="Y12" s="612"/>
      <c r="Z12" s="60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BH12" s="154" t="str">
        <f>IF($BW$4=1,BU12,IF($BW$4=2,BU19,IF($BW$4=3,"",IF($BW$4=4,"",IF($BW$4=5,"")))))</f>
        <v>I-0.35X0.35</v>
      </c>
      <c r="BK12" s="154">
        <v>5</v>
      </c>
      <c r="BL12" s="154">
        <f>IF($BW$4=1,BV12,IF($BW$4=2,BV19,IF($BW$4=3,"",IF($BW$4=4,"",IF($BW$4=5,"")))))</f>
        <v>0.35</v>
      </c>
      <c r="BN12" s="154" t="s">
        <v>148</v>
      </c>
      <c r="BO12" s="154">
        <f>IF(L21&lt;=M32,1,IF(L21&gt;M32,2))</f>
        <v>2</v>
      </c>
      <c r="BQ12" s="154" t="s">
        <v>165</v>
      </c>
      <c r="BR12" s="154">
        <f>IF(AND(BR11&gt;2,BR11&lt;=3),1,2)</f>
        <v>1</v>
      </c>
      <c r="BT12" s="154">
        <v>5</v>
      </c>
      <c r="BU12" s="156" t="s">
        <v>68</v>
      </c>
      <c r="BV12" s="178">
        <v>0.35</v>
      </c>
      <c r="BW12" s="177"/>
      <c r="BX12" s="156" t="s">
        <v>216</v>
      </c>
      <c r="BY12" s="154">
        <f>(BY8-BY9)+CL12</f>
        <v>0.6541451884327378</v>
      </c>
      <c r="CA12" s="154">
        <f>BY8-BY9</f>
        <v>0.40414518843273783</v>
      </c>
      <c r="CC12" s="156"/>
      <c r="CD12" s="357">
        <f>-($BY$14*$CI$5)</f>
        <v>-0.4</v>
      </c>
      <c r="CE12" s="344">
        <f>($CG$5*$CI$5)</f>
        <v>0.18788894932653072</v>
      </c>
      <c r="CF12" s="228"/>
      <c r="CG12" s="228" t="s">
        <v>125</v>
      </c>
      <c r="CH12" s="228"/>
      <c r="CI12" s="228"/>
      <c r="CJ12" s="228" t="s">
        <v>160</v>
      </c>
      <c r="CK12" s="228"/>
      <c r="CL12" s="177">
        <f>VLOOKUP(BK28,CJ13:CK25,2,TRUE)</f>
        <v>0.25</v>
      </c>
      <c r="CM12" s="156"/>
      <c r="CN12" s="156"/>
      <c r="CO12" s="156"/>
      <c r="CP12" s="156"/>
      <c r="CR12" s="228" t="s">
        <v>191</v>
      </c>
      <c r="CU12" s="357">
        <f>($BY$14*$CB$5)</f>
        <v>0.39054029343241703</v>
      </c>
      <c r="CV12" s="344">
        <f>-(BY$9*$CB$5)</f>
        <v>-0.12356436937219605</v>
      </c>
      <c r="CW12" s="358">
        <f>($CD$5*$CB$5)</f>
        <v>0.0917227567533648</v>
      </c>
      <c r="CX12" s="343">
        <f>-($CE$5*$CB$5)</f>
        <v>-0.0917227567533648</v>
      </c>
    </row>
    <row r="13" spans="2:102" ht="15.75" customHeight="1" thickBot="1">
      <c r="B13" s="38" t="s">
        <v>41</v>
      </c>
      <c r="K13" s="42" t="s">
        <v>3</v>
      </c>
      <c r="L13" s="586">
        <v>0.375</v>
      </c>
      <c r="M13" s="586"/>
      <c r="N13" s="586"/>
      <c r="O13" s="30"/>
      <c r="P13" s="30"/>
      <c r="Q13" s="30"/>
      <c r="V13" s="30"/>
      <c r="W13" s="60"/>
      <c r="X13" s="60"/>
      <c r="Y13" s="60"/>
      <c r="Z13" s="60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BH13" s="154" t="str">
        <f>IF($BW$4=1,BU13,IF($BW$4=2,BU20,IF($BW$4=3,"",IF($BW$4=4,"",IF($BW$4=5,"")))))</f>
        <v>I-0.40X0.40</v>
      </c>
      <c r="BK13" s="154">
        <v>6</v>
      </c>
      <c r="BL13" s="154">
        <f>IF($BW$4=1,BV13,IF($BW$4=2,BV20,IF($BW$4=3,"",IF($BW$4=4,"",IF($BW$4=5,"")))))</f>
        <v>0.4</v>
      </c>
      <c r="BN13" s="154" t="s">
        <v>141</v>
      </c>
      <c r="BO13" s="184">
        <f>0.002*(L26*L28*10000)</f>
        <v>8.4</v>
      </c>
      <c r="BQ13" s="154" t="s">
        <v>163</v>
      </c>
      <c r="BR13" s="360">
        <f>IF(BR12=1,(BR10/3),"Found")</f>
        <v>22000</v>
      </c>
      <c r="BS13" s="154">
        <f>IF(CR5=1,BR13,IF(CR5=2,(BR13)))</f>
        <v>22000</v>
      </c>
      <c r="BT13" s="154">
        <v>6</v>
      </c>
      <c r="BU13" s="156" t="s">
        <v>69</v>
      </c>
      <c r="BV13" s="178">
        <v>0.4</v>
      </c>
      <c r="BW13" s="177"/>
      <c r="BX13" s="156" t="s">
        <v>217</v>
      </c>
      <c r="BY13" s="154">
        <f>BY11-BY12</f>
        <v>0.45207259421636903</v>
      </c>
      <c r="CC13" s="156"/>
      <c r="CD13" s="357">
        <f>-($BY$14*$CI$5)</f>
        <v>-0.4</v>
      </c>
      <c r="CE13" s="344">
        <f>-($CG$5*$CI$5)</f>
        <v>-0.18788894932653072</v>
      </c>
      <c r="CF13" s="228"/>
      <c r="CG13" s="353" t="s">
        <v>109</v>
      </c>
      <c r="CH13" s="342" t="s">
        <v>110</v>
      </c>
      <c r="CI13" s="228"/>
      <c r="CJ13" s="361">
        <v>0.15</v>
      </c>
      <c r="CK13" s="354">
        <v>0.15</v>
      </c>
      <c r="CL13" s="156"/>
      <c r="CM13" s="156">
        <f>CG10</f>
        <v>0.11</v>
      </c>
      <c r="CN13" s="156"/>
      <c r="CO13" s="362" t="s">
        <v>123</v>
      </c>
      <c r="CP13" s="156"/>
      <c r="CU13" s="357">
        <f>($BY$15*$CB$5)</f>
        <v>0.3022800295951341</v>
      </c>
      <c r="CV13" s="344">
        <f>-($BY$13*$CB$5)</f>
        <v>-0.2764356306278041</v>
      </c>
      <c r="CW13" s="358">
        <f>-($CD$5*$CB$5)</f>
        <v>-0.0917227567533648</v>
      </c>
      <c r="CX13" s="343">
        <f>-($CE$5*$CB$5)</f>
        <v>-0.0917227567533648</v>
      </c>
    </row>
    <row r="14" spans="2:102" ht="15.75" customHeight="1" thickBot="1">
      <c r="B14" s="38" t="s">
        <v>42</v>
      </c>
      <c r="K14" s="42" t="s">
        <v>3</v>
      </c>
      <c r="L14" s="540">
        <v>2400</v>
      </c>
      <c r="M14" s="540"/>
      <c r="N14" s="540"/>
      <c r="O14" s="30"/>
      <c r="P14" s="30"/>
      <c r="Q14" s="607" t="s">
        <v>133</v>
      </c>
      <c r="R14" s="608"/>
      <c r="S14" s="608"/>
      <c r="T14" s="608"/>
      <c r="U14" s="608"/>
      <c r="V14" s="608"/>
      <c r="W14" s="608"/>
      <c r="X14" s="608"/>
      <c r="Y14" s="608"/>
      <c r="Z14" s="608"/>
      <c r="AA14" s="609"/>
      <c r="AC14" s="593" t="s">
        <v>187</v>
      </c>
      <c r="AD14" s="594"/>
      <c r="AE14" s="594"/>
      <c r="AF14" s="594"/>
      <c r="AG14" s="594"/>
      <c r="AH14" s="595"/>
      <c r="AI14" s="41"/>
      <c r="AJ14" s="41"/>
      <c r="AK14" s="41"/>
      <c r="AL14" s="41"/>
      <c r="AM14" s="41"/>
      <c r="BH14" s="154">
        <f>IF($BW$4=1,"",IF($BW$4=2,BU21,IF($BW$4=3,"",IF($BW$4=4,"",IF($BW$4=5,"")))))</f>
      </c>
      <c r="BK14" s="154">
        <v>7</v>
      </c>
      <c r="BL14" s="154">
        <f>IF($BW$4=1,"",IF($BW$4=2,BV21,IF($BW$4=3,"",IF($BW$4=4,"",IF($BW$4=5,"")))))</f>
      </c>
      <c r="BQ14" s="154" t="s">
        <v>166</v>
      </c>
      <c r="BR14" s="154">
        <f>IF(CR5=1,BR13,IF(CR5=2,(BR13*1000)))</f>
        <v>22000</v>
      </c>
      <c r="BU14" s="156"/>
      <c r="BV14" s="178"/>
      <c r="BW14" s="177"/>
      <c r="BX14" s="156" t="s">
        <v>220</v>
      </c>
      <c r="BY14" s="154">
        <f>BY5+CB9</f>
        <v>0.638675134594813</v>
      </c>
      <c r="CA14" s="154">
        <f>BY14*2</f>
        <v>1.277350269189626</v>
      </c>
      <c r="CC14" s="156"/>
      <c r="CD14" s="357">
        <f>-($CM$16*$CI$5)</f>
        <v>-0.2880963889673471</v>
      </c>
      <c r="CE14" s="344">
        <f>-($CG$5*$CI$5)</f>
        <v>-0.18788894932653072</v>
      </c>
      <c r="CF14" s="362"/>
      <c r="CG14" s="364">
        <f>-($CJ$5*$CI$5)</f>
        <v>-0.1252592995510205</v>
      </c>
      <c r="CH14" s="344">
        <f>(($CG$5+0.1)*$CI$5)</f>
        <v>0.250518599102041</v>
      </c>
      <c r="CI14" s="365"/>
      <c r="CJ14" s="364">
        <v>0.16</v>
      </c>
      <c r="CK14" s="344">
        <v>0.2</v>
      </c>
      <c r="CL14" s="177"/>
      <c r="CM14" s="156">
        <f>BY14</f>
        <v>0.638675134594813</v>
      </c>
      <c r="CN14" s="156"/>
      <c r="CO14" s="366" t="s">
        <v>109</v>
      </c>
      <c r="CP14" s="342" t="s">
        <v>110</v>
      </c>
      <c r="CU14" s="357">
        <f>-($BY$15*$CB$5)</f>
        <v>-0.3022800295951341</v>
      </c>
      <c r="CV14" s="344">
        <f>-(BY$13*$CB$5)</f>
        <v>-0.2764356306278041</v>
      </c>
      <c r="CW14" s="355">
        <f>-($CD$5*$CB$5)</f>
        <v>-0.0917227567533648</v>
      </c>
      <c r="CX14" s="347">
        <f>($CE$5*$CB$5)</f>
        <v>0.0917227567533648</v>
      </c>
    </row>
    <row r="15" spans="2:100" ht="15.75" customHeight="1">
      <c r="B15" s="38" t="s">
        <v>43</v>
      </c>
      <c r="K15" s="42" t="s">
        <v>3</v>
      </c>
      <c r="L15" s="555">
        <f>L13*L12</f>
        <v>64.875</v>
      </c>
      <c r="M15" s="555"/>
      <c r="N15" s="555"/>
      <c r="O15" s="30"/>
      <c r="P15" s="30"/>
      <c r="Q15" s="237"/>
      <c r="R15" s="68"/>
      <c r="S15" s="26"/>
      <c r="T15" s="26"/>
      <c r="U15" s="26"/>
      <c r="V15" s="26"/>
      <c r="W15" s="28"/>
      <c r="X15" s="68"/>
      <c r="Y15" s="68"/>
      <c r="Z15" s="26"/>
      <c r="AA15" s="238"/>
      <c r="AC15" s="62"/>
      <c r="AD15" s="62"/>
      <c r="AE15" s="62"/>
      <c r="AF15" s="62"/>
      <c r="AG15" s="62"/>
      <c r="AH15" s="62"/>
      <c r="AI15" s="41"/>
      <c r="AJ15" s="69"/>
      <c r="AK15" s="41"/>
      <c r="AL15" s="41"/>
      <c r="AM15" s="41"/>
      <c r="BQ15" s="154" t="s">
        <v>167</v>
      </c>
      <c r="BR15" s="154">
        <f>BR14*CB29</f>
        <v>5591.194145520232</v>
      </c>
      <c r="BS15" s="154">
        <f>BR15/1000</f>
        <v>5.591194145520232</v>
      </c>
      <c r="BT15" s="154">
        <v>1</v>
      </c>
      <c r="BU15" s="156" t="s">
        <v>70</v>
      </c>
      <c r="BV15" s="177">
        <v>0.16</v>
      </c>
      <c r="BW15" s="177"/>
      <c r="BX15" s="156" t="s">
        <v>221</v>
      </c>
      <c r="BY15" s="177">
        <f>BY5+CB8</f>
        <v>0.49433756729740647</v>
      </c>
      <c r="BZ15" s="156"/>
      <c r="CA15" s="156"/>
      <c r="CB15" s="156"/>
      <c r="CC15" s="156"/>
      <c r="CD15" s="357">
        <f>-($CM$16*$CI$5)</f>
        <v>-0.2880963889673471</v>
      </c>
      <c r="CE15" s="344">
        <f>-(($CG$5-0.05)*$CI$5)</f>
        <v>-0.1565741244387756</v>
      </c>
      <c r="CF15" s="362"/>
      <c r="CG15" s="357">
        <f>-(0.025*CI5)</f>
        <v>-0.015657412443877562</v>
      </c>
      <c r="CH15" s="344">
        <f>(($CG$5+0.1)*$CI$5)</f>
        <v>0.250518599102041</v>
      </c>
      <c r="CI15" s="365"/>
      <c r="CJ15" s="358">
        <v>0.18</v>
      </c>
      <c r="CK15" s="343">
        <v>0.2</v>
      </c>
      <c r="CL15" s="177"/>
      <c r="CM15" s="352">
        <f>CL12</f>
        <v>0.25</v>
      </c>
      <c r="CN15" s="156"/>
      <c r="CO15" s="368">
        <f>-($CM$16*$CI$5)</f>
        <v>-0.2880963889673471</v>
      </c>
      <c r="CP15" s="344">
        <f>-(($CG$5-0.05)*$CI$5)</f>
        <v>-0.1565741244387756</v>
      </c>
      <c r="CU15" s="357">
        <f>-($BY$14*$CB$5)</f>
        <v>-0.39054029343241703</v>
      </c>
      <c r="CV15" s="344">
        <f>-(BY$9*$CB$5)</f>
        <v>-0.12356436937219605</v>
      </c>
    </row>
    <row r="16" spans="1:100" ht="15.75" customHeight="1" thickBot="1">
      <c r="A16" s="26"/>
      <c r="B16" s="38" t="s">
        <v>37</v>
      </c>
      <c r="K16" s="42" t="s">
        <v>3</v>
      </c>
      <c r="L16" s="542">
        <f>15120*SQRT(L12)</f>
        <v>198872.5501420445</v>
      </c>
      <c r="M16" s="542"/>
      <c r="N16" s="542"/>
      <c r="Q16" s="239"/>
      <c r="R16" s="68"/>
      <c r="S16" s="26"/>
      <c r="T16" s="26"/>
      <c r="U16" s="26"/>
      <c r="V16" s="26"/>
      <c r="W16" s="26"/>
      <c r="X16" s="68"/>
      <c r="Y16" s="68"/>
      <c r="Z16" s="26"/>
      <c r="AA16" s="121"/>
      <c r="AB16" s="21"/>
      <c r="AC16" s="234"/>
      <c r="AD16" s="234"/>
      <c r="AE16" s="234"/>
      <c r="AF16" s="234"/>
      <c r="AG16" s="234"/>
      <c r="AH16" s="234"/>
      <c r="AI16" s="54"/>
      <c r="AJ16" s="54"/>
      <c r="AK16" s="54"/>
      <c r="AL16" s="54"/>
      <c r="AM16" s="54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H16" s="154" t="s">
        <v>86</v>
      </c>
      <c r="BQ16" s="350" t="s">
        <v>168</v>
      </c>
      <c r="BR16" s="369">
        <f>SQRT((BR15/(V12*CE34)))</f>
        <v>26.788254183209975</v>
      </c>
      <c r="BT16" s="154">
        <v>2</v>
      </c>
      <c r="BU16" s="156" t="s">
        <v>71</v>
      </c>
      <c r="BV16" s="177">
        <v>0.18</v>
      </c>
      <c r="BW16" s="177"/>
      <c r="BX16" s="156"/>
      <c r="BY16" s="178"/>
      <c r="CA16" s="156"/>
      <c r="CB16" s="156"/>
      <c r="CC16" s="156"/>
      <c r="CD16" s="357">
        <f>-($CM$17*$CI$5)</f>
        <v>-0.15031115946122459</v>
      </c>
      <c r="CE16" s="344">
        <f>-(($CG$5-0.05)*$CI$5)</f>
        <v>-0.1565741244387756</v>
      </c>
      <c r="CF16" s="362"/>
      <c r="CG16" s="357">
        <f>-(0.025*CI5)</f>
        <v>-0.015657412443877562</v>
      </c>
      <c r="CH16" s="344">
        <f>(($CG$5+0.125)*$CI$5)</f>
        <v>0.2661760115459185</v>
      </c>
      <c r="CI16" s="365"/>
      <c r="CJ16" s="364">
        <v>0.2</v>
      </c>
      <c r="CK16" s="344">
        <v>0.2</v>
      </c>
      <c r="CL16" s="177"/>
      <c r="CM16" s="352">
        <f>(CM14-CB9+CM13)</f>
        <v>0.45999999999999996</v>
      </c>
      <c r="CN16" s="156"/>
      <c r="CO16" s="368">
        <f>-($CM$17*$CI$5)</f>
        <v>-0.15031115946122459</v>
      </c>
      <c r="CP16" s="344">
        <f>-(($CG$5-0.05)*$CI$5)</f>
        <v>-0.1565741244387756</v>
      </c>
      <c r="CR16" s="154" t="s">
        <v>223</v>
      </c>
      <c r="CU16" s="363">
        <f>-(CL$11*$CB$5)</f>
        <v>-0.07643563062780401</v>
      </c>
      <c r="CV16" s="349">
        <f>(BY$12*$CB$5)</f>
        <v>0.4</v>
      </c>
    </row>
    <row r="17" spans="1:98" ht="15.75" customHeight="1" thickBot="1">
      <c r="A17" s="26"/>
      <c r="B17" s="26"/>
      <c r="L17" s="542"/>
      <c r="M17" s="542"/>
      <c r="N17" s="542"/>
      <c r="Q17" s="239"/>
      <c r="R17" s="68"/>
      <c r="S17" s="71"/>
      <c r="T17" s="71"/>
      <c r="U17" s="71"/>
      <c r="V17" s="71"/>
      <c r="W17" s="71"/>
      <c r="X17" s="68"/>
      <c r="Y17" s="68"/>
      <c r="Z17" s="27"/>
      <c r="AA17" s="240"/>
      <c r="AB17" s="30"/>
      <c r="AC17" s="54"/>
      <c r="AD17" s="54"/>
      <c r="AE17" s="54"/>
      <c r="AF17" s="54"/>
      <c r="AG17" s="54"/>
      <c r="AH17" s="54"/>
      <c r="AI17" s="72"/>
      <c r="AJ17" s="72"/>
      <c r="AK17" s="72"/>
      <c r="AL17" s="54"/>
      <c r="AM17" s="54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H17" s="154" t="s">
        <v>87</v>
      </c>
      <c r="BR17" s="154">
        <f>CG4*100</f>
        <v>60</v>
      </c>
      <c r="BT17" s="154">
        <v>3</v>
      </c>
      <c r="BU17" s="156" t="s">
        <v>72</v>
      </c>
      <c r="BV17" s="177">
        <v>0.22</v>
      </c>
      <c r="BW17" s="177"/>
      <c r="BX17" s="156"/>
      <c r="BY17" s="178">
        <f>CA14-(L29*2)</f>
        <v>1.1773502691896258</v>
      </c>
      <c r="BZ17" s="178">
        <f>BY17/2</f>
        <v>0.5886751345948129</v>
      </c>
      <c r="CA17" s="177">
        <f>BZ17-0.025</f>
        <v>0.5636751345948129</v>
      </c>
      <c r="CB17" s="156"/>
      <c r="CC17" s="156"/>
      <c r="CD17" s="357">
        <f>-($CM$17*$CI$5)</f>
        <v>-0.15031115946122459</v>
      </c>
      <c r="CE17" s="344">
        <f>-($CG$5*$CI$5)</f>
        <v>-0.18788894932653072</v>
      </c>
      <c r="CF17" s="156"/>
      <c r="CG17" s="357">
        <f>(0.025*CI5)</f>
        <v>0.015657412443877562</v>
      </c>
      <c r="CH17" s="344">
        <f>(($CG$5+0.1-0.025)*$CI$5)</f>
        <v>0.2348611866581634</v>
      </c>
      <c r="CI17" s="156"/>
      <c r="CJ17" s="364">
        <v>0.22</v>
      </c>
      <c r="CK17" s="344">
        <v>0.25</v>
      </c>
      <c r="CL17" s="156"/>
      <c r="CM17" s="352">
        <f>(CM14-CB9-CM13)</f>
        <v>0.24</v>
      </c>
      <c r="CN17" s="156"/>
      <c r="CO17" s="368">
        <f>-($CM$17*$CI$5)</f>
        <v>-0.15031115946122459</v>
      </c>
      <c r="CP17" s="371">
        <f>-($CH$9*$CI$5)</f>
        <v>-0.3373703502244898</v>
      </c>
      <c r="CR17" s="178" t="s">
        <v>109</v>
      </c>
      <c r="CS17" s="178" t="s">
        <v>110</v>
      </c>
      <c r="CT17" s="401"/>
    </row>
    <row r="18" spans="1:101" ht="15.75" customHeight="1" thickBot="1">
      <c r="A18" s="26"/>
      <c r="B18" s="36" t="s">
        <v>38</v>
      </c>
      <c r="D18" s="26"/>
      <c r="E18" s="26"/>
      <c r="F18" s="26"/>
      <c r="G18" s="26"/>
      <c r="H18" s="26"/>
      <c r="I18" s="26"/>
      <c r="J18" s="22"/>
      <c r="K18" s="27"/>
      <c r="L18" s="542"/>
      <c r="M18" s="542"/>
      <c r="N18" s="542"/>
      <c r="O18" s="26"/>
      <c r="P18" s="26"/>
      <c r="Q18" s="239"/>
      <c r="R18" s="68"/>
      <c r="S18" s="26"/>
      <c r="T18" s="26"/>
      <c r="U18" s="26"/>
      <c r="V18" s="125"/>
      <c r="W18" s="241"/>
      <c r="X18" s="68"/>
      <c r="Y18" s="68"/>
      <c r="Z18" s="26"/>
      <c r="AA18" s="240"/>
      <c r="AB18" s="30"/>
      <c r="AC18" s="54"/>
      <c r="AD18" s="54"/>
      <c r="AE18" s="54"/>
      <c r="AF18" s="54"/>
      <c r="AG18" s="54"/>
      <c r="AH18" s="54"/>
      <c r="AI18" s="72"/>
      <c r="AJ18" s="72"/>
      <c r="AK18" s="72"/>
      <c r="AL18" s="54"/>
      <c r="AM18" s="54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H18" s="154" t="s">
        <v>88</v>
      </c>
      <c r="BR18" s="154">
        <f>IF(BR16&lt;=BR17,1,2)</f>
        <v>1</v>
      </c>
      <c r="BT18" s="154">
        <v>4</v>
      </c>
      <c r="BU18" s="156" t="s">
        <v>73</v>
      </c>
      <c r="BV18" s="177">
        <v>0.26</v>
      </c>
      <c r="BW18" s="177"/>
      <c r="BX18" s="156"/>
      <c r="CA18" s="156"/>
      <c r="CB18" s="156"/>
      <c r="CC18" s="377"/>
      <c r="CD18" s="198">
        <f>-(CM$13*CI$5)</f>
        <v>-0.06889261475306127</v>
      </c>
      <c r="CE18" s="344">
        <f>-($CG$5*$CI$5)</f>
        <v>-0.18788894932653072</v>
      </c>
      <c r="CF18" s="156"/>
      <c r="CG18" s="357">
        <f>(0.025*CI5)</f>
        <v>0.015657412443877562</v>
      </c>
      <c r="CH18" s="344">
        <f>(($CG$5+0.1)*$CI$5)</f>
        <v>0.250518599102041</v>
      </c>
      <c r="CI18" s="156"/>
      <c r="CJ18" s="357">
        <v>0.26</v>
      </c>
      <c r="CK18" s="344">
        <v>0.3</v>
      </c>
      <c r="CL18" s="156"/>
      <c r="CM18" s="352"/>
      <c r="CN18" s="156"/>
      <c r="CO18" s="368">
        <f>-($CM$16*$CI$5)</f>
        <v>-0.2880963889673471</v>
      </c>
      <c r="CP18" s="371">
        <f>-($CH$9*$CI$5)</f>
        <v>-0.3373703502244898</v>
      </c>
      <c r="CR18" s="353">
        <f>$CQ$36*$CB$5</f>
        <v>0.5070098828789257</v>
      </c>
      <c r="CS18" s="354">
        <f>($BY$12*$CB$5)</f>
        <v>0.4</v>
      </c>
      <c r="CT18" s="357">
        <f>($CL$11*$CB$5)</f>
        <v>0.07643563062780401</v>
      </c>
      <c r="CU18" s="354">
        <f>($BY$12*$CB$5)</f>
        <v>0.4</v>
      </c>
      <c r="CV18" s="178" t="s">
        <v>109</v>
      </c>
      <c r="CW18" s="178" t="s">
        <v>110</v>
      </c>
    </row>
    <row r="19" spans="1:102" ht="15.75" customHeight="1" thickBot="1">
      <c r="A19" s="26"/>
      <c r="B19" s="26" t="str">
        <f>IF(CR5=1,CR10,IF(CR5=2,CR7))</f>
        <v>Axial Load , P (kg.)</v>
      </c>
      <c r="D19" s="26"/>
      <c r="E19" s="26"/>
      <c r="F19" s="26"/>
      <c r="G19" s="26"/>
      <c r="H19" s="26"/>
      <c r="I19" s="26"/>
      <c r="J19" s="22"/>
      <c r="K19" s="28" t="s">
        <v>3</v>
      </c>
      <c r="L19" s="540">
        <v>60000</v>
      </c>
      <c r="M19" s="540"/>
      <c r="N19" s="540"/>
      <c r="O19" s="26"/>
      <c r="P19" s="26"/>
      <c r="Q19" s="239"/>
      <c r="R19" s="68"/>
      <c r="S19" s="26"/>
      <c r="T19" s="26"/>
      <c r="U19" s="26"/>
      <c r="V19" s="125"/>
      <c r="W19" s="241"/>
      <c r="X19" s="68"/>
      <c r="Y19" s="68"/>
      <c r="Z19" s="26"/>
      <c r="AA19" s="240"/>
      <c r="AB19" s="30"/>
      <c r="AC19" s="593" t="s">
        <v>82</v>
      </c>
      <c r="AD19" s="594"/>
      <c r="AE19" s="594"/>
      <c r="AF19" s="594"/>
      <c r="AG19" s="594"/>
      <c r="AH19" s="594"/>
      <c r="AI19" s="594"/>
      <c r="AJ19" s="594"/>
      <c r="AK19" s="595"/>
      <c r="AL19" s="54"/>
      <c r="AM19" s="54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H19" s="154" t="s">
        <v>89</v>
      </c>
      <c r="BQ19" s="154" t="s">
        <v>169</v>
      </c>
      <c r="BR19" s="154">
        <f>BR17-(L29*100)</f>
        <v>55</v>
      </c>
      <c r="BT19" s="154">
        <v>5</v>
      </c>
      <c r="BU19" s="156" t="s">
        <v>74</v>
      </c>
      <c r="BV19" s="177">
        <v>0.3</v>
      </c>
      <c r="BW19" s="177"/>
      <c r="BX19" s="156"/>
      <c r="BY19" s="154" t="s">
        <v>126</v>
      </c>
      <c r="CA19" s="156"/>
      <c r="CB19" s="156"/>
      <c r="CC19" s="377"/>
      <c r="CD19" s="198">
        <f>-(CM$13*CI$5)</f>
        <v>-0.06889261475306127</v>
      </c>
      <c r="CE19" s="344">
        <f>-(($CG$5-0.05)*$CI$5)</f>
        <v>-0.1565741244387756</v>
      </c>
      <c r="CF19" s="156"/>
      <c r="CG19" s="373">
        <f>($CJ$5*$CI$5)</f>
        <v>0.1252592995510205</v>
      </c>
      <c r="CH19" s="349">
        <f>(($CG$5+0.1)*$CI$5)</f>
        <v>0.250518599102041</v>
      </c>
      <c r="CI19" s="156"/>
      <c r="CJ19" s="357">
        <v>0.3</v>
      </c>
      <c r="CK19" s="344">
        <v>0.3</v>
      </c>
      <c r="CL19" s="156"/>
      <c r="CM19" s="352">
        <f>CM14-CB9</f>
        <v>0.35</v>
      </c>
      <c r="CN19" s="156"/>
      <c r="CO19" s="370">
        <f>-($CM$16*$CI$5)</f>
        <v>-0.2880963889673471</v>
      </c>
      <c r="CP19" s="349">
        <f>-(($CG$5-0.05)*$CI$5)</f>
        <v>-0.1565741244387756</v>
      </c>
      <c r="CR19" s="355">
        <f>$CQ$37*$CB$5</f>
        <v>0.4152871261255608</v>
      </c>
      <c r="CS19" s="349">
        <f>($BY$12*$CB$5)</f>
        <v>0.4</v>
      </c>
      <c r="CT19" s="355">
        <f>$CQ$37*$CB$5</f>
        <v>0.4152871261255608</v>
      </c>
      <c r="CU19" s="348">
        <f>($BY$12*$CB$5)</f>
        <v>0.4</v>
      </c>
      <c r="CV19" s="353">
        <f>$CQ$38*$CB$5</f>
        <v>0.46114850450224326</v>
      </c>
      <c r="CW19" s="354">
        <f>-(($BY$13+0.075)*$CB$5)</f>
        <v>-0.32229700900448643</v>
      </c>
      <c r="CX19" s="156"/>
    </row>
    <row r="20" spans="1:102" ht="15.75" customHeight="1" thickBot="1">
      <c r="A20" s="26"/>
      <c r="B20" s="26" t="s">
        <v>143</v>
      </c>
      <c r="D20" s="26"/>
      <c r="E20" s="26"/>
      <c r="F20" s="26"/>
      <c r="G20" s="26"/>
      <c r="H20" s="26"/>
      <c r="I20" s="26"/>
      <c r="J20" s="22"/>
      <c r="K20" s="28" t="s">
        <v>3</v>
      </c>
      <c r="L20" s="542">
        <f>L19*0.1</f>
        <v>6000</v>
      </c>
      <c r="M20" s="542"/>
      <c r="N20" s="542"/>
      <c r="O20" s="26"/>
      <c r="P20" s="26"/>
      <c r="Q20" s="239"/>
      <c r="R20" s="68"/>
      <c r="S20" s="26"/>
      <c r="T20" s="26"/>
      <c r="U20" s="26"/>
      <c r="V20" s="125"/>
      <c r="W20" s="241"/>
      <c r="X20" s="68"/>
      <c r="Y20" s="68"/>
      <c r="Z20" s="26"/>
      <c r="AA20" s="240"/>
      <c r="AB20" s="30"/>
      <c r="AC20" s="62"/>
      <c r="AD20" s="62"/>
      <c r="AE20" s="62"/>
      <c r="AF20" s="62"/>
      <c r="AG20" s="62"/>
      <c r="AH20" s="62"/>
      <c r="AI20" s="62"/>
      <c r="AJ20" s="62"/>
      <c r="AK20" s="62"/>
      <c r="AL20" s="54"/>
      <c r="AM20" s="54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H20" s="154" t="s">
        <v>85</v>
      </c>
      <c r="BQ20" s="350" t="s">
        <v>170</v>
      </c>
      <c r="BT20" s="154">
        <v>6</v>
      </c>
      <c r="BU20" s="156" t="s">
        <v>75</v>
      </c>
      <c r="BV20" s="177">
        <v>0.35</v>
      </c>
      <c r="BW20" s="177"/>
      <c r="BX20" s="156"/>
      <c r="BY20" s="353" t="s">
        <v>109</v>
      </c>
      <c r="BZ20" s="342" t="s">
        <v>110</v>
      </c>
      <c r="CA20" s="156"/>
      <c r="CB20" s="400">
        <f>BY11+CL12</f>
        <v>1.3562177826491069</v>
      </c>
      <c r="CC20" s="377"/>
      <c r="CD20" s="198">
        <f>(CM$13*CI$5)</f>
        <v>0.06889261475306127</v>
      </c>
      <c r="CE20" s="344">
        <f>-(($CG$5-0.05)*$CI$5)</f>
        <v>-0.1565741244387756</v>
      </c>
      <c r="CF20" s="156"/>
      <c r="CG20" s="204"/>
      <c r="CH20" s="204"/>
      <c r="CI20" s="156"/>
      <c r="CJ20" s="357">
        <v>0.35</v>
      </c>
      <c r="CK20" s="344">
        <v>0.35</v>
      </c>
      <c r="CL20" s="156"/>
      <c r="CM20" s="352"/>
      <c r="CN20" s="156"/>
      <c r="CO20" s="402"/>
      <c r="CP20" s="177"/>
      <c r="CR20" s="178"/>
      <c r="CS20" s="372"/>
      <c r="CV20" s="358">
        <f aca="true" t="shared" si="0" ref="CV20:CV29">$CQ$38*$CB$5</f>
        <v>0.46114850450224326</v>
      </c>
      <c r="CW20" s="344">
        <f>-($BY$13*$CB$5)</f>
        <v>-0.2764356306278041</v>
      </c>
      <c r="CX20" s="156"/>
    </row>
    <row r="21" spans="1:102" ht="15.75" customHeight="1">
      <c r="A21" s="26"/>
      <c r="B21" s="26" t="str">
        <f>IF(CR5=1,CR11,IF(CR5=2,CR8))</f>
        <v>Total Service Load , Pt(kg.)</v>
      </c>
      <c r="D21" s="26"/>
      <c r="E21" s="26"/>
      <c r="F21" s="26"/>
      <c r="G21" s="26"/>
      <c r="H21" s="26"/>
      <c r="I21" s="26"/>
      <c r="J21" s="22"/>
      <c r="K21" s="28" t="s">
        <v>3</v>
      </c>
      <c r="L21" s="542">
        <f>SUM(L19:N20)</f>
        <v>66000</v>
      </c>
      <c r="M21" s="542"/>
      <c r="N21" s="542"/>
      <c r="O21" s="26"/>
      <c r="P21" s="26"/>
      <c r="Q21" s="239"/>
      <c r="R21" s="68"/>
      <c r="S21" s="26"/>
      <c r="T21" s="26"/>
      <c r="U21" s="26"/>
      <c r="V21" s="125"/>
      <c r="W21" s="241"/>
      <c r="X21" s="68"/>
      <c r="Y21" s="68"/>
      <c r="Z21" s="26"/>
      <c r="AA21" s="240"/>
      <c r="AB21" s="30"/>
      <c r="AC21" s="62"/>
      <c r="AD21" s="62"/>
      <c r="AE21" s="62"/>
      <c r="AF21" s="62"/>
      <c r="AG21" s="62"/>
      <c r="AH21" s="62"/>
      <c r="AI21" s="62"/>
      <c r="AJ21" s="62"/>
      <c r="AK21" s="62"/>
      <c r="AL21" s="54"/>
      <c r="AM21" s="54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M21" s="178" t="str">
        <f>VLOOKUP($BL$37,$BK$39:$BN$45,2,TRUE)</f>
        <v>DB12</v>
      </c>
      <c r="BO21" s="154" t="str">
        <f>CH22&amp;"-"&amp;BM21</f>
        <v>7-DB12</v>
      </c>
      <c r="BQ21" s="154" t="s">
        <v>171</v>
      </c>
      <c r="BR21" s="178">
        <f>((BR19/100))+CE5</f>
        <v>0.7000000000000001</v>
      </c>
      <c r="BT21" s="154">
        <v>7</v>
      </c>
      <c r="BU21" s="156" t="s">
        <v>76</v>
      </c>
      <c r="BV21" s="177">
        <v>0.4</v>
      </c>
      <c r="BW21" s="177"/>
      <c r="BX21" s="156"/>
      <c r="BY21" s="358">
        <f>-(($BZ$17-L29)*$CI$5)</f>
        <v>-0.3373703502244897</v>
      </c>
      <c r="BZ21" s="344">
        <f>(($CG$5-L29)*$CI$5)</f>
        <v>0.1565741244387756</v>
      </c>
      <c r="CA21" s="156"/>
      <c r="CB21" s="156">
        <f>CB20/TAN(RADIANS(60))</f>
        <v>0.7830127018922195</v>
      </c>
      <c r="CC21" s="377"/>
      <c r="CD21" s="198">
        <f>(CM$13*CI$5)</f>
        <v>0.06889261475306127</v>
      </c>
      <c r="CE21" s="344">
        <f>-($CG$5*$CI$5)</f>
        <v>-0.18788894932653072</v>
      </c>
      <c r="CF21" s="156"/>
      <c r="CG21" s="177">
        <v>7</v>
      </c>
      <c r="CH21" s="177">
        <f>CG21+1</f>
        <v>8</v>
      </c>
      <c r="CI21" s="156"/>
      <c r="CJ21" s="357">
        <v>0.4</v>
      </c>
      <c r="CK21" s="344">
        <v>0.4</v>
      </c>
      <c r="CL21" s="156"/>
      <c r="CM21" s="352">
        <f>CM14-CB9+CM24</f>
        <v>0.40499999999999997</v>
      </c>
      <c r="CN21" s="156"/>
      <c r="CO21" s="403" t="s">
        <v>109</v>
      </c>
      <c r="CP21" s="342" t="s">
        <v>110</v>
      </c>
      <c r="CR21" s="353">
        <f>$CQ$36*$CB$5</f>
        <v>0.5070098828789257</v>
      </c>
      <c r="CS21" s="342">
        <f>$CA$12*$CB$5</f>
        <v>0.24712873874439198</v>
      </c>
      <c r="CT21" s="353">
        <v>0</v>
      </c>
      <c r="CU21" s="341">
        <f>$CA$12*$CB$5</f>
        <v>0.24712873874439198</v>
      </c>
      <c r="CV21" s="358">
        <f t="shared" si="0"/>
        <v>0.46114850450224326</v>
      </c>
      <c r="CW21" s="374">
        <f>-($CX$21*$CB$5)</f>
        <v>-0.20000000000000007</v>
      </c>
      <c r="CX21" s="345">
        <f>BY13-((BY13-BY9)/2)</f>
        <v>0.32707259421636903</v>
      </c>
    </row>
    <row r="22" spans="1:101" ht="15.75" customHeight="1" thickBot="1">
      <c r="A22" s="27"/>
      <c r="B22" s="27" t="str">
        <f>IF(AND(BW4&gt;=1,BW4&lt;=4),BJ31,IF(BW4&gt;4,BJ32))</f>
        <v>Use Driven Pile</v>
      </c>
      <c r="C22" s="26"/>
      <c r="D22" s="26"/>
      <c r="E22" s="26"/>
      <c r="F22" s="26" t="str">
        <f>"3 "&amp;BH28&amp;"X"&amp;BH29&amp;" m."</f>
        <v>3 I-0.22X0.22X21 m.</v>
      </c>
      <c r="G22" s="26"/>
      <c r="H22" s="26"/>
      <c r="I22" s="26"/>
      <c r="J22" s="27"/>
      <c r="K22" s="28"/>
      <c r="L22" s="514"/>
      <c r="M22" s="514"/>
      <c r="N22" s="514"/>
      <c r="O22" s="26"/>
      <c r="Q22" s="239"/>
      <c r="R22" s="68"/>
      <c r="S22" s="26"/>
      <c r="T22" s="26"/>
      <c r="U22" s="26"/>
      <c r="V22" s="26"/>
      <c r="W22" s="26"/>
      <c r="X22" s="68"/>
      <c r="Y22" s="68"/>
      <c r="Z22" s="26"/>
      <c r="AA22" s="238"/>
      <c r="AC22" s="41"/>
      <c r="AD22" s="41"/>
      <c r="AE22" s="41"/>
      <c r="AF22" s="41"/>
      <c r="AG22" s="41"/>
      <c r="AH22" s="54"/>
      <c r="AI22" s="54"/>
      <c r="AJ22" s="54"/>
      <c r="AK22" s="54"/>
      <c r="AL22" s="54"/>
      <c r="AM22" s="54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G22" s="154">
        <v>1</v>
      </c>
      <c r="BH22" s="154" t="str">
        <f>VLOOKUP(BU$4,BT8:BW13,2,TRUE)</f>
        <v>I-0.22X0.22</v>
      </c>
      <c r="BM22" s="178">
        <f>VLOOKUP($BL$37,$BK$39:$BN$45,3,TRUE)</f>
        <v>1.2</v>
      </c>
      <c r="BQ22" s="154" t="s">
        <v>172</v>
      </c>
      <c r="BR22" s="404">
        <f>CB28</f>
        <v>0.40414518843273783</v>
      </c>
      <c r="BU22" s="156"/>
      <c r="BV22" s="177"/>
      <c r="BW22" s="177"/>
      <c r="BX22" s="156"/>
      <c r="BY22" s="358">
        <f>-(($BZ$17)*$CI$5)</f>
        <v>-0.36868517511224486</v>
      </c>
      <c r="BZ22" s="344">
        <f>(($CG$5-L29)*$CI$5)</f>
        <v>0.1565741244387756</v>
      </c>
      <c r="CA22" s="156" t="s">
        <v>228</v>
      </c>
      <c r="CB22" s="156">
        <f>0.5*(CB20*(CB21*2))</f>
        <v>1.061935750346352</v>
      </c>
      <c r="CC22" s="156"/>
      <c r="CD22" s="357">
        <f>($CM$17*$CI$5)</f>
        <v>0.15031115946122459</v>
      </c>
      <c r="CE22" s="344">
        <f>-($CG$5*$CI$5)</f>
        <v>-0.18788894932653072</v>
      </c>
      <c r="CF22" s="156"/>
      <c r="CG22" s="197">
        <v>6</v>
      </c>
      <c r="CH22" s="177">
        <f>CG22+1</f>
        <v>7</v>
      </c>
      <c r="CI22" s="156"/>
      <c r="CJ22" s="357">
        <v>0.5</v>
      </c>
      <c r="CK22" s="344">
        <v>0.5</v>
      </c>
      <c r="CL22" s="156"/>
      <c r="CM22" s="352">
        <f>CM14-CB9-CM24</f>
        <v>0.295</v>
      </c>
      <c r="CN22" s="156"/>
      <c r="CO22" s="368">
        <f>($CM$16*$CI$5)</f>
        <v>0.2880963889673471</v>
      </c>
      <c r="CP22" s="344">
        <f>-(($CG$5-0.05)*$CI$5)</f>
        <v>-0.1565741244387756</v>
      </c>
      <c r="CR22" s="355">
        <f>$CQ$37*$CB$5</f>
        <v>0.4152871261255608</v>
      </c>
      <c r="CS22" s="347">
        <f>$CA$12*$CB$5</f>
        <v>0.24712873874439198</v>
      </c>
      <c r="CT22" s="355">
        <f>$CQ$37*$CB$5</f>
        <v>0.4152871261255608</v>
      </c>
      <c r="CU22" s="346">
        <f>$CA$12*$CB$5</f>
        <v>0.24712873874439198</v>
      </c>
      <c r="CV22" s="358">
        <f t="shared" si="0"/>
        <v>0.46114850450224326</v>
      </c>
      <c r="CW22" s="397">
        <f>-($BY$9*$CB$5)</f>
        <v>-0.12356436937219605</v>
      </c>
    </row>
    <row r="23" spans="1:102" ht="15.75" customHeight="1" thickBot="1">
      <c r="A23" s="27"/>
      <c r="B23" s="27" t="str">
        <f>IF(CR5=1,CR12,IF(CR5=2,CR9))</f>
        <v>Pile Safe Load , (kg./Pile)</v>
      </c>
      <c r="F23" s="42"/>
      <c r="G23" s="42"/>
      <c r="H23" s="42"/>
      <c r="J23" s="42"/>
      <c r="K23" s="28" t="s">
        <v>3</v>
      </c>
      <c r="L23" s="584">
        <v>22000</v>
      </c>
      <c r="M23" s="584"/>
      <c r="N23" s="584"/>
      <c r="O23" s="27"/>
      <c r="Q23" s="239"/>
      <c r="R23" s="26"/>
      <c r="S23" s="75"/>
      <c r="T23" s="75"/>
      <c r="U23" s="75"/>
      <c r="V23" s="75"/>
      <c r="W23" s="75"/>
      <c r="X23" s="26"/>
      <c r="Y23" s="26"/>
      <c r="Z23" s="26"/>
      <c r="AA23" s="238"/>
      <c r="AC23" s="630" t="s">
        <v>99</v>
      </c>
      <c r="AD23" s="631"/>
      <c r="AE23" s="631"/>
      <c r="AF23" s="631"/>
      <c r="AG23" s="631"/>
      <c r="AH23" s="96"/>
      <c r="AI23" s="97"/>
      <c r="AJ23" s="97"/>
      <c r="AK23" s="97"/>
      <c r="AL23" s="41"/>
      <c r="AM23" s="41"/>
      <c r="AZ23" s="26"/>
      <c r="BA23" s="26"/>
      <c r="BB23" s="26"/>
      <c r="BG23" s="154">
        <v>2</v>
      </c>
      <c r="BH23" s="154" t="str">
        <f>VLOOKUP(BU$4,BT15:BW21,2,TRUE)</f>
        <v>S-0.18X0.18</v>
      </c>
      <c r="BM23" s="198">
        <f>VLOOKUP($BL$37,$BK$39:$BN$45,4,TRUE)</f>
        <v>1.1309733552923256</v>
      </c>
      <c r="BO23" s="199">
        <f>CH22*BM23</f>
        <v>7.916813487046279</v>
      </c>
      <c r="BQ23" s="154" t="s">
        <v>173</v>
      </c>
      <c r="BR23" s="178">
        <f>BR21-BR22</f>
        <v>0.29585481156726223</v>
      </c>
      <c r="BS23" s="154">
        <f>BR23*100</f>
        <v>29.585481156726225</v>
      </c>
      <c r="BT23" s="154">
        <v>1</v>
      </c>
      <c r="BU23" s="156" t="s">
        <v>79</v>
      </c>
      <c r="BV23" s="177">
        <v>0.4</v>
      </c>
      <c r="BW23" s="177"/>
      <c r="BX23" s="156"/>
      <c r="BY23" s="358">
        <f>-(($BZ$17)*$CI$5)</f>
        <v>-0.36868517511224486</v>
      </c>
      <c r="BZ23" s="344">
        <f>-(($CG$5-0.075)*$CI$5)</f>
        <v>-0.14091671199489803</v>
      </c>
      <c r="CA23" s="156"/>
      <c r="CB23" s="156"/>
      <c r="CC23" s="156"/>
      <c r="CD23" s="357">
        <f>($CM$17*$CI$5)</f>
        <v>0.15031115946122459</v>
      </c>
      <c r="CE23" s="344">
        <f>-(($CG$5-0.05)*$CI$5)</f>
        <v>-0.1565741244387756</v>
      </c>
      <c r="CF23" s="156"/>
      <c r="CG23" s="351" t="s">
        <v>129</v>
      </c>
      <c r="CH23" s="177"/>
      <c r="CI23" s="156"/>
      <c r="CJ23" s="368">
        <v>0.525</v>
      </c>
      <c r="CK23" s="374">
        <v>0.525</v>
      </c>
      <c r="CL23" s="156"/>
      <c r="CM23" s="352"/>
      <c r="CN23" s="156"/>
      <c r="CO23" s="368">
        <f>($CM$17*$CI$5)</f>
        <v>0.15031115946122459</v>
      </c>
      <c r="CP23" s="344">
        <f>-(($CG$5-0.05)*$CI$5)</f>
        <v>-0.1565741244387756</v>
      </c>
      <c r="CR23" s="178"/>
      <c r="CS23" s="178"/>
      <c r="CV23" s="358">
        <f t="shared" si="0"/>
        <v>0.46114850450224326</v>
      </c>
      <c r="CW23" s="397">
        <f>-($CX$23*$CB$5)</f>
        <v>-0.06178218468609802</v>
      </c>
      <c r="CX23" s="154">
        <f>BY9/2</f>
        <v>0.1010362971081845</v>
      </c>
    </row>
    <row r="24" spans="1:101" ht="15.75" customHeight="1" thickBot="1">
      <c r="A24" s="27"/>
      <c r="B24" s="38" t="str">
        <f>IF(BV4=1,BN34,IF(BV4=2,BN37))</f>
        <v>Width of Column , Wc (m.)</v>
      </c>
      <c r="K24" s="28" t="s">
        <v>3</v>
      </c>
      <c r="L24" s="588">
        <v>0.3</v>
      </c>
      <c r="M24" s="588"/>
      <c r="N24" s="588"/>
      <c r="O24" s="27"/>
      <c r="Q24" s="239"/>
      <c r="R24" s="26"/>
      <c r="S24" s="27"/>
      <c r="T24" s="27"/>
      <c r="U24" s="27"/>
      <c r="V24" s="27"/>
      <c r="W24" s="27"/>
      <c r="X24" s="26"/>
      <c r="Y24" s="26"/>
      <c r="Z24" s="26"/>
      <c r="AA24" s="238"/>
      <c r="AC24" s="590">
        <v>21</v>
      </c>
      <c r="AD24" s="591"/>
      <c r="AE24" s="591"/>
      <c r="AF24" s="591"/>
      <c r="AG24" s="592"/>
      <c r="AH24" s="54" t="s">
        <v>39</v>
      </c>
      <c r="AI24" s="54"/>
      <c r="AJ24" s="54"/>
      <c r="AK24" s="54"/>
      <c r="AL24" s="54"/>
      <c r="AM24" s="54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G24" s="154">
        <v>3</v>
      </c>
      <c r="BH24" s="154" t="str">
        <f>VLOOKUP(BU$4,BT23:BW24,2,TRUE)</f>
        <v>SO-0.525X0.525</v>
      </c>
      <c r="BM24" s="198">
        <f>VLOOKUP(BL37,BK39:BO45,5,TRUE)</f>
        <v>3.7699111843077517</v>
      </c>
      <c r="BO24" s="375">
        <f>BM24*CH22</f>
        <v>26.389378290154262</v>
      </c>
      <c r="BQ24" s="154" t="s">
        <v>176</v>
      </c>
      <c r="BR24" s="178">
        <f>IF(BR23&gt;0,1,IF(BR23=0,2,IF(BR23&lt;0,3)))</f>
        <v>1</v>
      </c>
      <c r="BT24" s="154">
        <v>2</v>
      </c>
      <c r="BU24" s="156" t="s">
        <v>80</v>
      </c>
      <c r="BV24" s="177">
        <v>0.525</v>
      </c>
      <c r="BW24" s="177"/>
      <c r="BX24" s="156"/>
      <c r="BY24" s="358">
        <f>(($BZ$17)*$CI$5)</f>
        <v>0.36868517511224486</v>
      </c>
      <c r="BZ24" s="344">
        <f>-(($CG$5-0.075)*$CI$5)</f>
        <v>-0.14091671199489803</v>
      </c>
      <c r="CA24" s="156" t="s">
        <v>229</v>
      </c>
      <c r="CB24" s="156">
        <f>0.5*(CL12*(CB8*2))</f>
        <v>0.03608439182435162</v>
      </c>
      <c r="CC24" s="156"/>
      <c r="CD24" s="357">
        <f>($CM$16*$CI$5)</f>
        <v>0.2880963889673471</v>
      </c>
      <c r="CE24" s="344">
        <f>-(($CG$5-0.05)*$CI$5)</f>
        <v>-0.1565741244387756</v>
      </c>
      <c r="CF24" s="156"/>
      <c r="CG24" s="177">
        <v>2</v>
      </c>
      <c r="CH24" s="376"/>
      <c r="CI24" s="156"/>
      <c r="CJ24" s="357">
        <v>0.6</v>
      </c>
      <c r="CK24" s="344">
        <v>0.6</v>
      </c>
      <c r="CL24" s="156"/>
      <c r="CM24" s="352">
        <f>CM13/2</f>
        <v>0.055</v>
      </c>
      <c r="CN24" s="156"/>
      <c r="CO24" s="368">
        <f>($CM$17*$CI$5)</f>
        <v>0.15031115946122459</v>
      </c>
      <c r="CP24" s="371">
        <f>-($CH$9*$CI$5)</f>
        <v>-0.3373703502244898</v>
      </c>
      <c r="CR24" s="353">
        <f>$CQ$36*$CB$5</f>
        <v>0.5070098828789257</v>
      </c>
      <c r="CS24" s="342">
        <v>0</v>
      </c>
      <c r="CV24" s="358">
        <f t="shared" si="0"/>
        <v>0.46114850450224326</v>
      </c>
      <c r="CW24" s="343">
        <v>0</v>
      </c>
    </row>
    <row r="25" spans="1:102" ht="15.75" customHeight="1" thickBot="1">
      <c r="A25" s="27"/>
      <c r="B25" s="38" t="str">
        <f>IF(BV4=1,BN35,IF(BV4=2,""))</f>
        <v>Long of Column , Lc (m.)</v>
      </c>
      <c r="K25" s="28" t="s">
        <v>3</v>
      </c>
      <c r="L25" s="588">
        <v>0.3</v>
      </c>
      <c r="M25" s="588"/>
      <c r="N25" s="588"/>
      <c r="O25" s="27"/>
      <c r="Q25" s="239"/>
      <c r="R25" s="26"/>
      <c r="S25" s="26"/>
      <c r="T25" s="26"/>
      <c r="U25" s="26"/>
      <c r="V25" s="26"/>
      <c r="W25" s="26"/>
      <c r="X25" s="26"/>
      <c r="Y25" s="26"/>
      <c r="Z25" s="26"/>
      <c r="AA25" s="238"/>
      <c r="AC25" s="593" t="s">
        <v>118</v>
      </c>
      <c r="AD25" s="594"/>
      <c r="AE25" s="594"/>
      <c r="AF25" s="594"/>
      <c r="AG25" s="594"/>
      <c r="AH25" s="594"/>
      <c r="AI25" s="594"/>
      <c r="AJ25" s="594"/>
      <c r="AK25" s="595"/>
      <c r="AL25" s="54"/>
      <c r="AM25" s="54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G25" s="154">
        <v>4</v>
      </c>
      <c r="BH25" s="154" t="str">
        <f>VLOOKUP(BU$4,BT26:BW26,2,TRUE)</f>
        <v>Hp-0.15X0.15</v>
      </c>
      <c r="BQ25" s="154" t="s">
        <v>178</v>
      </c>
      <c r="BR25" s="178">
        <f>IF(BR24=1,-BR23,IF(BR24=2,0,IF(BR24=3,ABS(BR23))))</f>
        <v>-0.29585481156726223</v>
      </c>
      <c r="BV25" s="177"/>
      <c r="BW25" s="177"/>
      <c r="BX25" s="156"/>
      <c r="BY25" s="358">
        <f>(($BZ$17)*$CI$5)</f>
        <v>0.36868517511224486</v>
      </c>
      <c r="BZ25" s="344">
        <f>(($CG$5-L29)*$CI$5)</f>
        <v>0.1565741244387756</v>
      </c>
      <c r="CA25" s="156" t="s">
        <v>230</v>
      </c>
      <c r="CB25" s="156">
        <f>CB22-(CB24*3)</f>
        <v>0.9536825748732971</v>
      </c>
      <c r="CC25" s="156"/>
      <c r="CD25" s="357">
        <f>($CM$16*$CI$5)</f>
        <v>0.2880963889673471</v>
      </c>
      <c r="CE25" s="344">
        <f>-($CG$5*$CI$5)</f>
        <v>-0.18788894932653072</v>
      </c>
      <c r="CF25" s="156"/>
      <c r="CG25" s="177">
        <v>3</v>
      </c>
      <c r="CH25" s="177"/>
      <c r="CI25" s="156"/>
      <c r="CJ25" s="363">
        <v>0.8</v>
      </c>
      <c r="CK25" s="349">
        <v>0.8</v>
      </c>
      <c r="CL25" s="156"/>
      <c r="CM25" s="352"/>
      <c r="CN25" s="156"/>
      <c r="CO25" s="368">
        <f>($CM$16*$CI$5)</f>
        <v>0.2880963889673471</v>
      </c>
      <c r="CP25" s="371">
        <f>-($CH$9*$CI$5)</f>
        <v>-0.3373703502244898</v>
      </c>
      <c r="CR25" s="355">
        <f>$CQ$37*$CB$5</f>
        <v>0.4152871261255608</v>
      </c>
      <c r="CS25" s="347">
        <v>0</v>
      </c>
      <c r="CV25" s="358">
        <f t="shared" si="0"/>
        <v>0.46114850450224326</v>
      </c>
      <c r="CW25" s="397">
        <f>$CX$25*$CB$5</f>
        <v>0.12356436937219599</v>
      </c>
      <c r="CX25" s="154">
        <f>CA12/2</f>
        <v>0.20207259421636892</v>
      </c>
    </row>
    <row r="26" spans="1:102" ht="15.75" customHeight="1" thickBot="1">
      <c r="A26" s="27"/>
      <c r="B26" s="26" t="s">
        <v>225</v>
      </c>
      <c r="C26" s="30"/>
      <c r="D26" s="30"/>
      <c r="E26" s="30"/>
      <c r="F26" s="30"/>
      <c r="G26" s="30"/>
      <c r="H26" s="30"/>
      <c r="I26" s="30"/>
      <c r="J26" s="30"/>
      <c r="K26" s="28" t="s">
        <v>3</v>
      </c>
      <c r="L26" s="588">
        <v>0.7</v>
      </c>
      <c r="M26" s="588"/>
      <c r="N26" s="588"/>
      <c r="O26" s="27"/>
      <c r="Q26" s="239"/>
      <c r="R26" s="26"/>
      <c r="S26" s="26"/>
      <c r="T26" s="26"/>
      <c r="U26" s="27"/>
      <c r="V26" s="242"/>
      <c r="W26" s="242"/>
      <c r="X26" s="242"/>
      <c r="Y26" s="242"/>
      <c r="Z26" s="26"/>
      <c r="AA26" s="238"/>
      <c r="AC26" s="62"/>
      <c r="AD26" s="62"/>
      <c r="AE26" s="62"/>
      <c r="AF26" s="62"/>
      <c r="AG26" s="62"/>
      <c r="AH26" s="62"/>
      <c r="AI26" s="62"/>
      <c r="AJ26" s="62"/>
      <c r="AK26" s="62"/>
      <c r="AL26" s="54"/>
      <c r="AM26" s="54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G26" s="154">
        <v>5</v>
      </c>
      <c r="BH26" s="154" t="str">
        <f>VLOOKUP(BU$4,BT28:BW31,2,TRUE)</f>
        <v>DIA.-0.50</v>
      </c>
      <c r="BM26" s="198" t="str">
        <f>VLOOKUP(BK37,BK39:BO45,2,TRUE)</f>
        <v>RB9</v>
      </c>
      <c r="BO26" s="154" t="str">
        <f>CH21&amp;"-"&amp;BM26</f>
        <v>8-RB9</v>
      </c>
      <c r="BQ26" s="154" t="s">
        <v>179</v>
      </c>
      <c r="BR26" s="178">
        <f>(BR14/30)*((BR25*100)+15)</f>
        <v>-10696.019514932565</v>
      </c>
      <c r="BT26" s="154">
        <v>1</v>
      </c>
      <c r="BU26" s="156" t="s">
        <v>81</v>
      </c>
      <c r="BV26" s="177">
        <v>0.15</v>
      </c>
      <c r="BW26" s="177"/>
      <c r="BX26" s="156"/>
      <c r="BY26" s="355">
        <f>(($BZ$17-L29)*$CI$5)</f>
        <v>0.3373703502244897</v>
      </c>
      <c r="BZ26" s="349">
        <f>(($CG$5-L29)*$CI$5)</f>
        <v>0.1565741244387756</v>
      </c>
      <c r="CA26" s="156"/>
      <c r="CB26" s="156"/>
      <c r="CC26" s="156"/>
      <c r="CD26" s="357">
        <f>($BY$14*$CI$5)</f>
        <v>0.4</v>
      </c>
      <c r="CE26" s="344">
        <f>-($CG$5*$CI$5)</f>
        <v>-0.18788894932653072</v>
      </c>
      <c r="CF26" s="156"/>
      <c r="CG26" s="177">
        <v>4</v>
      </c>
      <c r="CH26" s="177"/>
      <c r="CI26" s="156"/>
      <c r="CL26" s="156"/>
      <c r="CM26" s="352">
        <f>(-BY$9)+CM$24</f>
        <v>-0.147072594216369</v>
      </c>
      <c r="CN26" s="156"/>
      <c r="CO26" s="370">
        <f>($CM$16*$CI$5)</f>
        <v>0.2880963889673471</v>
      </c>
      <c r="CP26" s="349">
        <f>-(($CG$5-0.05)*$CI$5)</f>
        <v>-0.1565741244387756</v>
      </c>
      <c r="CR26" s="178"/>
      <c r="CS26" s="372"/>
      <c r="CV26" s="358">
        <f t="shared" si="0"/>
        <v>0.46114850450224326</v>
      </c>
      <c r="CW26" s="405">
        <f>$CA$12*$CB$5</f>
        <v>0.24712873874439198</v>
      </c>
      <c r="CX26" s="156"/>
    </row>
    <row r="27" spans="1:102" ht="15.75" customHeight="1" thickBot="1">
      <c r="A27" s="27"/>
      <c r="B27" s="30" t="s">
        <v>226</v>
      </c>
      <c r="C27" s="30"/>
      <c r="D27" s="30"/>
      <c r="E27" s="30"/>
      <c r="F27" s="30"/>
      <c r="G27" s="30"/>
      <c r="H27" s="30"/>
      <c r="I27" s="30"/>
      <c r="J27" s="30"/>
      <c r="K27" s="28" t="s">
        <v>3</v>
      </c>
      <c r="L27" s="546">
        <f>CL12</f>
        <v>0.25</v>
      </c>
      <c r="M27" s="546"/>
      <c r="N27" s="546"/>
      <c r="O27" s="27"/>
      <c r="Q27" s="237"/>
      <c r="R27" s="27"/>
      <c r="S27" s="27"/>
      <c r="T27" s="27"/>
      <c r="U27" s="27"/>
      <c r="V27" s="242"/>
      <c r="W27" s="242"/>
      <c r="X27" s="242"/>
      <c r="Y27" s="242"/>
      <c r="Z27" s="26"/>
      <c r="AA27" s="238"/>
      <c r="AC27" s="62"/>
      <c r="AD27" s="62"/>
      <c r="AE27" s="62"/>
      <c r="AF27" s="62"/>
      <c r="AG27" s="62"/>
      <c r="AH27" s="62"/>
      <c r="AI27" s="62"/>
      <c r="AJ27" s="62"/>
      <c r="AK27" s="62"/>
      <c r="AL27" s="54"/>
      <c r="AM27" s="54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M27" s="198">
        <f>VLOOKUP(BK37,BK39:BO45,3,TRUE)</f>
        <v>0.9</v>
      </c>
      <c r="BQ27" s="154" t="s">
        <v>177</v>
      </c>
      <c r="BR27" s="178">
        <f>IF(AND(BR24=1,BS23&gt;=15),0,IF(AND(BR24=1,BS23&lt;15),BR26,IF(BR24=2,(BR14/2),IF(AND(BR24=3,BS23&lt;15),BR26,IF(AND(BR24=3,BS23&gt;15),BR14)))))</f>
        <v>0</v>
      </c>
      <c r="BU27" s="156"/>
      <c r="BV27" s="177"/>
      <c r="BW27" s="177"/>
      <c r="BX27" s="156"/>
      <c r="BY27" s="406"/>
      <c r="BZ27" s="406"/>
      <c r="CA27" s="156"/>
      <c r="CB27" s="156"/>
      <c r="CC27" s="156"/>
      <c r="CD27" s="357">
        <f>($BY$14*$CI$5)</f>
        <v>0.4</v>
      </c>
      <c r="CE27" s="344">
        <f>($CG$5*$CI$5)</f>
        <v>0.18788894932653072</v>
      </c>
      <c r="CF27" s="156"/>
      <c r="CG27" s="177">
        <v>5</v>
      </c>
      <c r="CH27" s="177"/>
      <c r="CI27" s="156"/>
      <c r="CL27" s="156"/>
      <c r="CM27" s="352">
        <f>(-BY$9)-CM$24</f>
        <v>-0.257072594216369</v>
      </c>
      <c r="CN27" s="156"/>
      <c r="CO27" s="381"/>
      <c r="CP27" s="156"/>
      <c r="CR27" s="353">
        <f>$CQ$36*$CB$5</f>
        <v>0.5070098828789257</v>
      </c>
      <c r="CS27" s="343">
        <f>-($BY$9*$CB$5)</f>
        <v>-0.12356436937219605</v>
      </c>
      <c r="CT27" s="361">
        <f>($CM$19*$CB$5)</f>
        <v>0.2140197657578512</v>
      </c>
      <c r="CU27" s="341">
        <f>-($BY$9*$CB$5)</f>
        <v>-0.12356436937219605</v>
      </c>
      <c r="CV27" s="358">
        <f t="shared" si="0"/>
        <v>0.46114850450224326</v>
      </c>
      <c r="CW27" s="397">
        <f>$CX$27*$CB$5</f>
        <v>0.323564369372196</v>
      </c>
      <c r="CX27" s="407">
        <f>((BY12-CA12)/2)+CA12</f>
        <v>0.5291451884327378</v>
      </c>
    </row>
    <row r="28" spans="1:102" ht="15.75" customHeight="1" thickBot="1">
      <c r="A28" s="27"/>
      <c r="B28" s="38" t="s">
        <v>106</v>
      </c>
      <c r="H28" s="30"/>
      <c r="I28" s="30"/>
      <c r="J28" s="30"/>
      <c r="K28" s="28" t="s">
        <v>3</v>
      </c>
      <c r="L28" s="588">
        <v>0.6</v>
      </c>
      <c r="M28" s="588"/>
      <c r="N28" s="588"/>
      <c r="O28" s="27"/>
      <c r="Q28" s="243"/>
      <c r="R28" s="26"/>
      <c r="S28" s="28"/>
      <c r="T28" s="28"/>
      <c r="U28" s="27"/>
      <c r="V28" s="91"/>
      <c r="W28" s="91"/>
      <c r="X28" s="91"/>
      <c r="Y28" s="91"/>
      <c r="Z28" s="26"/>
      <c r="AA28" s="238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H28" s="154" t="str">
        <f>VLOOKUP($BW$4,BG22:BH26,2,TRUE)</f>
        <v>I-0.22X0.22</v>
      </c>
      <c r="BK28" s="154">
        <f>VLOOKUP(BU4,BK8:BL14,2,TRUE)</f>
        <v>0.22</v>
      </c>
      <c r="BM28" s="198">
        <f>VLOOKUP(BK37,BK39:BO45,4,TRUE)</f>
        <v>0.6361725123519332</v>
      </c>
      <c r="BO28" s="199">
        <f>CH21*BM28</f>
        <v>5.089380098815465</v>
      </c>
      <c r="BQ28" s="154" t="s">
        <v>175</v>
      </c>
      <c r="BR28" s="199">
        <f>0.29*(SQRT(L12))</f>
        <v>3.814354467010112</v>
      </c>
      <c r="BT28" s="154">
        <v>1</v>
      </c>
      <c r="BU28" s="203" t="s">
        <v>90</v>
      </c>
      <c r="BV28" s="204">
        <v>0.35</v>
      </c>
      <c r="BW28" s="204"/>
      <c r="BX28" s="156"/>
      <c r="BY28" s="358">
        <f>-(($BZ$17-L36)*$CI$5)</f>
        <v>-0.36868517511224486</v>
      </c>
      <c r="BZ28" s="344">
        <f>-(($CG$5-0.125)*$CI$5)</f>
        <v>-0.10960188710714291</v>
      </c>
      <c r="CA28" s="156"/>
      <c r="CB28" s="407">
        <f>BY12-CL12</f>
        <v>0.40414518843273783</v>
      </c>
      <c r="CC28" s="156"/>
      <c r="CD28" s="357">
        <f>($CD$5*$CI$5)</f>
        <v>0.09394447466326536</v>
      </c>
      <c r="CE28" s="344">
        <f>($CG$5*$CI$5)</f>
        <v>0.18788894932653072</v>
      </c>
      <c r="CF28" s="156"/>
      <c r="CG28" s="177">
        <v>6</v>
      </c>
      <c r="CH28" s="156" t="s">
        <v>161</v>
      </c>
      <c r="CI28" s="156"/>
      <c r="CL28" s="156"/>
      <c r="CM28" s="375"/>
      <c r="CN28" s="156"/>
      <c r="CO28" s="403" t="s">
        <v>109</v>
      </c>
      <c r="CP28" s="342" t="s">
        <v>110</v>
      </c>
      <c r="CR28" s="355">
        <f>$CQ$37*$CB$5</f>
        <v>0.4152871261255608</v>
      </c>
      <c r="CS28" s="347">
        <f>-($BY$9*$CB$5)</f>
        <v>-0.12356436937219605</v>
      </c>
      <c r="CT28" s="355">
        <f>$CQ$37*$CB$5</f>
        <v>0.4152871261255608</v>
      </c>
      <c r="CU28" s="346">
        <f>-($BY$9*$CB$5)</f>
        <v>-0.12356436937219605</v>
      </c>
      <c r="CV28" s="358">
        <f t="shared" si="0"/>
        <v>0.46114850450224326</v>
      </c>
      <c r="CW28" s="344">
        <f>($BY$12*$CB$5)</f>
        <v>0.4</v>
      </c>
      <c r="CX28" s="156"/>
    </row>
    <row r="29" spans="1:102" ht="15.75" customHeight="1" thickBot="1">
      <c r="A29" s="26"/>
      <c r="B29" s="38" t="s">
        <v>107</v>
      </c>
      <c r="H29" s="30"/>
      <c r="I29" s="30"/>
      <c r="J29" s="30"/>
      <c r="K29" s="28" t="s">
        <v>3</v>
      </c>
      <c r="L29" s="589">
        <v>0.05</v>
      </c>
      <c r="M29" s="589"/>
      <c r="N29" s="589"/>
      <c r="O29" s="26"/>
      <c r="Q29" s="239"/>
      <c r="R29" s="26"/>
      <c r="S29" s="26"/>
      <c r="T29" s="26"/>
      <c r="U29" s="26"/>
      <c r="V29" s="28"/>
      <c r="W29" s="27"/>
      <c r="X29" s="26"/>
      <c r="Y29" s="26"/>
      <c r="Z29" s="26"/>
      <c r="AA29" s="238"/>
      <c r="AB29" s="26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H29" s="154">
        <f>AC24</f>
        <v>21</v>
      </c>
      <c r="BM29" s="198">
        <f>VLOOKUP(BK37,BK39:BO45,5,TRUE)</f>
        <v>2.827433388230814</v>
      </c>
      <c r="BO29" s="375">
        <f>BM29*CH21</f>
        <v>22.61946710584651</v>
      </c>
      <c r="BQ29" s="154" t="s">
        <v>174</v>
      </c>
      <c r="BR29" s="198">
        <f>BR27/((CE31*100)*BR19)</f>
        <v>0</v>
      </c>
      <c r="BT29" s="154">
        <v>2</v>
      </c>
      <c r="BU29" s="203" t="s">
        <v>91</v>
      </c>
      <c r="BV29" s="204">
        <v>0.5</v>
      </c>
      <c r="BW29" s="204"/>
      <c r="BX29" s="156"/>
      <c r="BY29" s="393">
        <f>(($BZ$17)*$CI$5)</f>
        <v>0.36868517511224486</v>
      </c>
      <c r="BZ29" s="349">
        <f>-(($CG$5-0.125)*$CI$5)</f>
        <v>-0.10960188710714291</v>
      </c>
      <c r="CA29" s="156"/>
      <c r="CB29" s="407">
        <f>CB28-CE5</f>
        <v>0.2541451884327378</v>
      </c>
      <c r="CC29" s="156"/>
      <c r="CD29" s="363">
        <f>($CD$5*$CI$5)</f>
        <v>0.09394447466326536</v>
      </c>
      <c r="CE29" s="349">
        <f>(($CG$5+0.1)*$CI$5)</f>
        <v>0.250518599102041</v>
      </c>
      <c r="CF29" s="156"/>
      <c r="CG29" s="177">
        <v>7</v>
      </c>
      <c r="CH29" s="353" t="s">
        <v>109</v>
      </c>
      <c r="CI29" s="354" t="s">
        <v>110</v>
      </c>
      <c r="CJ29" s="361" t="s">
        <v>109</v>
      </c>
      <c r="CK29" s="354" t="s">
        <v>110</v>
      </c>
      <c r="CL29" s="156"/>
      <c r="CM29" s="352">
        <f>(CA12+CM24)</f>
        <v>0.4591451884327378</v>
      </c>
      <c r="CN29" s="156"/>
      <c r="CO29" s="368">
        <f>-($CM$13*$CI$5)</f>
        <v>-0.06889261475306127</v>
      </c>
      <c r="CP29" s="344">
        <f>-(($CG$5-0.05)*$CI$5)</f>
        <v>-0.1565741244387756</v>
      </c>
      <c r="CR29" s="178"/>
      <c r="CS29" s="372"/>
      <c r="CV29" s="355">
        <f t="shared" si="0"/>
        <v>0.46114850450224326</v>
      </c>
      <c r="CW29" s="347">
        <f>($BY$12+0.075)*$CB$5</f>
        <v>0.4458613783766824</v>
      </c>
      <c r="CX29" s="156"/>
    </row>
    <row r="30" spans="1:101" ht="15.75" customHeight="1">
      <c r="A30" s="26"/>
      <c r="C30" s="26"/>
      <c r="D30" s="26"/>
      <c r="E30" s="26"/>
      <c r="F30" s="26"/>
      <c r="G30" s="26"/>
      <c r="H30" s="26"/>
      <c r="I30" s="26"/>
      <c r="J30" s="26"/>
      <c r="K30" s="28"/>
      <c r="L30" s="26"/>
      <c r="M30" s="26"/>
      <c r="N30" s="26"/>
      <c r="O30" s="26"/>
      <c r="P30" s="26"/>
      <c r="Q30" s="239"/>
      <c r="R30" s="26"/>
      <c r="S30" s="26"/>
      <c r="T30" s="26"/>
      <c r="U30" s="26"/>
      <c r="V30" s="26"/>
      <c r="W30" s="26"/>
      <c r="X30" s="26"/>
      <c r="Y30" s="26"/>
      <c r="Z30" s="26"/>
      <c r="AA30" s="238"/>
      <c r="AB30" s="26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I30" s="178"/>
      <c r="BJ30" s="205"/>
      <c r="BK30" s="206"/>
      <c r="BT30" s="154">
        <v>3</v>
      </c>
      <c r="BU30" s="203" t="s">
        <v>92</v>
      </c>
      <c r="BV30" s="204">
        <v>0.6</v>
      </c>
      <c r="BW30" s="204"/>
      <c r="BX30" s="156"/>
      <c r="CA30" s="156"/>
      <c r="CB30" s="156"/>
      <c r="CC30" s="156"/>
      <c r="CF30" s="156"/>
      <c r="CG30" s="177">
        <v>8</v>
      </c>
      <c r="CH30" s="357">
        <f>-($CM$21*$CB$5)</f>
        <v>-0.24765144323408497</v>
      </c>
      <c r="CI30" s="343">
        <f>-($BY$9*$CB$5)</f>
        <v>-0.12356436937219605</v>
      </c>
      <c r="CJ30" s="357">
        <f>-($BY$14*$CI$5)</f>
        <v>-0.4</v>
      </c>
      <c r="CK30" s="344">
        <f>-(($CG$5+0.05)*$CI$5)</f>
        <v>-0.21920377421428583</v>
      </c>
      <c r="CL30" s="156"/>
      <c r="CM30" s="352">
        <f>CA12-CM24</f>
        <v>0.34914518843273784</v>
      </c>
      <c r="CN30" s="156"/>
      <c r="CO30" s="368">
        <f>($CM$13*$CI$5)</f>
        <v>0.06889261475306127</v>
      </c>
      <c r="CP30" s="344">
        <f>-(($CG$5-0.05)*$CI$5)</f>
        <v>-0.1565741244387756</v>
      </c>
      <c r="CR30" s="353">
        <f>$CQ$36*$CB$5</f>
        <v>0.5070098828789257</v>
      </c>
      <c r="CS30" s="344">
        <f aca="true" t="shared" si="1" ref="CS30:CU31">-($BY$13*$CB$5)</f>
        <v>-0.2764356306278041</v>
      </c>
      <c r="CT30" s="361">
        <f>($BY$15*$CB$5)</f>
        <v>0.3022800295951341</v>
      </c>
      <c r="CU30" s="354">
        <f t="shared" si="1"/>
        <v>-0.2764356306278041</v>
      </c>
      <c r="CV30" s="178"/>
      <c r="CW30" s="178"/>
    </row>
    <row r="31" spans="1:101" ht="15.75" customHeight="1" thickBot="1">
      <c r="A31" s="26"/>
      <c r="B31" s="36" t="s">
        <v>192</v>
      </c>
      <c r="C31" s="26"/>
      <c r="D31" s="26"/>
      <c r="E31" s="26"/>
      <c r="F31" s="26"/>
      <c r="G31" s="26"/>
      <c r="H31" s="26"/>
      <c r="I31" s="26"/>
      <c r="J31" s="26"/>
      <c r="K31" s="28"/>
      <c r="L31" s="26"/>
      <c r="M31" s="26"/>
      <c r="N31" s="26"/>
      <c r="O31" s="26"/>
      <c r="P31" s="26"/>
      <c r="Q31" s="239"/>
      <c r="R31" s="26"/>
      <c r="S31" s="26"/>
      <c r="T31" s="26"/>
      <c r="U31" s="26"/>
      <c r="V31" s="26"/>
      <c r="W31" s="26"/>
      <c r="X31" s="26"/>
      <c r="Y31" s="26"/>
      <c r="Z31" s="26"/>
      <c r="AA31" s="238"/>
      <c r="AB31" s="26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I31" s="178"/>
      <c r="BJ31" s="154" t="s">
        <v>100</v>
      </c>
      <c r="BK31" s="206"/>
      <c r="BQ31" s="350" t="s">
        <v>180</v>
      </c>
      <c r="BT31" s="154">
        <v>4</v>
      </c>
      <c r="BU31" s="203" t="s">
        <v>93</v>
      </c>
      <c r="BV31" s="204">
        <v>0.8</v>
      </c>
      <c r="BW31" s="204"/>
      <c r="BX31" s="156"/>
      <c r="CA31" s="156" t="s">
        <v>231</v>
      </c>
      <c r="CB31" s="177">
        <f>CB21</f>
        <v>0.7830127018922195</v>
      </c>
      <c r="CC31" s="156" t="s">
        <v>235</v>
      </c>
      <c r="CD31" s="154">
        <f>(CB33*CB31)/CB32</f>
        <v>0.03126073911696418</v>
      </c>
      <c r="CE31" s="154">
        <f>CD31*2</f>
        <v>0.06252147823392835</v>
      </c>
      <c r="CF31" s="156"/>
      <c r="CG31" s="177">
        <v>9</v>
      </c>
      <c r="CH31" s="357">
        <f>-($CM$22*CB$5)</f>
        <v>-0.18038808828161745</v>
      </c>
      <c r="CI31" s="343">
        <f>-(BY$9*CB$5)</f>
        <v>-0.12356436937219605</v>
      </c>
      <c r="CJ31" s="357">
        <f>-($CM$16*$CI$5)</f>
        <v>-0.2880963889673471</v>
      </c>
      <c r="CK31" s="344">
        <f>-(($CG$5+0.05)*$CI$5)</f>
        <v>-0.21920377421428583</v>
      </c>
      <c r="CL31" s="156"/>
      <c r="CM31" s="156"/>
      <c r="CN31" s="156"/>
      <c r="CO31" s="368">
        <f>($CM$13*$CI$5)</f>
        <v>0.06889261475306127</v>
      </c>
      <c r="CP31" s="371">
        <f>-($CH$9*$CI$5)</f>
        <v>-0.3373703502244898</v>
      </c>
      <c r="CR31" s="355">
        <f>$CQ$37*$CB$5</f>
        <v>0.4152871261255608</v>
      </c>
      <c r="CS31" s="349">
        <f t="shared" si="1"/>
        <v>-0.2764356306278041</v>
      </c>
      <c r="CT31" s="355">
        <f>$CQ$37*$CB$5</f>
        <v>0.4152871261255608</v>
      </c>
      <c r="CU31" s="349">
        <f t="shared" si="1"/>
        <v>-0.2764356306278041</v>
      </c>
      <c r="CV31" s="178"/>
      <c r="CW31" s="178"/>
    </row>
    <row r="32" spans="1:97" ht="15.75" customHeight="1">
      <c r="A32" s="27"/>
      <c r="B32" s="26" t="str">
        <f>IF($CR$5=1,"Load per Pile , (kg./Pile)",IF($CR$5=2,"Load per Pile , (Ton./Pile)"))</f>
        <v>Load per Pile , (kg./Pile)</v>
      </c>
      <c r="C32" s="26"/>
      <c r="D32" s="26"/>
      <c r="E32" s="27"/>
      <c r="F32" s="27"/>
      <c r="G32" s="27"/>
      <c r="H32" s="27"/>
      <c r="I32" s="27"/>
      <c r="J32" s="27"/>
      <c r="K32" s="28" t="s">
        <v>3</v>
      </c>
      <c r="L32" s="624">
        <f>BS13</f>
        <v>22000</v>
      </c>
      <c r="M32" s="624"/>
      <c r="N32" s="624"/>
      <c r="O32" s="27"/>
      <c r="P32" s="240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40"/>
      <c r="AB32" s="27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I32" s="178"/>
      <c r="BJ32" s="208" t="s">
        <v>101</v>
      </c>
      <c r="BK32" s="206"/>
      <c r="BQ32" s="154" t="s">
        <v>171</v>
      </c>
      <c r="BR32" s="154">
        <f>(((BR19/2)/100))+CE5</f>
        <v>0.42500000000000004</v>
      </c>
      <c r="BU32" s="156"/>
      <c r="BV32" s="156"/>
      <c r="BW32" s="156"/>
      <c r="BX32" s="156"/>
      <c r="CA32" s="156" t="s">
        <v>232</v>
      </c>
      <c r="CB32" s="400">
        <f>CB20</f>
        <v>1.3562177826491069</v>
      </c>
      <c r="CC32" s="156" t="s">
        <v>236</v>
      </c>
      <c r="CD32" s="154">
        <f>(CB$34*CB$31)/CB$32</f>
        <v>0.1900320631441113</v>
      </c>
      <c r="CE32" s="154">
        <f>CD32*2</f>
        <v>0.3800641262882226</v>
      </c>
      <c r="CF32" s="156"/>
      <c r="CG32" s="177">
        <v>10</v>
      </c>
      <c r="CH32" s="358"/>
      <c r="CI32" s="343"/>
      <c r="CJ32" s="164"/>
      <c r="CK32" s="377"/>
      <c r="CL32" s="156"/>
      <c r="CM32" s="352">
        <f>(CM30-CB25)</f>
        <v>-0.6045373864405592</v>
      </c>
      <c r="CN32" s="156"/>
      <c r="CO32" s="368">
        <f>-($CM$13*$CI$5)</f>
        <v>-0.06889261475306127</v>
      </c>
      <c r="CP32" s="371">
        <f>-($CH$9*$CI$5)</f>
        <v>-0.3373703502244898</v>
      </c>
      <c r="CR32" s="178"/>
      <c r="CS32" s="178"/>
    </row>
    <row r="33" spans="1:97" ht="15.75" customHeight="1" thickBot="1">
      <c r="A33" s="27"/>
      <c r="B33" s="26" t="str">
        <f>IF($CR$5=1,"Shear , V (kg.)",IF($CR$5=2,"Shear , V (Ton.)"))</f>
        <v>Shear , V (kg.)</v>
      </c>
      <c r="C33" s="26"/>
      <c r="D33" s="26"/>
      <c r="E33" s="28"/>
      <c r="F33" s="27"/>
      <c r="G33" s="27"/>
      <c r="H33" s="27"/>
      <c r="I33" s="27"/>
      <c r="J33" s="27"/>
      <c r="K33" s="28" t="s">
        <v>3</v>
      </c>
      <c r="L33" s="624">
        <f>BS13</f>
        <v>22000</v>
      </c>
      <c r="M33" s="624"/>
      <c r="N33" s="624"/>
      <c r="O33" s="27"/>
      <c r="P33" s="240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40"/>
      <c r="AB33" s="27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Q33" s="154" t="s">
        <v>172</v>
      </c>
      <c r="BR33" s="408">
        <f>CB28</f>
        <v>0.40414518843273783</v>
      </c>
      <c r="BU33" s="156"/>
      <c r="BV33" s="156"/>
      <c r="BW33" s="156"/>
      <c r="BX33" s="156"/>
      <c r="CA33" s="156" t="s">
        <v>233</v>
      </c>
      <c r="CB33" s="400">
        <f>(CB20-BY13-BR21-CE5)</f>
        <v>0.05414518843273777</v>
      </c>
      <c r="CC33" s="156" t="s">
        <v>219</v>
      </c>
      <c r="CD33" s="154">
        <f>(CB$35*CB$31)/CB$32</f>
        <v>0.5220084679281463</v>
      </c>
      <c r="CE33" s="154">
        <f>CD33*2</f>
        <v>1.0440169358562925</v>
      </c>
      <c r="CF33" s="156"/>
      <c r="CG33" s="177">
        <v>11</v>
      </c>
      <c r="CH33" s="357">
        <f>-($CM$19*$CB$5)</f>
        <v>-0.2140197657578512</v>
      </c>
      <c r="CI33" s="344">
        <f>CM$26*CB$5</f>
        <v>-0.08993269189596229</v>
      </c>
      <c r="CJ33" s="357">
        <f>-($CM$17*$CI$5)</f>
        <v>-0.15031115946122459</v>
      </c>
      <c r="CK33" s="344">
        <f>-(($CG$5+0.05)*$CI$5)</f>
        <v>-0.21920377421428583</v>
      </c>
      <c r="CL33" s="156"/>
      <c r="CM33" s="156"/>
      <c r="CN33" s="156"/>
      <c r="CO33" s="370">
        <f>-($CM$13*$CI$5)</f>
        <v>-0.06889261475306127</v>
      </c>
      <c r="CP33" s="349">
        <f>-(($CG$5-0.05)*$CI$5)</f>
        <v>-0.1565741244387756</v>
      </c>
      <c r="CR33" s="178"/>
      <c r="CS33" s="178" t="s">
        <v>224</v>
      </c>
    </row>
    <row r="34" spans="1:100" ht="15.75" customHeight="1" thickBot="1">
      <c r="A34" s="27"/>
      <c r="B34" s="26" t="str">
        <f>IF($CR$5=1,"Moment , M (kg.-m.)",IF($CR$5=2,"Moment , M (Ton.-m.)"))</f>
        <v>Moment , M (kg.-m.)</v>
      </c>
      <c r="C34" s="26"/>
      <c r="D34" s="26"/>
      <c r="E34" s="26"/>
      <c r="F34" s="26"/>
      <c r="G34" s="26"/>
      <c r="H34" s="26"/>
      <c r="I34" s="26"/>
      <c r="J34" s="26"/>
      <c r="K34" s="28" t="s">
        <v>3</v>
      </c>
      <c r="L34" s="511">
        <f>IF(CR5=1,BR15,IF(CR5=2,BS15))</f>
        <v>5591.194145520232</v>
      </c>
      <c r="M34" s="511"/>
      <c r="N34" s="511"/>
      <c r="O34" s="27"/>
      <c r="P34" s="240"/>
      <c r="Q34" s="27"/>
      <c r="R34" s="27"/>
      <c r="S34" s="27"/>
      <c r="T34" s="27"/>
      <c r="U34" s="27"/>
      <c r="V34" s="90"/>
      <c r="W34" s="90"/>
      <c r="X34" s="90"/>
      <c r="Y34" s="90"/>
      <c r="Z34" s="90"/>
      <c r="AA34" s="240"/>
      <c r="AB34" s="27"/>
      <c r="AC34" s="41"/>
      <c r="AD34" s="41"/>
      <c r="AE34" s="41"/>
      <c r="AF34" s="41"/>
      <c r="AG34" s="54"/>
      <c r="AH34" s="54"/>
      <c r="AI34" s="54"/>
      <c r="AJ34" s="54"/>
      <c r="AK34" s="54"/>
      <c r="AL34" s="54"/>
      <c r="AM34" s="54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N34" s="156" t="s">
        <v>102</v>
      </c>
      <c r="BO34" s="206"/>
      <c r="BP34" s="206"/>
      <c r="BQ34" s="206" t="s">
        <v>173</v>
      </c>
      <c r="BR34" s="378">
        <f>BR32-BR33</f>
        <v>0.02085481156726221</v>
      </c>
      <c r="BS34" s="206">
        <f>BR34*100</f>
        <v>2.085481156726221</v>
      </c>
      <c r="BT34" s="228"/>
      <c r="BU34" s="228"/>
      <c r="BV34" s="228"/>
      <c r="BW34" s="177"/>
      <c r="BY34" s="178"/>
      <c r="BZ34" s="178"/>
      <c r="CA34" s="156" t="s">
        <v>234</v>
      </c>
      <c r="CB34" s="400">
        <f>(CB20-BY13)-(BR32+CE5)</f>
        <v>0.32914518843273777</v>
      </c>
      <c r="CC34" s="345" t="s">
        <v>252</v>
      </c>
      <c r="CD34" s="154">
        <f>(CB$36*CB$31)/CB$32</f>
        <v>0.4354059275497024</v>
      </c>
      <c r="CE34" s="154">
        <f>CD34*2</f>
        <v>0.8708118550994048</v>
      </c>
      <c r="CF34" s="156"/>
      <c r="CG34" s="177">
        <v>12</v>
      </c>
      <c r="CH34" s="363">
        <f>-($CM$19*CB$5)</f>
        <v>-0.2140197657578512</v>
      </c>
      <c r="CI34" s="349">
        <f>CM$27*CB$5</f>
        <v>-0.15719604684842983</v>
      </c>
      <c r="CJ34" s="357">
        <f>-(CM$13*$CI$5)</f>
        <v>-0.06889261475306127</v>
      </c>
      <c r="CK34" s="344">
        <f>-(($CG$5+0.05)*$CI$5)</f>
        <v>-0.21920377421428583</v>
      </c>
      <c r="CL34" s="156"/>
      <c r="CM34" s="156"/>
      <c r="CN34" s="156"/>
      <c r="CO34" s="156"/>
      <c r="CP34" s="156"/>
      <c r="CR34" s="178"/>
      <c r="CS34" s="178" t="s">
        <v>109</v>
      </c>
      <c r="CT34" s="178" t="s">
        <v>110</v>
      </c>
      <c r="CV34" s="408">
        <f>CH5+0.2</f>
        <v>0.8386751345948129</v>
      </c>
    </row>
    <row r="35" spans="1:100" ht="15.75" customHeight="1" thickBot="1">
      <c r="A35" s="26"/>
      <c r="B35" s="26"/>
      <c r="C35" s="26"/>
      <c r="D35" s="26"/>
      <c r="E35" s="29"/>
      <c r="F35" s="244"/>
      <c r="G35" s="29"/>
      <c r="H35" s="29"/>
      <c r="I35" s="29"/>
      <c r="J35" s="29"/>
      <c r="K35" s="28"/>
      <c r="L35" s="542"/>
      <c r="M35" s="542"/>
      <c r="N35" s="542"/>
      <c r="O35" s="91"/>
      <c r="P35" s="245"/>
      <c r="Q35" s="27"/>
      <c r="R35" s="27"/>
      <c r="S35" s="27"/>
      <c r="T35" s="27"/>
      <c r="U35" s="27"/>
      <c r="V35" s="90"/>
      <c r="W35" s="90"/>
      <c r="X35" s="90"/>
      <c r="Y35" s="90"/>
      <c r="Z35" s="90"/>
      <c r="AA35" s="240"/>
      <c r="AB35" s="27"/>
      <c r="AC35" s="41"/>
      <c r="AD35" s="41"/>
      <c r="AE35" s="41"/>
      <c r="AF35" s="41"/>
      <c r="AG35" s="54"/>
      <c r="AH35" s="54"/>
      <c r="AI35" s="54"/>
      <c r="AJ35" s="54"/>
      <c r="AK35" s="54"/>
      <c r="AL35" s="54"/>
      <c r="AM35" s="54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N35" s="154" t="s">
        <v>103</v>
      </c>
      <c r="BO35" s="206"/>
      <c r="BP35" s="206"/>
      <c r="BQ35" s="206" t="s">
        <v>176</v>
      </c>
      <c r="BR35" s="206">
        <f>IF(BR34&gt;0,1,IF(BR34=0,2,IF(BR34&lt;0,3)))</f>
        <v>1</v>
      </c>
      <c r="BS35" s="206"/>
      <c r="BT35" s="206"/>
      <c r="BU35" s="206"/>
      <c r="BV35" s="206"/>
      <c r="BW35" s="177"/>
      <c r="BY35" s="379" t="s">
        <v>127</v>
      </c>
      <c r="BZ35" s="178"/>
      <c r="CA35" s="380" t="s">
        <v>244</v>
      </c>
      <c r="CB35" s="400">
        <f>CB20-BY13</f>
        <v>0.9041451884327378</v>
      </c>
      <c r="CC35" s="381"/>
      <c r="CF35" s="156"/>
      <c r="CG35" s="177">
        <v>13</v>
      </c>
      <c r="CH35" s="177"/>
      <c r="CI35" s="177"/>
      <c r="CJ35" s="164"/>
      <c r="CK35" s="377"/>
      <c r="CL35" s="156"/>
      <c r="CM35" s="156" t="s">
        <v>222</v>
      </c>
      <c r="CN35" s="156"/>
      <c r="CO35" s="156"/>
      <c r="CP35" s="156"/>
      <c r="CR35" s="178"/>
      <c r="CS35" s="409">
        <f>$CV$34*$CI$5</f>
        <v>0.5252592995510205</v>
      </c>
      <c r="CT35" s="354">
        <f>-($CG$5*$CI$5)</f>
        <v>-0.18788894932653072</v>
      </c>
      <c r="CV35" s="408">
        <f>CV34-0.15</f>
        <v>0.6886751345948129</v>
      </c>
    </row>
    <row r="36" spans="1:100" ht="15.75" customHeight="1" thickBot="1">
      <c r="A36" s="26"/>
      <c r="B36" s="36" t="s">
        <v>162</v>
      </c>
      <c r="C36" s="26"/>
      <c r="D36" s="26"/>
      <c r="E36" s="29"/>
      <c r="F36" s="29"/>
      <c r="G36" s="29"/>
      <c r="H36" s="29"/>
      <c r="I36" s="65"/>
      <c r="J36" s="65"/>
      <c r="K36" s="28"/>
      <c r="L36" s="542"/>
      <c r="M36" s="542"/>
      <c r="N36" s="542"/>
      <c r="O36" s="91"/>
      <c r="P36" s="245"/>
      <c r="Q36" s="27"/>
      <c r="R36" s="27"/>
      <c r="S36" s="27"/>
      <c r="T36" s="27"/>
      <c r="U36" s="27"/>
      <c r="V36" s="90"/>
      <c r="W36" s="90"/>
      <c r="X36" s="90"/>
      <c r="Y36" s="90"/>
      <c r="Z36" s="90"/>
      <c r="AA36" s="240"/>
      <c r="AB36" s="27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Q36" s="154" t="s">
        <v>178</v>
      </c>
      <c r="BR36" s="369">
        <f>IF(BR35=1,-BR34,IF(BR35=2,0,IF(BR35=3,ABS(BR34))))</f>
        <v>-0.02085481156726221</v>
      </c>
      <c r="BU36" s="156"/>
      <c r="BV36" s="156"/>
      <c r="BW36" s="156"/>
      <c r="BX36" s="156"/>
      <c r="BY36" s="367" t="s">
        <v>109</v>
      </c>
      <c r="BZ36" s="382" t="s">
        <v>110</v>
      </c>
      <c r="CA36" s="383" t="s">
        <v>251</v>
      </c>
      <c r="CB36" s="352">
        <f>CB35-CE5</f>
        <v>0.7541451884327378</v>
      </c>
      <c r="CC36" s="156"/>
      <c r="CF36" s="156"/>
      <c r="CG36" s="177">
        <v>14</v>
      </c>
      <c r="CH36" s="353" t="s">
        <v>109</v>
      </c>
      <c r="CI36" s="354" t="s">
        <v>110</v>
      </c>
      <c r="CJ36" s="357">
        <f>(CM$13*$CI$5)</f>
        <v>0.06889261475306127</v>
      </c>
      <c r="CK36" s="344">
        <f>-(($CG$5+0.05)*$CI$5)</f>
        <v>-0.21920377421428583</v>
      </c>
      <c r="CL36" s="156"/>
      <c r="CM36" s="177" t="s">
        <v>109</v>
      </c>
      <c r="CN36" s="177" t="s">
        <v>110</v>
      </c>
      <c r="CO36" s="156"/>
      <c r="CP36" s="410">
        <f>CA5+0.05</f>
        <v>0.7041451884327379</v>
      </c>
      <c r="CQ36" s="184">
        <f>CA5+0.175</f>
        <v>0.8291451884327379</v>
      </c>
      <c r="CR36" s="178"/>
      <c r="CS36" s="411">
        <f>$CV$35*$CI$5</f>
        <v>0.4313148248877551</v>
      </c>
      <c r="CT36" s="349">
        <f>-($CG$5*$CI$5)</f>
        <v>-0.18788894932653072</v>
      </c>
      <c r="CV36" s="408">
        <f>((CV34-CV35)/2)+CV35</f>
        <v>0.763675134594813</v>
      </c>
    </row>
    <row r="37" spans="1:98" ht="15.75" customHeight="1" thickBot="1">
      <c r="A37" s="26"/>
      <c r="B37" s="26" t="s">
        <v>193</v>
      </c>
      <c r="C37" s="26"/>
      <c r="D37" s="26"/>
      <c r="E37" s="29"/>
      <c r="F37" s="29"/>
      <c r="G37" s="29"/>
      <c r="H37" s="29"/>
      <c r="I37" s="65"/>
      <c r="J37" s="65"/>
      <c r="K37" s="28"/>
      <c r="L37" s="542"/>
      <c r="M37" s="542"/>
      <c r="N37" s="542"/>
      <c r="O37" s="27"/>
      <c r="P37" s="240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40"/>
      <c r="AB37" s="27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K37" s="154">
        <v>1</v>
      </c>
      <c r="BL37" s="217">
        <v>2</v>
      </c>
      <c r="BN37" s="154" t="s">
        <v>119</v>
      </c>
      <c r="BQ37" s="154" t="s">
        <v>179</v>
      </c>
      <c r="BR37" s="154">
        <f>(BR14/30)*((BR36*100)+15)</f>
        <v>9470.647151734105</v>
      </c>
      <c r="BT37" s="154" t="s">
        <v>182</v>
      </c>
      <c r="BU37" s="156"/>
      <c r="BV37" s="156"/>
      <c r="BW37" s="156"/>
      <c r="BX37" s="156"/>
      <c r="BY37" s="357">
        <f>-(($BZ$17-0.025)*$CI$5)</f>
        <v>-0.3530277626683673</v>
      </c>
      <c r="BZ37" s="344">
        <f>(($CG$5-L29-0.025)*$CI$5)</f>
        <v>0.14091671199489805</v>
      </c>
      <c r="CA37" s="383"/>
      <c r="CB37" s="381"/>
      <c r="CC37" s="156"/>
      <c r="CD37" s="177"/>
      <c r="CE37" s="177"/>
      <c r="CF37" s="156"/>
      <c r="CG37" s="177">
        <v>15</v>
      </c>
      <c r="CH37" s="357">
        <f>($CM$21*$CB$5)</f>
        <v>0.24765144323408497</v>
      </c>
      <c r="CI37" s="343">
        <f>-($BY$9*$CB$5)</f>
        <v>-0.12356436937219605</v>
      </c>
      <c r="CJ37" s="357">
        <f>($CM$17*$CI$5)</f>
        <v>0.15031115946122459</v>
      </c>
      <c r="CK37" s="344">
        <f>-(($CG$5+0.05)*$CI$5)</f>
        <v>-0.21920377421428583</v>
      </c>
      <c r="CL37" s="156"/>
      <c r="CM37" s="361">
        <f>-($CM$19*$CB$5)</f>
        <v>-0.2140197657578512</v>
      </c>
      <c r="CN37" s="342">
        <f>-(CP$36*CB$5)</f>
        <v>-0.4305742522511216</v>
      </c>
      <c r="CO37" s="156"/>
      <c r="CP37" s="381">
        <f>CP36-0.15</f>
        <v>0.5541451884327379</v>
      </c>
      <c r="CQ37" s="184">
        <f>CQ36-0.15</f>
        <v>0.6791451884327379</v>
      </c>
      <c r="CR37" s="178"/>
      <c r="CS37" s="178"/>
      <c r="CT37" s="178"/>
    </row>
    <row r="38" spans="1:98" ht="15.75" customHeight="1" thickBot="1">
      <c r="A38" s="26"/>
      <c r="D38" s="38" t="s">
        <v>194</v>
      </c>
      <c r="E38" s="83" t="s">
        <v>3</v>
      </c>
      <c r="F38" s="542">
        <f>BS13</f>
        <v>22000</v>
      </c>
      <c r="G38" s="542"/>
      <c r="H38" s="542"/>
      <c r="I38" s="42" t="str">
        <f>IF(BS13&lt;L23,"&lt;",IF(BS13=L23,"=",it(BS13&gt;L23,"&gt;")))</f>
        <v>=</v>
      </c>
      <c r="J38" s="542">
        <f>L23</f>
        <v>22000</v>
      </c>
      <c r="K38" s="542"/>
      <c r="L38" s="542"/>
      <c r="M38" s="542" t="str">
        <f>IF(CR5=1,"kg.",IF(CR5=2,"Ton."))</f>
        <v>kg.</v>
      </c>
      <c r="N38" s="542"/>
      <c r="O38" s="542" t="str">
        <f>IF(BS13&lt;L23,"Ok.",IF(BS13=L23,"Ok.",it(BS13&gt;L23,"Not Ok.")))</f>
        <v>Ok.</v>
      </c>
      <c r="P38" s="620"/>
      <c r="Q38" s="607" t="s">
        <v>134</v>
      </c>
      <c r="R38" s="608"/>
      <c r="S38" s="608"/>
      <c r="T38" s="608"/>
      <c r="U38" s="608"/>
      <c r="V38" s="608"/>
      <c r="W38" s="608"/>
      <c r="X38" s="608"/>
      <c r="Y38" s="608"/>
      <c r="Z38" s="608"/>
      <c r="AA38" s="609"/>
      <c r="AB38" s="27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K38" s="156"/>
      <c r="BL38" s="177"/>
      <c r="BM38" s="177"/>
      <c r="BN38" s="177"/>
      <c r="BO38" s="385"/>
      <c r="BQ38" s="154" t="s">
        <v>177</v>
      </c>
      <c r="BR38" s="154">
        <f>IF(AND(BR35=1,BS34&gt;=15),0,IF(AND(BR35=1,BS34&lt;15),BR37,IF(BR35=2,(BR14/2),IF(AND(BR35=3,BS34&lt;15),BR37,IF(AND(BR35=3,BS34&gt;15),BR14)))))</f>
        <v>9470.647151734105</v>
      </c>
      <c r="BT38" s="154" t="s">
        <v>183</v>
      </c>
      <c r="BU38" s="156"/>
      <c r="BV38" s="156"/>
      <c r="BW38" s="156"/>
      <c r="BX38" s="156"/>
      <c r="BY38" s="368"/>
      <c r="BZ38" s="374"/>
      <c r="CA38" s="383"/>
      <c r="CB38" s="381"/>
      <c r="CC38" s="156"/>
      <c r="CD38" s="156"/>
      <c r="CE38" s="156"/>
      <c r="CF38" s="156"/>
      <c r="CG38" s="177">
        <v>16</v>
      </c>
      <c r="CH38" s="357">
        <f>($CM$22*$CB$5)</f>
        <v>0.18038808828161745</v>
      </c>
      <c r="CI38" s="343">
        <f>-(BY$9*CB$5)</f>
        <v>-0.12356436937219605</v>
      </c>
      <c r="CK38" s="377"/>
      <c r="CL38" s="156"/>
      <c r="CM38" s="363">
        <f>-($CM$19*$CB$5)</f>
        <v>-0.2140197657578512</v>
      </c>
      <c r="CN38" s="347">
        <f>-(CP$37*CB$5)</f>
        <v>-0.3388514954977568</v>
      </c>
      <c r="CO38" s="156"/>
      <c r="CP38" s="381">
        <f>((CP36-CP37)/2)+CP37</f>
        <v>0.6291451884327379</v>
      </c>
      <c r="CQ38" s="369">
        <f>((CQ36-CQ37)/2)+CQ37</f>
        <v>0.7541451884327379</v>
      </c>
      <c r="CR38" s="178"/>
      <c r="CS38" s="409">
        <f>$CV$34*$CI$5</f>
        <v>0.5252592995510205</v>
      </c>
      <c r="CT38" s="354">
        <f>($CG$5*$CI$5)</f>
        <v>0.18788894932653072</v>
      </c>
    </row>
    <row r="39" spans="1:98" ht="15.75" customHeight="1" thickBot="1">
      <c r="A39" s="26"/>
      <c r="B39" s="26" t="s">
        <v>196</v>
      </c>
      <c r="C39" s="26"/>
      <c r="D39" s="26"/>
      <c r="E39" s="29"/>
      <c r="F39" s="29"/>
      <c r="G39" s="29"/>
      <c r="H39" s="29"/>
      <c r="I39" s="65"/>
      <c r="J39" s="65"/>
      <c r="K39" s="28"/>
      <c r="L39" s="21"/>
      <c r="M39" s="21"/>
      <c r="N39" s="21"/>
      <c r="O39" s="91"/>
      <c r="P39" s="91"/>
      <c r="Q39" s="317" t="s">
        <v>238</v>
      </c>
      <c r="R39" s="318"/>
      <c r="S39" s="318"/>
      <c r="T39" s="319"/>
      <c r="U39" s="318"/>
      <c r="V39" s="318"/>
      <c r="W39" s="318"/>
      <c r="X39" s="318"/>
      <c r="Y39" s="318"/>
      <c r="Z39" s="318"/>
      <c r="AA39" s="320"/>
      <c r="AB39" s="27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J39" s="184"/>
      <c r="BK39" s="386">
        <v>1</v>
      </c>
      <c r="BL39" s="219" t="s">
        <v>155</v>
      </c>
      <c r="BM39" s="219">
        <v>0.9</v>
      </c>
      <c r="BN39" s="387">
        <f aca="true" t="shared" si="2" ref="BN39:BN45">(PI()*(BM39^2))/4</f>
        <v>0.6361725123519332</v>
      </c>
      <c r="BO39" s="220">
        <f aca="true" t="shared" si="3" ref="BO39:BO45">PI()*BM39</f>
        <v>2.827433388230814</v>
      </c>
      <c r="BQ39" s="154" t="s">
        <v>175</v>
      </c>
      <c r="BR39" s="359">
        <f>0.53*(SQRT(L12))</f>
        <v>6.97106161212193</v>
      </c>
      <c r="BT39" s="154" t="s">
        <v>184</v>
      </c>
      <c r="BU39" s="388">
        <f>1.615*(SQRT($L$12)/($BM$22))</f>
        <v>17.70167374776245</v>
      </c>
      <c r="BV39" s="389">
        <f>IF(BU39&gt;11,11,IF(BU39&lt;=11,BU39))</f>
        <v>11</v>
      </c>
      <c r="BW39" s="156"/>
      <c r="BX39" s="156"/>
      <c r="BY39" s="363">
        <f>(($BZ$17-0.025)*$CI$5)</f>
        <v>0.3530277626683673</v>
      </c>
      <c r="BZ39" s="349">
        <f>(($CG$5-L29-0.025)*$CI$5)</f>
        <v>0.14091671199489805</v>
      </c>
      <c r="CA39" s="383"/>
      <c r="CB39" s="381"/>
      <c r="CC39" s="156"/>
      <c r="CD39" s="156"/>
      <c r="CE39" s="156"/>
      <c r="CF39" s="156"/>
      <c r="CG39" s="177">
        <v>17</v>
      </c>
      <c r="CH39" s="358"/>
      <c r="CI39" s="343"/>
      <c r="CJ39" s="357">
        <f>($CM$16*$CI$5)</f>
        <v>0.2880963889673471</v>
      </c>
      <c r="CK39" s="344">
        <f>-(($CG$5+0.05)*$CI$5)</f>
        <v>-0.21920377421428583</v>
      </c>
      <c r="CL39" s="156"/>
      <c r="CM39" s="177"/>
      <c r="CN39" s="177"/>
      <c r="CO39" s="156"/>
      <c r="CP39" s="156"/>
      <c r="CR39" s="178"/>
      <c r="CS39" s="411">
        <f>$CV$35*$CI$5</f>
        <v>0.4313148248877551</v>
      </c>
      <c r="CT39" s="349">
        <f>($CG$5*$CI$5)</f>
        <v>0.18788894932653072</v>
      </c>
    </row>
    <row r="40" spans="1:98" ht="15.75" customHeight="1" thickBot="1">
      <c r="A40" s="26"/>
      <c r="B40" s="26"/>
      <c r="C40" s="26"/>
      <c r="D40" s="26" t="s">
        <v>195</v>
      </c>
      <c r="E40" s="248" t="s">
        <v>3</v>
      </c>
      <c r="F40" s="536">
        <f>BR16</f>
        <v>26.788254183209975</v>
      </c>
      <c r="G40" s="536"/>
      <c r="H40" s="536"/>
      <c r="I40" s="28" t="str">
        <f>IF(BR16&lt;BR19,"&lt;",IF(BR16=BR19,"=",IF(BR16&gt;BR19,"&gt;")))</f>
        <v>&lt;</v>
      </c>
      <c r="J40" s="536">
        <f>BR19</f>
        <v>55</v>
      </c>
      <c r="K40" s="536"/>
      <c r="L40" s="536"/>
      <c r="M40" s="542" t="s">
        <v>62</v>
      </c>
      <c r="N40" s="542"/>
      <c r="O40" s="514" t="str">
        <f>IF(BR16&lt;BR19,"Ok.",IF(BR16=BR19,"Ok.",IF(BR16&gt;BR19,"Not Ok.")))</f>
        <v>Ok.</v>
      </c>
      <c r="P40" s="601"/>
      <c r="Q40" s="632" t="s">
        <v>241</v>
      </c>
      <c r="R40" s="633"/>
      <c r="S40" s="634"/>
      <c r="T40" s="623" t="s">
        <v>222</v>
      </c>
      <c r="U40" s="622"/>
      <c r="V40" s="623" t="s">
        <v>237</v>
      </c>
      <c r="W40" s="622"/>
      <c r="X40" s="623" t="s">
        <v>239</v>
      </c>
      <c r="Y40" s="622"/>
      <c r="Z40" s="621" t="s">
        <v>240</v>
      </c>
      <c r="AA40" s="622"/>
      <c r="AB40" s="26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K40" s="390">
        <v>2</v>
      </c>
      <c r="BL40" s="177" t="s">
        <v>149</v>
      </c>
      <c r="BM40" s="177">
        <v>1.2</v>
      </c>
      <c r="BN40" s="204">
        <f t="shared" si="2"/>
        <v>1.1309733552923256</v>
      </c>
      <c r="BO40" s="222">
        <f t="shared" si="3"/>
        <v>3.7699111843077517</v>
      </c>
      <c r="BQ40" s="154" t="s">
        <v>174</v>
      </c>
      <c r="BR40" s="184">
        <f>BR38/((CE32*100)*BR19)</f>
        <v>4.53064555864976</v>
      </c>
      <c r="BT40" s="154" t="s">
        <v>185</v>
      </c>
      <c r="BU40" s="388">
        <f>3.23*(SQRT($L$12)/($BM$22))</f>
        <v>35.4033474955249</v>
      </c>
      <c r="BV40" s="389">
        <f>IF(BU40&gt;35,35,IF(BU40&lt;=35,BU40))</f>
        <v>35</v>
      </c>
      <c r="BW40" s="156"/>
      <c r="BX40" s="156"/>
      <c r="BY40" s="204"/>
      <c r="BZ40" s="352"/>
      <c r="CA40" s="383"/>
      <c r="CB40" s="381"/>
      <c r="CC40" s="156"/>
      <c r="CD40" s="156"/>
      <c r="CE40" s="156"/>
      <c r="CF40" s="156"/>
      <c r="CG40" s="177">
        <v>18</v>
      </c>
      <c r="CH40" s="357">
        <f>($CM$19*$CB$5)</f>
        <v>0.2140197657578512</v>
      </c>
      <c r="CI40" s="344">
        <f>CM$26*CB$5</f>
        <v>-0.08993269189596229</v>
      </c>
      <c r="CJ40" s="363">
        <f>($BY$14*$CI$5)</f>
        <v>0.4</v>
      </c>
      <c r="CK40" s="349">
        <f>-(($CG$5+0.05)*$CI$5)</f>
        <v>-0.21920377421428583</v>
      </c>
      <c r="CL40" s="156"/>
      <c r="CM40" s="361">
        <f>($CM$19*$CB$5)</f>
        <v>0.2140197657578512</v>
      </c>
      <c r="CN40" s="342">
        <f>-(CP$36*CB$5)</f>
        <v>-0.4305742522511216</v>
      </c>
      <c r="CO40" s="156"/>
      <c r="CP40" s="384">
        <f>-($CM$19*$CB$5)</f>
        <v>-0.2140197657578512</v>
      </c>
      <c r="CQ40" s="412">
        <f>-($CP$38*$CB$5)</f>
        <v>-0.38471287387443925</v>
      </c>
      <c r="CS40" s="178"/>
      <c r="CT40" s="178"/>
    </row>
    <row r="41" spans="1:98" ht="15.75" customHeight="1" thickBot="1">
      <c r="A41" s="26"/>
      <c r="B41" s="38" t="s">
        <v>197</v>
      </c>
      <c r="P41" s="238"/>
      <c r="Q41" s="635"/>
      <c r="R41" s="636"/>
      <c r="S41" s="637"/>
      <c r="T41" s="625">
        <f>L26</f>
        <v>0.7</v>
      </c>
      <c r="U41" s="626"/>
      <c r="V41" s="625">
        <f>L27</f>
        <v>0.25</v>
      </c>
      <c r="W41" s="626"/>
      <c r="X41" s="628">
        <f>BY9</f>
        <v>0.202072594216369</v>
      </c>
      <c r="Y41" s="626"/>
      <c r="Z41" s="629">
        <f>CA12</f>
        <v>0.40414518843273783</v>
      </c>
      <c r="AA41" s="626"/>
      <c r="AB41" s="26"/>
      <c r="AC41" s="88"/>
      <c r="AD41" s="88"/>
      <c r="AE41" s="88"/>
      <c r="AF41" s="88"/>
      <c r="AG41" s="88"/>
      <c r="AH41" s="88"/>
      <c r="AI41" s="54"/>
      <c r="AJ41" s="54"/>
      <c r="AK41" s="54"/>
      <c r="AL41" s="54"/>
      <c r="AM41" s="54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K41" s="390">
        <v>3</v>
      </c>
      <c r="BL41" s="177" t="s">
        <v>150</v>
      </c>
      <c r="BM41" s="177">
        <v>1.6</v>
      </c>
      <c r="BN41" s="204">
        <f t="shared" si="2"/>
        <v>2.0106192982974678</v>
      </c>
      <c r="BO41" s="222">
        <f t="shared" si="3"/>
        <v>5.026548245743669</v>
      </c>
      <c r="BU41" s="156">
        <f>IF(L9=2400,1,IF(L9&gt;2400,2))</f>
        <v>2</v>
      </c>
      <c r="BV41" s="156"/>
      <c r="BW41" s="156"/>
      <c r="BX41" s="156"/>
      <c r="BY41" s="204">
        <f>-(($BZ$17-0.025)*$CI$5)</f>
        <v>-0.3530277626683673</v>
      </c>
      <c r="BZ41" s="204">
        <f>(($CG$5-L29-0.025)*$CI$5)</f>
        <v>0.14091671199489805</v>
      </c>
      <c r="CA41" s="383"/>
      <c r="CB41" s="381" t="s">
        <v>128</v>
      </c>
      <c r="CC41" s="156"/>
      <c r="CD41" s="156"/>
      <c r="CE41" s="156"/>
      <c r="CF41" s="156"/>
      <c r="CG41" s="177">
        <v>19</v>
      </c>
      <c r="CH41" s="363">
        <f>($CM$19*CB$5)</f>
        <v>0.2140197657578512</v>
      </c>
      <c r="CI41" s="349">
        <f>CM$27*CB$5</f>
        <v>-0.15719604684842983</v>
      </c>
      <c r="CL41" s="156"/>
      <c r="CM41" s="363">
        <f>($CM$19*$CB$5)</f>
        <v>0.2140197657578512</v>
      </c>
      <c r="CN41" s="347">
        <f>-(CP$37*CB$5)</f>
        <v>-0.3388514954977568</v>
      </c>
      <c r="CO41" s="156"/>
      <c r="CP41" s="156"/>
      <c r="CS41" s="409">
        <f>$CV$36*$CI$5</f>
        <v>0.4782870622193878</v>
      </c>
      <c r="CT41" s="354">
        <f>-(($CG$5+0.05)*$CI$5)</f>
        <v>-0.21920377421428583</v>
      </c>
    </row>
    <row r="42" spans="1:98" ht="15.75" customHeight="1" thickBot="1">
      <c r="A42" s="26"/>
      <c r="B42" s="36"/>
      <c r="C42" s="26"/>
      <c r="D42" s="26" t="s">
        <v>198</v>
      </c>
      <c r="E42" s="248" t="s">
        <v>3</v>
      </c>
      <c r="F42" s="536">
        <f>BR29</f>
        <v>0</v>
      </c>
      <c r="G42" s="536"/>
      <c r="H42" s="536"/>
      <c r="I42" s="28" t="str">
        <f>IF(F42&lt;J42,"&lt;",IF(F42=J42,"=",IF(F42&gt;J42,"&gt;")))</f>
        <v>&lt;</v>
      </c>
      <c r="J42" s="536">
        <f>BR28</f>
        <v>3.814354467010112</v>
      </c>
      <c r="K42" s="536"/>
      <c r="L42" s="536"/>
      <c r="M42" s="542" t="s">
        <v>51</v>
      </c>
      <c r="N42" s="542"/>
      <c r="O42" s="514" t="str">
        <f>IF(F42&lt;J42,"Ok.",IF(F42=J42,"Ok.",IF(F42&gt;J42,"Not Ok.")))</f>
        <v>Ok.</v>
      </c>
      <c r="P42" s="601"/>
      <c r="Q42" s="38" t="s">
        <v>242</v>
      </c>
      <c r="T42" s="42" t="s">
        <v>3</v>
      </c>
      <c r="U42" s="627" t="str">
        <f>L28&amp;" m."</f>
        <v>0.6 m.</v>
      </c>
      <c r="V42" s="610"/>
      <c r="W42" s="610"/>
      <c r="X42" s="610"/>
      <c r="Y42" s="610"/>
      <c r="Z42" s="610"/>
      <c r="AA42" s="611"/>
      <c r="AB42" s="237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K42" s="390">
        <v>4</v>
      </c>
      <c r="BL42" s="177" t="s">
        <v>151</v>
      </c>
      <c r="BM42" s="177">
        <v>2</v>
      </c>
      <c r="BN42" s="204">
        <f t="shared" si="2"/>
        <v>3.141592653589793</v>
      </c>
      <c r="BO42" s="222">
        <f t="shared" si="3"/>
        <v>6.283185307179586</v>
      </c>
      <c r="BQ42" s="154" t="s">
        <v>141</v>
      </c>
      <c r="BR42" s="199">
        <f>(BR15/(L11*V11*(BR19/100)))</f>
        <v>7.550675579887687</v>
      </c>
      <c r="BS42" s="199">
        <f>BR42*CE33</f>
        <v>7.883033182559278</v>
      </c>
      <c r="BT42" s="154" t="s">
        <v>186</v>
      </c>
      <c r="BU42" s="388">
        <f>IF(BU41=1,BV39,IF(BU41=2,BV40))</f>
        <v>35</v>
      </c>
      <c r="BV42" s="156"/>
      <c r="BW42" s="156"/>
      <c r="BX42" s="156"/>
      <c r="BY42" s="204">
        <f>(($BZ$17-0.025)*$CI$5)</f>
        <v>0.3530277626683673</v>
      </c>
      <c r="BZ42" s="204">
        <f>(($CG$5-L29-0.025)*$CI$5)</f>
        <v>0.14091671199489805</v>
      </c>
      <c r="CA42" s="156"/>
      <c r="CB42" s="366" t="s">
        <v>109</v>
      </c>
      <c r="CC42" s="342" t="s">
        <v>110</v>
      </c>
      <c r="CG42" s="178">
        <v>20</v>
      </c>
      <c r="CH42" s="178"/>
      <c r="CI42" s="178"/>
      <c r="CM42" s="178"/>
      <c r="CN42" s="178"/>
      <c r="CP42" s="384">
        <f>($CM$19*$CB$5)</f>
        <v>0.2140197657578512</v>
      </c>
      <c r="CQ42" s="412">
        <f>-($CP$38*$CB$5)</f>
        <v>-0.38471287387443925</v>
      </c>
      <c r="CS42" s="413">
        <f>$CV$36*$CI$5</f>
        <v>0.4782870622193878</v>
      </c>
      <c r="CT42" s="343">
        <v>0</v>
      </c>
    </row>
    <row r="43" spans="1:98" ht="15.75" customHeight="1" thickBot="1">
      <c r="A43" s="26"/>
      <c r="B43" s="27" t="s">
        <v>199</v>
      </c>
      <c r="C43" s="26"/>
      <c r="D43" s="26"/>
      <c r="E43" s="26"/>
      <c r="F43" s="26"/>
      <c r="G43" s="26"/>
      <c r="H43" s="26"/>
      <c r="I43" s="27"/>
      <c r="J43" s="27"/>
      <c r="K43" s="28"/>
      <c r="L43" s="21"/>
      <c r="M43" s="21"/>
      <c r="N43" s="21"/>
      <c r="O43" s="27"/>
      <c r="P43" s="27"/>
      <c r="Q43" s="237" t="s">
        <v>135</v>
      </c>
      <c r="R43" s="27"/>
      <c r="S43" s="27"/>
      <c r="T43" s="28" t="s">
        <v>3</v>
      </c>
      <c r="U43" s="604" t="str">
        <f>BO21&amp;" mm. สามชั้นแผ่เป็นรูปพัด"</f>
        <v>7-DB12 mm. สามชั้นแผ่เป็นรูปพัด</v>
      </c>
      <c r="V43" s="604"/>
      <c r="W43" s="604"/>
      <c r="X43" s="604"/>
      <c r="Y43" s="604"/>
      <c r="Z43" s="604"/>
      <c r="AA43" s="605"/>
      <c r="AB43" s="27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K43" s="390">
        <v>5</v>
      </c>
      <c r="BL43" s="177" t="s">
        <v>152</v>
      </c>
      <c r="BM43" s="177">
        <v>2.5</v>
      </c>
      <c r="BN43" s="204">
        <f t="shared" si="2"/>
        <v>4.908738521234052</v>
      </c>
      <c r="BO43" s="222">
        <f t="shared" si="3"/>
        <v>7.853981633974483</v>
      </c>
      <c r="BQ43" s="154" t="s">
        <v>181</v>
      </c>
      <c r="BR43" s="199">
        <f>BR42*1.37</f>
        <v>10.344425544446132</v>
      </c>
      <c r="BS43" s="199">
        <f>BR43*CE33</f>
        <v>10.79975546010621</v>
      </c>
      <c r="BU43" s="156"/>
      <c r="BV43" s="156"/>
      <c r="BW43" s="156"/>
      <c r="BX43" s="156"/>
      <c r="BY43" s="177"/>
      <c r="BZ43" s="177"/>
      <c r="CA43" s="345"/>
      <c r="CB43" s="357">
        <f>-(($BZ$17-0.025)*$CI$5)</f>
        <v>-0.3530277626683673</v>
      </c>
      <c r="CC43" s="344">
        <f>-(($CG$5-0.1)*$CI$5)</f>
        <v>-0.12525929955102047</v>
      </c>
      <c r="CG43" s="178">
        <v>21</v>
      </c>
      <c r="CH43" s="353" t="s">
        <v>109</v>
      </c>
      <c r="CI43" s="354" t="s">
        <v>110</v>
      </c>
      <c r="CM43" s="361">
        <f>-($CM$19*$CB$5)</f>
        <v>-0.2140197657578512</v>
      </c>
      <c r="CN43" s="342">
        <f>-(CP$37*CB$5)</f>
        <v>-0.3388514954977568</v>
      </c>
      <c r="CS43" s="411">
        <f>$CV$36*$CI$5</f>
        <v>0.4782870622193878</v>
      </c>
      <c r="CT43" s="349">
        <f>(($CG$5+0.05)*$CI$5)</f>
        <v>0.21920377421428583</v>
      </c>
    </row>
    <row r="44" spans="1:98" ht="15.75" customHeight="1" thickBot="1">
      <c r="A44" s="26"/>
      <c r="B44" s="27"/>
      <c r="C44" s="26"/>
      <c r="D44" s="26" t="s">
        <v>200</v>
      </c>
      <c r="E44" s="248" t="s">
        <v>3</v>
      </c>
      <c r="F44" s="536">
        <f>BR40</f>
        <v>4.53064555864976</v>
      </c>
      <c r="G44" s="514"/>
      <c r="H44" s="514"/>
      <c r="I44" s="28" t="str">
        <f>IF(F44&lt;J44,"&lt;",IF(F44=J44,"=",IF(F44&gt;J44,"&gt;")))</f>
        <v>&lt;</v>
      </c>
      <c r="J44" s="536">
        <f>BR39</f>
        <v>6.97106161212193</v>
      </c>
      <c r="K44" s="536"/>
      <c r="L44" s="536"/>
      <c r="M44" s="542" t="s">
        <v>51</v>
      </c>
      <c r="N44" s="542"/>
      <c r="O44" s="514" t="str">
        <f>IF(F44&lt;J44,"Ok.",IF(F44=J44,"Ok.",IF(F44&gt;J44,"Not Ok.")))</f>
        <v>Ok.</v>
      </c>
      <c r="P44" s="514"/>
      <c r="Q44" s="237" t="s">
        <v>136</v>
      </c>
      <c r="R44" s="27"/>
      <c r="S44" s="27"/>
      <c r="T44" s="28" t="s">
        <v>3</v>
      </c>
      <c r="U44" s="604" t="str">
        <f>F22</f>
        <v>3 I-0.22X0.22X21 m.</v>
      </c>
      <c r="V44" s="604"/>
      <c r="W44" s="604"/>
      <c r="X44" s="604"/>
      <c r="Y44" s="604"/>
      <c r="Z44" s="604"/>
      <c r="AA44" s="605"/>
      <c r="AB44" s="27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K44" s="390">
        <v>6</v>
      </c>
      <c r="BL44" s="177" t="s">
        <v>153</v>
      </c>
      <c r="BM44" s="177">
        <v>2.8</v>
      </c>
      <c r="BN44" s="204">
        <f t="shared" si="2"/>
        <v>6.157521601035993</v>
      </c>
      <c r="BO44" s="222">
        <f t="shared" si="3"/>
        <v>8.79645943005142</v>
      </c>
      <c r="BQ44" s="154" t="s">
        <v>243</v>
      </c>
      <c r="BR44" s="198">
        <f>(14/L9)*(100*BR19)</f>
        <v>25.666666666666668</v>
      </c>
      <c r="BS44" s="199">
        <f>BR44*CE33</f>
        <v>26.796434686978177</v>
      </c>
      <c r="BT44" s="154" t="s">
        <v>184</v>
      </c>
      <c r="BU44" s="388">
        <f>1.615*(SQRT($L$12)/($BM$27))</f>
        <v>23.602231663683263</v>
      </c>
      <c r="BV44" s="389">
        <f>IF(BU44&gt;11,11,IF(BU44&lt;=11,BU44))</f>
        <v>11</v>
      </c>
      <c r="BY44" s="156"/>
      <c r="BZ44" s="156"/>
      <c r="CA44" s="156"/>
      <c r="CB44" s="164"/>
      <c r="CC44" s="377"/>
      <c r="CG44" s="178">
        <v>22</v>
      </c>
      <c r="CH44" s="357">
        <f>(-CM$24*CB$5)</f>
        <v>-0.033631677476233766</v>
      </c>
      <c r="CI44" s="343">
        <f>CA$12*CB$5</f>
        <v>0.24712873874439198</v>
      </c>
      <c r="CM44" s="363">
        <f>-($CM$19*$CB$5)</f>
        <v>-0.2140197657578512</v>
      </c>
      <c r="CN44" s="347">
        <f>-($BY$9*$CB$5)</f>
        <v>-0.12356436937219605</v>
      </c>
      <c r="CS44" s="178"/>
      <c r="CT44" s="178"/>
    </row>
    <row r="45" spans="1:98" ht="15.75" customHeight="1" thickBot="1">
      <c r="A45" s="26"/>
      <c r="B45" s="27" t="s">
        <v>202</v>
      </c>
      <c r="C45" s="251"/>
      <c r="D45" s="251"/>
      <c r="E45" s="251"/>
      <c r="F45" s="251"/>
      <c r="G45" s="251"/>
      <c r="H45" s="26"/>
      <c r="I45" s="28"/>
      <c r="J45" s="28"/>
      <c r="K45" s="28"/>
      <c r="L45" s="21"/>
      <c r="M45" s="21"/>
      <c r="N45" s="21"/>
      <c r="O45" s="514"/>
      <c r="P45" s="514"/>
      <c r="Q45" s="249" t="s">
        <v>145</v>
      </c>
      <c r="R45" s="250"/>
      <c r="S45" s="250"/>
      <c r="T45" s="150" t="s">
        <v>3</v>
      </c>
      <c r="U45" s="602" t="str">
        <f>L23&amp;" kg./Pile"</f>
        <v>22000 kg./Pile</v>
      </c>
      <c r="V45" s="602"/>
      <c r="W45" s="602"/>
      <c r="X45" s="602"/>
      <c r="Y45" s="602"/>
      <c r="Z45" s="602"/>
      <c r="AA45" s="603"/>
      <c r="AB45" s="27"/>
      <c r="AC45" s="593" t="s">
        <v>203</v>
      </c>
      <c r="AD45" s="594"/>
      <c r="AE45" s="594"/>
      <c r="AF45" s="595"/>
      <c r="AG45" s="54"/>
      <c r="AH45" s="54"/>
      <c r="AI45" s="54"/>
      <c r="AJ45" s="54"/>
      <c r="AK45" s="54"/>
      <c r="AL45" s="54"/>
      <c r="AM45" s="54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K45" s="223">
        <v>7</v>
      </c>
      <c r="BL45" s="224" t="s">
        <v>154</v>
      </c>
      <c r="BM45" s="224">
        <v>3.2</v>
      </c>
      <c r="BN45" s="391">
        <f t="shared" si="2"/>
        <v>8.042477193189871</v>
      </c>
      <c r="BO45" s="225">
        <f t="shared" si="3"/>
        <v>10.053096491487338</v>
      </c>
      <c r="BQ45" s="392" t="s">
        <v>249</v>
      </c>
      <c r="BR45" s="198">
        <f>BR14/(BU47*V11*BR19)</f>
        <v>12.73289429521625</v>
      </c>
      <c r="BT45" s="154" t="s">
        <v>185</v>
      </c>
      <c r="BU45" s="388">
        <f>3.23*(SQRT($L$12)/($BM$27))</f>
        <v>47.204463327366526</v>
      </c>
      <c r="BV45" s="389">
        <f>IF(BU45&gt;35,35,IF(BU45&lt;=35,BU45))</f>
        <v>35</v>
      </c>
      <c r="BY45" s="369"/>
      <c r="CB45" s="357">
        <f>IF($CG$22&lt;=1,$BZ$61,IF($CG$22&gt;1,$BZ$62))</f>
        <v>-0.2353518417789115</v>
      </c>
      <c r="CC45" s="344">
        <f>-(($CG$5-0.1)*$CI$5)</f>
        <v>-0.12525929955102047</v>
      </c>
      <c r="CG45" s="178">
        <v>23</v>
      </c>
      <c r="CH45" s="357">
        <f>(CM$24*CB$5)</f>
        <v>0.033631677476233766</v>
      </c>
      <c r="CI45" s="343">
        <f>CA$12*CB$5</f>
        <v>0.24712873874439198</v>
      </c>
      <c r="CM45" s="178"/>
      <c r="CN45" s="178"/>
      <c r="CS45" s="178"/>
      <c r="CT45" s="178"/>
    </row>
    <row r="46" spans="1:98" ht="15.75" customHeight="1">
      <c r="A46" s="94"/>
      <c r="C46" s="27" t="s">
        <v>205</v>
      </c>
      <c r="D46" s="94"/>
      <c r="E46" s="94" t="s">
        <v>3</v>
      </c>
      <c r="F46" s="546">
        <f>BO23</f>
        <v>7.916813487046279</v>
      </c>
      <c r="G46" s="546"/>
      <c r="H46" s="546"/>
      <c r="I46" s="28" t="str">
        <f>IF(F46&lt;J46,"&lt;",IF(F46=J46,"=",IF(F46&gt;J46,"&gt;")))</f>
        <v>&gt;</v>
      </c>
      <c r="J46" s="599">
        <f>BR48</f>
        <v>7.883033182559278</v>
      </c>
      <c r="K46" s="599"/>
      <c r="L46" s="599"/>
      <c r="M46" s="542" t="s">
        <v>204</v>
      </c>
      <c r="N46" s="542"/>
      <c r="O46" s="514" t="str">
        <f>IF(F46&gt;J46,"Ok.",IF(F46=J46,"Ok.",IF(F46&lt;J46,"Not Ok.")))</f>
        <v>Ok.</v>
      </c>
      <c r="P46" s="514"/>
      <c r="Q46" s="25"/>
      <c r="R46" s="25"/>
      <c r="S46" s="25"/>
      <c r="T46" s="28"/>
      <c r="U46" s="28"/>
      <c r="V46" s="28"/>
      <c r="W46" s="27"/>
      <c r="X46" s="27"/>
      <c r="Y46" s="27"/>
      <c r="Z46" s="27"/>
      <c r="AA46" s="27"/>
      <c r="AB46" s="27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Q46" s="392" t="s">
        <v>250</v>
      </c>
      <c r="BR46" s="198">
        <f>BR14/(BU42*V11*BR19)</f>
        <v>12.73289429521625</v>
      </c>
      <c r="BU46" s="156">
        <f>IF(L9=2400,1,IF(L9&gt;2400,2))</f>
        <v>2</v>
      </c>
      <c r="BV46" s="156"/>
      <c r="CB46" s="164"/>
      <c r="CC46" s="377"/>
      <c r="CG46" s="178">
        <v>24</v>
      </c>
      <c r="CH46" s="358"/>
      <c r="CI46" s="343"/>
      <c r="CM46" s="361">
        <f>($CM$19*$CB$5)</f>
        <v>0.2140197657578512</v>
      </c>
      <c r="CN46" s="342">
        <f>-(CP$37*CB$5)</f>
        <v>-0.3388514954977568</v>
      </c>
      <c r="CS46" s="178"/>
      <c r="CT46" s="178"/>
    </row>
    <row r="47" spans="1:92" ht="15.75" customHeight="1" thickBot="1">
      <c r="A47" s="94"/>
      <c r="B47" s="38" t="s">
        <v>207</v>
      </c>
      <c r="C47" s="26"/>
      <c r="D47" s="26"/>
      <c r="E47" s="26"/>
      <c r="F47" s="26"/>
      <c r="G47" s="26"/>
      <c r="H47" s="26"/>
      <c r="I47" s="28"/>
      <c r="J47" s="28"/>
      <c r="K47" s="28"/>
      <c r="L47" s="21"/>
      <c r="M47" s="21"/>
      <c r="N47" s="21"/>
      <c r="O47" s="28"/>
      <c r="P47" s="28"/>
      <c r="Q47" s="25"/>
      <c r="R47" s="25"/>
      <c r="S47" s="25"/>
      <c r="T47" s="25"/>
      <c r="U47" s="28"/>
      <c r="V47" s="28"/>
      <c r="W47" s="27"/>
      <c r="X47" s="27"/>
      <c r="Y47" s="27"/>
      <c r="Z47" s="27"/>
      <c r="AA47" s="27"/>
      <c r="AB47" s="27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R47" s="154">
        <f>IF(BR42&lt;=BR43,1,IF(BR42&gt;BR43,2))</f>
        <v>1</v>
      </c>
      <c r="BT47" s="154" t="s">
        <v>186</v>
      </c>
      <c r="BU47" s="204">
        <f>IF(BU46=1,BV44,IF(BU46=2,BV45))</f>
        <v>35</v>
      </c>
      <c r="BV47" s="156"/>
      <c r="CB47" s="357">
        <f>IF($CG$22&lt;=2,$BZ$61,IF($CG$22&gt;1,$BZ$63))</f>
        <v>-0.11767592088945575</v>
      </c>
      <c r="CC47" s="344">
        <f>-(($CG$5-0.1)*$CI$5)</f>
        <v>-0.12525929955102047</v>
      </c>
      <c r="CG47" s="178">
        <v>25</v>
      </c>
      <c r="CH47" s="357">
        <v>0</v>
      </c>
      <c r="CI47" s="343">
        <f>CM$29*CB$5</f>
        <v>0.28076041622062575</v>
      </c>
      <c r="CM47" s="363">
        <f>($CM$19*$CB$5)</f>
        <v>0.2140197657578512</v>
      </c>
      <c r="CN47" s="347">
        <f>-($BY$9*$CB$5)</f>
        <v>-0.12356436937219605</v>
      </c>
    </row>
    <row r="48" spans="1:87" ht="15.75" customHeight="1" thickBot="1">
      <c r="A48" s="26"/>
      <c r="B48" s="26"/>
      <c r="C48" s="78" t="s">
        <v>208</v>
      </c>
      <c r="D48" s="26"/>
      <c r="E48" s="26" t="s">
        <v>3</v>
      </c>
      <c r="F48" s="599">
        <f>BO24</f>
        <v>26.389378290154262</v>
      </c>
      <c r="G48" s="599"/>
      <c r="H48" s="599"/>
      <c r="I48" s="28" t="str">
        <f>IF(F48&lt;J48,"&lt;",IF(F48=J48,"=",IF(F48&gt;J48,"&gt;")))</f>
        <v>&gt;</v>
      </c>
      <c r="J48" s="599">
        <f>BR45</f>
        <v>12.73289429521625</v>
      </c>
      <c r="K48" s="600"/>
      <c r="L48" s="600"/>
      <c r="M48" s="600" t="s">
        <v>62</v>
      </c>
      <c r="N48" s="600"/>
      <c r="O48" s="514" t="str">
        <f>IF(F48&gt;J48,"Ok.",IF(F48=J48,"Ok.",IF(F48&lt;J48,"Not Ok.")))</f>
        <v>Ok.</v>
      </c>
      <c r="P48" s="514"/>
      <c r="Q48" s="65"/>
      <c r="R48" s="30"/>
      <c r="S48" s="30"/>
      <c r="T48" s="30"/>
      <c r="U48" s="30"/>
      <c r="V48" s="30"/>
      <c r="W48" s="27"/>
      <c r="X48" s="26"/>
      <c r="Y48" s="27"/>
      <c r="Z48" s="27"/>
      <c r="AA48" s="27"/>
      <c r="AB48" s="27"/>
      <c r="AC48" s="41"/>
      <c r="AD48" s="41"/>
      <c r="AE48" s="41"/>
      <c r="AF48" s="41"/>
      <c r="AG48" s="54"/>
      <c r="AH48" s="54"/>
      <c r="AI48" s="54"/>
      <c r="AJ48" s="54"/>
      <c r="AK48" s="54"/>
      <c r="AL48" s="54"/>
      <c r="AM48" s="54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R48" s="404">
        <f>IF(BR47=1,BS42,IF(BR47=2,BS43))</f>
        <v>7.883033182559278</v>
      </c>
      <c r="CB48" s="164"/>
      <c r="CC48" s="377"/>
      <c r="CH48" s="363">
        <v>0</v>
      </c>
      <c r="CI48" s="347">
        <f>CM$30*CB$5</f>
        <v>0.21349706126815823</v>
      </c>
    </row>
    <row r="49" spans="17:92" ht="15.75" customHeight="1" thickBot="1">
      <c r="Q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CB49" s="357">
        <f>IF($CG$22&lt;=3,$BZ$61,IF($CG$22&gt;1,$BZ$64))</f>
        <v>0</v>
      </c>
      <c r="CC49" s="344">
        <f>-(($CG$5-0.1)*$CI$5)</f>
        <v>-0.12525929955102047</v>
      </c>
      <c r="CM49" s="361">
        <f>-($CM$21*$CB$5)</f>
        <v>-0.24765144323408497</v>
      </c>
      <c r="CN49" s="342">
        <f>-($CP$38*$CB$5)</f>
        <v>-0.38471287387443925</v>
      </c>
    </row>
    <row r="50" spans="3:92" ht="15.75" customHeight="1">
      <c r="C50" s="78"/>
      <c r="E50" s="30"/>
      <c r="F50" s="57"/>
      <c r="G50" s="57"/>
      <c r="H50" s="57"/>
      <c r="I50" s="28"/>
      <c r="J50" s="57"/>
      <c r="K50" s="30"/>
      <c r="L50" s="30"/>
      <c r="M50" s="30"/>
      <c r="N50" s="30"/>
      <c r="O50" s="27"/>
      <c r="P50" s="27"/>
      <c r="S50" s="567" t="s">
        <v>49</v>
      </c>
      <c r="T50" s="567"/>
      <c r="U50" s="567"/>
      <c r="V50" s="512" t="str">
        <f>Cover!D10</f>
        <v>สมมุติ</v>
      </c>
      <c r="W50" s="512"/>
      <c r="X50" s="512"/>
      <c r="Y50" s="512"/>
      <c r="Z50" s="512"/>
      <c r="AA50" s="512"/>
      <c r="AB50" s="32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156"/>
      <c r="CB50" s="164"/>
      <c r="CC50" s="377"/>
      <c r="CL50" s="377"/>
      <c r="CM50" s="198">
        <v>0</v>
      </c>
      <c r="CN50" s="343">
        <f>-(CP$38*CB$5)</f>
        <v>-0.38471287387443925</v>
      </c>
    </row>
    <row r="51" spans="19:92" ht="15.75" customHeight="1" thickBot="1">
      <c r="S51" s="567" t="s">
        <v>50</v>
      </c>
      <c r="T51" s="567"/>
      <c r="U51" s="567"/>
      <c r="V51" s="513" t="str">
        <f>Cover!H10</f>
        <v>สย.0000</v>
      </c>
      <c r="W51" s="513"/>
      <c r="X51" s="513"/>
      <c r="Y51" s="513"/>
      <c r="Z51" s="513"/>
      <c r="AA51" s="513"/>
      <c r="AB51" s="32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156"/>
      <c r="BO51" s="227"/>
      <c r="BP51" s="227"/>
      <c r="BQ51" s="227"/>
      <c r="CB51" s="357">
        <f>IF($CG$22&lt;=4,$BZ$61,IF($CG$22&gt;1,$BZ$65))</f>
        <v>0.11767592088945575</v>
      </c>
      <c r="CC51" s="344">
        <f>-(($CG$5-0.1)*$CI$5)</f>
        <v>-0.12525929955102047</v>
      </c>
      <c r="CM51" s="363">
        <f>($CM$21*$CB$5)</f>
        <v>0.24765144323408497</v>
      </c>
      <c r="CN51" s="347">
        <f>-(CP$38*CB$5)</f>
        <v>-0.38471287387443925</v>
      </c>
    </row>
    <row r="52" spans="29:81" ht="15.75" customHeight="1"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156"/>
      <c r="CB52" s="164"/>
      <c r="CC52" s="377"/>
    </row>
    <row r="53" spans="29:81" ht="15.75" customHeight="1"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O53" s="227"/>
      <c r="BP53" s="227"/>
      <c r="BQ53" s="227"/>
      <c r="BR53" s="227"/>
      <c r="CB53" s="357">
        <f>IF($CG$22&lt;=5,$BZ$61,IF($CG$22&gt;1,$BZ$66))</f>
        <v>0.2353518417789115</v>
      </c>
      <c r="CC53" s="344">
        <f>-(($CG$5-0.1)*$CI$5)</f>
        <v>-0.12525929955102047</v>
      </c>
    </row>
    <row r="54" spans="29:81" ht="15.75" customHeight="1"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P54" s="228"/>
      <c r="BQ54" s="228"/>
      <c r="BR54" s="228"/>
      <c r="BS54" s="228"/>
      <c r="BT54" s="228"/>
      <c r="CB54" s="164"/>
      <c r="CC54" s="377"/>
    </row>
    <row r="55" spans="1:81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8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CB55" s="357">
        <f>IF($CG$22&lt;=6,$BZ$61,IF($CG$22&gt;1,$BZ$67))</f>
        <v>0.3530277626683673</v>
      </c>
      <c r="CC55" s="344">
        <f>-(($CG$5-0.1)*$CI$5)</f>
        <v>-0.12525929955102047</v>
      </c>
    </row>
    <row r="56" spans="1:81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8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CB56" s="164"/>
      <c r="CC56" s="377"/>
    </row>
    <row r="57" spans="1:81" ht="15.75" customHeight="1">
      <c r="A57" s="26"/>
      <c r="B57" s="26"/>
      <c r="C57" s="33"/>
      <c r="D57" s="33"/>
      <c r="E57" s="33"/>
      <c r="F57" s="33"/>
      <c r="G57" s="2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7"/>
      <c r="AA57" s="34"/>
      <c r="AB57" s="27"/>
      <c r="CB57" s="357">
        <f>IF($CG$22&lt;=7,$BZ$61,IF($CG$22&gt;1,$BZ$68))</f>
        <v>0.3530277626683673</v>
      </c>
      <c r="CC57" s="344">
        <f>-(($CG$5-0.1)*$CI$5)</f>
        <v>-0.12525929955102047</v>
      </c>
    </row>
    <row r="58" spans="1:81" ht="15.75" customHeight="1">
      <c r="A58" s="26"/>
      <c r="B58" s="35"/>
      <c r="C58" s="36"/>
      <c r="D58" s="35"/>
      <c r="E58" s="35"/>
      <c r="F58" s="35"/>
      <c r="G58" s="27"/>
      <c r="H58" s="27"/>
      <c r="I58" s="27"/>
      <c r="J58" s="27"/>
      <c r="K58" s="27"/>
      <c r="L58" s="27"/>
      <c r="M58" s="3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34"/>
      <c r="AB58" s="27"/>
      <c r="CB58" s="164"/>
      <c r="CC58" s="377"/>
    </row>
    <row r="59" spans="1:81" ht="15.75" customHeight="1" thickBot="1">
      <c r="A59" s="26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6"/>
      <c r="CB59" s="357">
        <f>IF($CG$22&lt;=8,$BZ$61,IF($CG$22&gt;1,$BZ$69))</f>
        <v>0.3530277626683673</v>
      </c>
      <c r="CC59" s="344">
        <f>-(($CG$5-0.1)*$CI$5)</f>
        <v>-0.12525929955102047</v>
      </c>
    </row>
    <row r="60" spans="1:106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  <c r="O60" s="27"/>
      <c r="P60" s="27"/>
      <c r="Q60" s="27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BZ60" s="394" t="s">
        <v>130</v>
      </c>
      <c r="CB60" s="164"/>
      <c r="CC60" s="377"/>
      <c r="CD60" s="157"/>
      <c r="CE60" s="395">
        <v>2</v>
      </c>
      <c r="CF60" s="341">
        <v>3</v>
      </c>
      <c r="CG60" s="341">
        <v>4</v>
      </c>
      <c r="CH60" s="341">
        <v>5</v>
      </c>
      <c r="CI60" s="341">
        <v>6</v>
      </c>
      <c r="CJ60" s="341">
        <v>7</v>
      </c>
      <c r="CK60" s="341">
        <v>8</v>
      </c>
      <c r="CL60" s="341">
        <v>9</v>
      </c>
      <c r="CM60" s="341">
        <v>10</v>
      </c>
      <c r="CN60" s="341">
        <v>11</v>
      </c>
      <c r="CO60" s="341">
        <v>12</v>
      </c>
      <c r="CP60" s="341">
        <v>13</v>
      </c>
      <c r="CQ60" s="341">
        <v>14</v>
      </c>
      <c r="CR60" s="341">
        <v>15</v>
      </c>
      <c r="CS60" s="341">
        <v>16</v>
      </c>
      <c r="CT60" s="341">
        <v>17</v>
      </c>
      <c r="CU60" s="341">
        <v>18</v>
      </c>
      <c r="CV60" s="341">
        <v>19</v>
      </c>
      <c r="CW60" s="341">
        <v>20</v>
      </c>
      <c r="CX60" s="341">
        <v>21</v>
      </c>
      <c r="CY60" s="341">
        <v>22</v>
      </c>
      <c r="CZ60" s="341">
        <v>23</v>
      </c>
      <c r="DA60" s="341">
        <v>24</v>
      </c>
      <c r="DB60" s="342">
        <v>25</v>
      </c>
    </row>
    <row r="61" spans="1:106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7"/>
      <c r="O61" s="27"/>
      <c r="P61" s="27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BZ61" s="396">
        <f>VLOOKUP(1,$CD$61:$DB$84,$CH$22,TRUE)</f>
        <v>0.3530277626683673</v>
      </c>
      <c r="CB61" s="357">
        <f>IF($CG$22&lt;=9,$BZ$61,IF($CG$22&gt;1,$BZ$70))</f>
        <v>0.3530277626683673</v>
      </c>
      <c r="CC61" s="344">
        <f>-(($CG$5-0.1)*$CI$5)</f>
        <v>-0.12525929955102047</v>
      </c>
      <c r="CD61" s="164">
        <v>1</v>
      </c>
      <c r="CE61" s="204">
        <f aca="true" t="shared" si="4" ref="CE61:DB61">(($CA$17)*$CI$5)</f>
        <v>0.3530277626683673</v>
      </c>
      <c r="CF61" s="204">
        <f t="shared" si="4"/>
        <v>0.3530277626683673</v>
      </c>
      <c r="CG61" s="204">
        <f t="shared" si="4"/>
        <v>0.3530277626683673</v>
      </c>
      <c r="CH61" s="204">
        <f t="shared" si="4"/>
        <v>0.3530277626683673</v>
      </c>
      <c r="CI61" s="204">
        <f t="shared" si="4"/>
        <v>0.3530277626683673</v>
      </c>
      <c r="CJ61" s="204">
        <f t="shared" si="4"/>
        <v>0.3530277626683673</v>
      </c>
      <c r="CK61" s="204">
        <f t="shared" si="4"/>
        <v>0.3530277626683673</v>
      </c>
      <c r="CL61" s="204">
        <f t="shared" si="4"/>
        <v>0.3530277626683673</v>
      </c>
      <c r="CM61" s="204">
        <f t="shared" si="4"/>
        <v>0.3530277626683673</v>
      </c>
      <c r="CN61" s="204">
        <f t="shared" si="4"/>
        <v>0.3530277626683673</v>
      </c>
      <c r="CO61" s="204">
        <f t="shared" si="4"/>
        <v>0.3530277626683673</v>
      </c>
      <c r="CP61" s="204">
        <f t="shared" si="4"/>
        <v>0.3530277626683673</v>
      </c>
      <c r="CQ61" s="204">
        <f t="shared" si="4"/>
        <v>0.3530277626683673</v>
      </c>
      <c r="CR61" s="204">
        <f t="shared" si="4"/>
        <v>0.3530277626683673</v>
      </c>
      <c r="CS61" s="204">
        <f t="shared" si="4"/>
        <v>0.3530277626683673</v>
      </c>
      <c r="CT61" s="204">
        <f t="shared" si="4"/>
        <v>0.3530277626683673</v>
      </c>
      <c r="CU61" s="204">
        <f t="shared" si="4"/>
        <v>0.3530277626683673</v>
      </c>
      <c r="CV61" s="204">
        <f t="shared" si="4"/>
        <v>0.3530277626683673</v>
      </c>
      <c r="CW61" s="204">
        <f t="shared" si="4"/>
        <v>0.3530277626683673</v>
      </c>
      <c r="CX61" s="204">
        <f t="shared" si="4"/>
        <v>0.3530277626683673</v>
      </c>
      <c r="CY61" s="204">
        <f t="shared" si="4"/>
        <v>0.3530277626683673</v>
      </c>
      <c r="CZ61" s="204">
        <f t="shared" si="4"/>
        <v>0.3530277626683673</v>
      </c>
      <c r="DA61" s="204">
        <f t="shared" si="4"/>
        <v>0.3530277626683673</v>
      </c>
      <c r="DB61" s="344">
        <f t="shared" si="4"/>
        <v>0.3530277626683673</v>
      </c>
    </row>
    <row r="62" spans="78:106" ht="15.75" customHeight="1">
      <c r="BZ62" s="396">
        <f>VLOOKUP(2,$CD$61:$DB$84,$CH$22,TRUE)</f>
        <v>-0.2353518417789115</v>
      </c>
      <c r="CB62" s="164"/>
      <c r="CC62" s="377"/>
      <c r="CD62" s="164">
        <v>2</v>
      </c>
      <c r="CE62" s="156"/>
      <c r="CF62" s="204">
        <f>$CA$17-$CA$17</f>
        <v>0</v>
      </c>
      <c r="CG62" s="352">
        <f>-($CA$17-(($CA$17*2)/CG22))*CI5</f>
        <v>-0.2353518417789115</v>
      </c>
      <c r="CH62" s="352">
        <f>-($CA$17-(($CA$17*2)/CG22))*CI5</f>
        <v>-0.2353518417789115</v>
      </c>
      <c r="CI62" s="352">
        <f>-($CA$17-(($CA$17*2)/CG22))*CI5</f>
        <v>-0.2353518417789115</v>
      </c>
      <c r="CJ62" s="352">
        <f>-($CA$17-(($CA$17*2)/CG22))*CI5</f>
        <v>-0.2353518417789115</v>
      </c>
      <c r="CK62" s="388">
        <f aca="true" t="shared" si="5" ref="CK62:DB62">-($CA$17-(($CA$17*2)/$CG$22))*$CI$5</f>
        <v>-0.2353518417789115</v>
      </c>
      <c r="CL62" s="388">
        <f t="shared" si="5"/>
        <v>-0.2353518417789115</v>
      </c>
      <c r="CM62" s="388">
        <f t="shared" si="5"/>
        <v>-0.2353518417789115</v>
      </c>
      <c r="CN62" s="388">
        <f t="shared" si="5"/>
        <v>-0.2353518417789115</v>
      </c>
      <c r="CO62" s="388">
        <f t="shared" si="5"/>
        <v>-0.2353518417789115</v>
      </c>
      <c r="CP62" s="388">
        <f t="shared" si="5"/>
        <v>-0.2353518417789115</v>
      </c>
      <c r="CQ62" s="388">
        <f t="shared" si="5"/>
        <v>-0.2353518417789115</v>
      </c>
      <c r="CR62" s="388">
        <f t="shared" si="5"/>
        <v>-0.2353518417789115</v>
      </c>
      <c r="CS62" s="388">
        <f t="shared" si="5"/>
        <v>-0.2353518417789115</v>
      </c>
      <c r="CT62" s="388">
        <f t="shared" si="5"/>
        <v>-0.2353518417789115</v>
      </c>
      <c r="CU62" s="388">
        <f t="shared" si="5"/>
        <v>-0.2353518417789115</v>
      </c>
      <c r="CV62" s="388">
        <f t="shared" si="5"/>
        <v>-0.2353518417789115</v>
      </c>
      <c r="CW62" s="388">
        <f t="shared" si="5"/>
        <v>-0.2353518417789115</v>
      </c>
      <c r="CX62" s="388">
        <f t="shared" si="5"/>
        <v>-0.2353518417789115</v>
      </c>
      <c r="CY62" s="388">
        <f t="shared" si="5"/>
        <v>-0.2353518417789115</v>
      </c>
      <c r="CZ62" s="388">
        <f t="shared" si="5"/>
        <v>-0.2353518417789115</v>
      </c>
      <c r="DA62" s="388">
        <f t="shared" si="5"/>
        <v>-0.2353518417789115</v>
      </c>
      <c r="DB62" s="397">
        <f t="shared" si="5"/>
        <v>-0.2353518417789115</v>
      </c>
    </row>
    <row r="63" spans="8:106" ht="15.75" customHeight="1"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BZ63" s="396">
        <f>VLOOKUP(3,$CD$61:$DB$84,$CH$22,TRUE)</f>
        <v>-0.11767592088945575</v>
      </c>
      <c r="CB63" s="357">
        <f>IF($CG$22&lt;=10,$BZ$61,IF($CG$22&gt;1,$BZ$71))</f>
        <v>0.3530277626683673</v>
      </c>
      <c r="CC63" s="344">
        <f>-(($CG$5-0.1)*$CI$5)</f>
        <v>-0.12525929955102047</v>
      </c>
      <c r="CD63" s="164">
        <v>3</v>
      </c>
      <c r="CE63" s="156"/>
      <c r="CF63" s="156"/>
      <c r="CG63" s="352">
        <f>($CA$17-(($CA$17*2)/CG22))*CI5</f>
        <v>0.2353518417789115</v>
      </c>
      <c r="CH63" s="352">
        <f>$CA$17-$CA$17</f>
        <v>0</v>
      </c>
      <c r="CI63" s="352">
        <f>-($CA$17-(($CA$17*2)/CG22)*2)*CI5</f>
        <v>-0.11767592088945575</v>
      </c>
      <c r="CJ63" s="352">
        <f>-($CA$17-(($CA$17*2)/CG22)*2)*CI5</f>
        <v>-0.11767592088945575</v>
      </c>
      <c r="CK63" s="388">
        <f aca="true" t="shared" si="6" ref="CK63:DB63">-($CA$17-(($CA$17*2)/$CG$22)*2)*$CI$5</f>
        <v>-0.11767592088945575</v>
      </c>
      <c r="CL63" s="388">
        <f t="shared" si="6"/>
        <v>-0.11767592088945575</v>
      </c>
      <c r="CM63" s="388">
        <f t="shared" si="6"/>
        <v>-0.11767592088945575</v>
      </c>
      <c r="CN63" s="388">
        <f t="shared" si="6"/>
        <v>-0.11767592088945575</v>
      </c>
      <c r="CO63" s="388">
        <f t="shared" si="6"/>
        <v>-0.11767592088945575</v>
      </c>
      <c r="CP63" s="388">
        <f t="shared" si="6"/>
        <v>-0.11767592088945575</v>
      </c>
      <c r="CQ63" s="388">
        <f t="shared" si="6"/>
        <v>-0.11767592088945575</v>
      </c>
      <c r="CR63" s="388">
        <f t="shared" si="6"/>
        <v>-0.11767592088945575</v>
      </c>
      <c r="CS63" s="388">
        <f t="shared" si="6"/>
        <v>-0.11767592088945575</v>
      </c>
      <c r="CT63" s="388">
        <f t="shared" si="6"/>
        <v>-0.11767592088945575</v>
      </c>
      <c r="CU63" s="388">
        <f t="shared" si="6"/>
        <v>-0.11767592088945575</v>
      </c>
      <c r="CV63" s="388">
        <f t="shared" si="6"/>
        <v>-0.11767592088945575</v>
      </c>
      <c r="CW63" s="388">
        <f t="shared" si="6"/>
        <v>-0.11767592088945575</v>
      </c>
      <c r="CX63" s="388">
        <f t="shared" si="6"/>
        <v>-0.11767592088945575</v>
      </c>
      <c r="CY63" s="388">
        <f t="shared" si="6"/>
        <v>-0.11767592088945575</v>
      </c>
      <c r="CZ63" s="388">
        <f t="shared" si="6"/>
        <v>-0.11767592088945575</v>
      </c>
      <c r="DA63" s="388">
        <f t="shared" si="6"/>
        <v>-0.11767592088945575</v>
      </c>
      <c r="DB63" s="397">
        <f t="shared" si="6"/>
        <v>-0.11767592088945575</v>
      </c>
    </row>
    <row r="64" spans="78:106" ht="15.75" customHeight="1">
      <c r="BZ64" s="396">
        <f>VLOOKUP(4,$CD$61:$DB$84,$CH$22,TRUE)</f>
        <v>0</v>
      </c>
      <c r="CA64" s="198"/>
      <c r="CB64" s="164"/>
      <c r="CC64" s="377"/>
      <c r="CD64" s="164">
        <v>4</v>
      </c>
      <c r="CE64" s="156"/>
      <c r="CF64" s="156"/>
      <c r="CG64" s="381"/>
      <c r="CH64" s="352">
        <f>($CA$17-(($CA$17*2)/CG22))*CI5</f>
        <v>0.2353518417789115</v>
      </c>
      <c r="CI64" s="352">
        <f>($CA$17-(($CA$17*2)/CG22)*2)*CI5</f>
        <v>0.11767592088945575</v>
      </c>
      <c r="CJ64" s="352">
        <f>$CA$17-$CA$17</f>
        <v>0</v>
      </c>
      <c r="CK64" s="388">
        <f aca="true" t="shared" si="7" ref="CK64:DB64">-($CA$17-(($CA$17*2)/$CG$22)*3)*$CI$5</f>
        <v>0</v>
      </c>
      <c r="CL64" s="388">
        <f t="shared" si="7"/>
        <v>0</v>
      </c>
      <c r="CM64" s="388">
        <f t="shared" si="7"/>
        <v>0</v>
      </c>
      <c r="CN64" s="388">
        <f t="shared" si="7"/>
        <v>0</v>
      </c>
      <c r="CO64" s="388">
        <f t="shared" si="7"/>
        <v>0</v>
      </c>
      <c r="CP64" s="388">
        <f t="shared" si="7"/>
        <v>0</v>
      </c>
      <c r="CQ64" s="388">
        <f t="shared" si="7"/>
        <v>0</v>
      </c>
      <c r="CR64" s="388">
        <f t="shared" si="7"/>
        <v>0</v>
      </c>
      <c r="CS64" s="388">
        <f t="shared" si="7"/>
        <v>0</v>
      </c>
      <c r="CT64" s="388">
        <f t="shared" si="7"/>
        <v>0</v>
      </c>
      <c r="CU64" s="388">
        <f t="shared" si="7"/>
        <v>0</v>
      </c>
      <c r="CV64" s="388">
        <f t="shared" si="7"/>
        <v>0</v>
      </c>
      <c r="CW64" s="388">
        <f t="shared" si="7"/>
        <v>0</v>
      </c>
      <c r="CX64" s="388">
        <f t="shared" si="7"/>
        <v>0</v>
      </c>
      <c r="CY64" s="388">
        <f t="shared" si="7"/>
        <v>0</v>
      </c>
      <c r="CZ64" s="388">
        <f t="shared" si="7"/>
        <v>0</v>
      </c>
      <c r="DA64" s="388">
        <f t="shared" si="7"/>
        <v>0</v>
      </c>
      <c r="DB64" s="397">
        <f t="shared" si="7"/>
        <v>0</v>
      </c>
    </row>
    <row r="65" spans="78:106" ht="15.75" customHeight="1">
      <c r="BZ65" s="396">
        <f>VLOOKUP(5,$CD$61:$DB$84,$CH$22,TRUE)</f>
        <v>0.11767592088945575</v>
      </c>
      <c r="CA65" s="198"/>
      <c r="CB65" s="357">
        <f>IF($CG$22&lt;=11,$BZ$61,IF($CG$22&gt;1,$BZ$72))</f>
        <v>0.3530277626683673</v>
      </c>
      <c r="CC65" s="344">
        <f>-(($CG$5-0.1)*$CI$5)</f>
        <v>-0.12525929955102047</v>
      </c>
      <c r="CD65" s="164">
        <v>5</v>
      </c>
      <c r="CE65" s="156"/>
      <c r="CF65" s="156"/>
      <c r="CG65" s="381"/>
      <c r="CH65" s="381"/>
      <c r="CI65" s="352">
        <f>($CA$17-(($CA$17*2)/CG22))*CI5</f>
        <v>0.2353518417789115</v>
      </c>
      <c r="CJ65" s="352">
        <f>($CA$17-(($CA$17*2)/CG22)*2)*CI5</f>
        <v>0.11767592088945575</v>
      </c>
      <c r="CK65" s="388">
        <f>($CA$17-(($CA$17*2)/$CG$22)*3)*$CI$5</f>
        <v>0</v>
      </c>
      <c r="CL65" s="352">
        <f>$CA$17-$CA$17</f>
        <v>0</v>
      </c>
      <c r="CM65" s="388">
        <f aca="true" t="shared" si="8" ref="CM65:DB65">-($CA$17-(($CA$17*2)/$CG$22)*4)*$CI$5</f>
        <v>0.11767592088945579</v>
      </c>
      <c r="CN65" s="388">
        <f t="shared" si="8"/>
        <v>0.11767592088945579</v>
      </c>
      <c r="CO65" s="388">
        <f t="shared" si="8"/>
        <v>0.11767592088945579</v>
      </c>
      <c r="CP65" s="388">
        <f t="shared" si="8"/>
        <v>0.11767592088945579</v>
      </c>
      <c r="CQ65" s="388">
        <f t="shared" si="8"/>
        <v>0.11767592088945579</v>
      </c>
      <c r="CR65" s="388">
        <f t="shared" si="8"/>
        <v>0.11767592088945579</v>
      </c>
      <c r="CS65" s="388">
        <f t="shared" si="8"/>
        <v>0.11767592088945579</v>
      </c>
      <c r="CT65" s="388">
        <f t="shared" si="8"/>
        <v>0.11767592088945579</v>
      </c>
      <c r="CU65" s="388">
        <f t="shared" si="8"/>
        <v>0.11767592088945579</v>
      </c>
      <c r="CV65" s="388">
        <f t="shared" si="8"/>
        <v>0.11767592088945579</v>
      </c>
      <c r="CW65" s="388">
        <f t="shared" si="8"/>
        <v>0.11767592088945579</v>
      </c>
      <c r="CX65" s="388">
        <f t="shared" si="8"/>
        <v>0.11767592088945579</v>
      </c>
      <c r="CY65" s="388">
        <f t="shared" si="8"/>
        <v>0.11767592088945579</v>
      </c>
      <c r="CZ65" s="388">
        <f t="shared" si="8"/>
        <v>0.11767592088945579</v>
      </c>
      <c r="DA65" s="388">
        <f t="shared" si="8"/>
        <v>0.11767592088945579</v>
      </c>
      <c r="DB65" s="397">
        <f t="shared" si="8"/>
        <v>0.11767592088945579</v>
      </c>
    </row>
    <row r="66" spans="78:106" ht="15.75" customHeight="1">
      <c r="BZ66" s="396">
        <f>VLOOKUP(6,$CD$61:$DB$84,$CH$22,TRUE)</f>
        <v>0.2353518417789115</v>
      </c>
      <c r="CA66" s="198"/>
      <c r="CB66" s="164"/>
      <c r="CC66" s="377"/>
      <c r="CD66" s="164">
        <v>6</v>
      </c>
      <c r="CE66" s="156"/>
      <c r="CF66" s="156"/>
      <c r="CG66" s="381"/>
      <c r="CH66" s="381"/>
      <c r="CI66" s="381"/>
      <c r="CJ66" s="352">
        <f>($CA$17-(($CA$17*2)/CG22))*CI5</f>
        <v>0.2353518417789115</v>
      </c>
      <c r="CK66" s="388">
        <f>($CA$17-(($CA$17*2)/$CG$22)*2)*$CI$5</f>
        <v>0.11767592088945575</v>
      </c>
      <c r="CL66" s="388">
        <f>($CA$17-(($CA$17*2)/$CG$22)*3)*$CI$5</f>
        <v>0</v>
      </c>
      <c r="CM66" s="388">
        <f>($CA$17-(($CA$17*2)/$CG$22)*4)*$CI$5</f>
        <v>-0.11767592088945579</v>
      </c>
      <c r="CN66" s="352">
        <f>$CA$17-$CA$17</f>
        <v>0</v>
      </c>
      <c r="CO66" s="388">
        <f aca="true" t="shared" si="9" ref="CO66:DB66">-($CA$17-(($CA$17*2)/$CG$22)*5)*$CI$5</f>
        <v>0.23535184177891158</v>
      </c>
      <c r="CP66" s="388">
        <f t="shared" si="9"/>
        <v>0.23535184177891158</v>
      </c>
      <c r="CQ66" s="388">
        <f t="shared" si="9"/>
        <v>0.23535184177891158</v>
      </c>
      <c r="CR66" s="388">
        <f t="shared" si="9"/>
        <v>0.23535184177891158</v>
      </c>
      <c r="CS66" s="388">
        <f t="shared" si="9"/>
        <v>0.23535184177891158</v>
      </c>
      <c r="CT66" s="388">
        <f t="shared" si="9"/>
        <v>0.23535184177891158</v>
      </c>
      <c r="CU66" s="388">
        <f t="shared" si="9"/>
        <v>0.23535184177891158</v>
      </c>
      <c r="CV66" s="388">
        <f t="shared" si="9"/>
        <v>0.23535184177891158</v>
      </c>
      <c r="CW66" s="388">
        <f t="shared" si="9"/>
        <v>0.23535184177891158</v>
      </c>
      <c r="CX66" s="388">
        <f t="shared" si="9"/>
        <v>0.23535184177891158</v>
      </c>
      <c r="CY66" s="388">
        <f t="shared" si="9"/>
        <v>0.23535184177891158</v>
      </c>
      <c r="CZ66" s="388">
        <f t="shared" si="9"/>
        <v>0.23535184177891158</v>
      </c>
      <c r="DA66" s="388">
        <f t="shared" si="9"/>
        <v>0.23535184177891158</v>
      </c>
      <c r="DB66" s="397">
        <f t="shared" si="9"/>
        <v>0.23535184177891158</v>
      </c>
    </row>
    <row r="67" spans="78:106" ht="15.75" customHeight="1">
      <c r="BZ67" s="396">
        <f>VLOOKUP(7,$CD$61:$DB$84,$CH$22,TRUE)</f>
        <v>0</v>
      </c>
      <c r="CA67" s="198"/>
      <c r="CB67" s="357">
        <f>IF($CG$22&lt;=12,$BZ$61,IF($CG$22&gt;1,$BZ$73))</f>
        <v>0.3530277626683673</v>
      </c>
      <c r="CC67" s="344">
        <f>-(($CG$5-0.1)*$CI$5)</f>
        <v>-0.12525929955102047</v>
      </c>
      <c r="CD67" s="164">
        <v>7</v>
      </c>
      <c r="CE67" s="156"/>
      <c r="CF67" s="156"/>
      <c r="CG67" s="156"/>
      <c r="CH67" s="156"/>
      <c r="CI67" s="156"/>
      <c r="CJ67" s="156"/>
      <c r="CK67" s="388">
        <f>($CA$17-(($CA$17*2)/$CG$22))*$CI$5</f>
        <v>0.2353518417789115</v>
      </c>
      <c r="CL67" s="388">
        <f>($CA$17-(($CA$17*2)/$CG$22)*2)*$CI$5</f>
        <v>0.11767592088945575</v>
      </c>
      <c r="CM67" s="388">
        <f>($CA$17-(($CA$17*2)/$CG$22)*3)*$CI$5</f>
        <v>0</v>
      </c>
      <c r="CN67" s="388">
        <f>($CA$17-(($CA$17*2)/$CG$22)*4)*$CI$5</f>
        <v>-0.11767592088945579</v>
      </c>
      <c r="CO67" s="388">
        <f>($CA$17-(($CA$17*2)/$CG$22)*5)*$CI$5</f>
        <v>-0.23535184177891158</v>
      </c>
      <c r="CP67" s="352">
        <f>$CA$17-$CA$17</f>
        <v>0</v>
      </c>
      <c r="CQ67" s="388">
        <f aca="true" t="shared" si="10" ref="CQ67:DB67">-($CA$17-(($CA$17*2)/$CG$22)*6)*$CI$5</f>
        <v>0.3530277626683673</v>
      </c>
      <c r="CR67" s="388">
        <f t="shared" si="10"/>
        <v>0.3530277626683673</v>
      </c>
      <c r="CS67" s="388">
        <f t="shared" si="10"/>
        <v>0.3530277626683673</v>
      </c>
      <c r="CT67" s="388">
        <f t="shared" si="10"/>
        <v>0.3530277626683673</v>
      </c>
      <c r="CU67" s="388">
        <f t="shared" si="10"/>
        <v>0.3530277626683673</v>
      </c>
      <c r="CV67" s="388">
        <f t="shared" si="10"/>
        <v>0.3530277626683673</v>
      </c>
      <c r="CW67" s="388">
        <f t="shared" si="10"/>
        <v>0.3530277626683673</v>
      </c>
      <c r="CX67" s="388">
        <f t="shared" si="10"/>
        <v>0.3530277626683673</v>
      </c>
      <c r="CY67" s="388">
        <f t="shared" si="10"/>
        <v>0.3530277626683673</v>
      </c>
      <c r="CZ67" s="388">
        <f t="shared" si="10"/>
        <v>0.3530277626683673</v>
      </c>
      <c r="DA67" s="388">
        <f t="shared" si="10"/>
        <v>0.3530277626683673</v>
      </c>
      <c r="DB67" s="397">
        <f t="shared" si="10"/>
        <v>0.3530277626683673</v>
      </c>
    </row>
    <row r="68" spans="78:106" ht="15.75" customHeight="1">
      <c r="BZ68" s="396">
        <f>VLOOKUP(8,$CD$61:$DB$84,$CH$22,TRUE)</f>
        <v>0</v>
      </c>
      <c r="CB68" s="164"/>
      <c r="CC68" s="377"/>
      <c r="CD68" s="164">
        <v>8</v>
      </c>
      <c r="CE68" s="156"/>
      <c r="CF68" s="156"/>
      <c r="CG68" s="156"/>
      <c r="CH68" s="156"/>
      <c r="CI68" s="156"/>
      <c r="CJ68" s="156"/>
      <c r="CK68" s="156"/>
      <c r="CL68" s="388">
        <f>($CA$17-(($CA$17*2)/$CG$22))*$CI$5</f>
        <v>0.2353518417789115</v>
      </c>
      <c r="CM68" s="388">
        <f>($CA$17-(($CA$17*2)/$CG$22)*2)*$CI$5</f>
        <v>0.11767592088945575</v>
      </c>
      <c r="CN68" s="388">
        <f>($CA$17-(($CA$17*2)/$CG$22)*3)*$CI$5</f>
        <v>0</v>
      </c>
      <c r="CO68" s="388">
        <f>($CA$17-(($CA$17*2)/$CG$22)*4)*$CI$5</f>
        <v>-0.11767592088945579</v>
      </c>
      <c r="CP68" s="388">
        <f>($CA$17-(($CA$17*2)/$CG$22)*5)*$CI$5</f>
        <v>-0.23535184177891158</v>
      </c>
      <c r="CQ68" s="388">
        <f>($CA$17-(($CA$17*2)/$CG$22)*6)*$CI$5</f>
        <v>-0.3530277626683673</v>
      </c>
      <c r="CR68" s="352">
        <f>$CA$17-$CA$17</f>
        <v>0</v>
      </c>
      <c r="CS68" s="388">
        <f aca="true" t="shared" si="11" ref="CS68:DB68">-($CA$17-(($CA$17*2)/$CG$22)*7)*$CI$5</f>
        <v>0.4707036835578231</v>
      </c>
      <c r="CT68" s="388">
        <f t="shared" si="11"/>
        <v>0.4707036835578231</v>
      </c>
      <c r="CU68" s="388">
        <f t="shared" si="11"/>
        <v>0.4707036835578231</v>
      </c>
      <c r="CV68" s="388">
        <f t="shared" si="11"/>
        <v>0.4707036835578231</v>
      </c>
      <c r="CW68" s="388">
        <f t="shared" si="11"/>
        <v>0.4707036835578231</v>
      </c>
      <c r="CX68" s="388">
        <f t="shared" si="11"/>
        <v>0.4707036835578231</v>
      </c>
      <c r="CY68" s="388">
        <f t="shared" si="11"/>
        <v>0.4707036835578231</v>
      </c>
      <c r="CZ68" s="388">
        <f t="shared" si="11"/>
        <v>0.4707036835578231</v>
      </c>
      <c r="DA68" s="388">
        <f t="shared" si="11"/>
        <v>0.4707036835578231</v>
      </c>
      <c r="DB68" s="397">
        <f t="shared" si="11"/>
        <v>0.4707036835578231</v>
      </c>
    </row>
    <row r="69" spans="78:106" ht="15.75" customHeight="1">
      <c r="BZ69" s="396">
        <f>VLOOKUP(9,$CD$61:$DB$84,$CH$22,TRUE)</f>
        <v>0</v>
      </c>
      <c r="CB69" s="357">
        <f>IF($CG$22&lt;=13,$BZ$61,IF($CG$22&gt;1,$BZ$74))</f>
        <v>0.3530277626683673</v>
      </c>
      <c r="CC69" s="344">
        <f>-(($CG$5-0.1)*$CI$5)</f>
        <v>-0.12525929955102047</v>
      </c>
      <c r="CD69" s="164">
        <v>9</v>
      </c>
      <c r="CE69" s="156"/>
      <c r="CF69" s="156"/>
      <c r="CG69" s="156"/>
      <c r="CH69" s="156"/>
      <c r="CI69" s="156"/>
      <c r="CJ69" s="156"/>
      <c r="CK69" s="156"/>
      <c r="CL69" s="156"/>
      <c r="CM69" s="388">
        <f>($CA$17-(($CA$17*2)/$CG$22))*$CI$5</f>
        <v>0.2353518417789115</v>
      </c>
      <c r="CN69" s="388">
        <f>($CA$17-(($CA$17*2)/$CG$22)*2)*$CI$5</f>
        <v>0.11767592088945575</v>
      </c>
      <c r="CO69" s="388">
        <f>($CA$17-(($CA$17*2)/$CG$22)*3)*$CI$5</f>
        <v>0</v>
      </c>
      <c r="CP69" s="388">
        <f>($CA$17-(($CA$17*2)/$CG$22)*4)*$CI$5</f>
        <v>-0.11767592088945579</v>
      </c>
      <c r="CQ69" s="388">
        <f>($CA$17-(($CA$17*2)/$CG$22)*5)*$CI$5</f>
        <v>-0.23535184177891158</v>
      </c>
      <c r="CR69" s="388">
        <f>($CA$17-(($CA$17*2)/$CG$22)*6)*$CI$5</f>
        <v>-0.3530277626683673</v>
      </c>
      <c r="CS69" s="388">
        <f>($CA$17-(($CA$17*2)/$CG$22)*7)*$CI$5</f>
        <v>-0.4707036835578231</v>
      </c>
      <c r="CT69" s="352">
        <f>$CA$17-$CA$17</f>
        <v>0</v>
      </c>
      <c r="CU69" s="388">
        <f aca="true" t="shared" si="12" ref="CU69:DB69">-($CA$17-(($CA$17*2)/$CG$22)*8)*$CI$5</f>
        <v>0.5883796044472789</v>
      </c>
      <c r="CV69" s="388">
        <f t="shared" si="12"/>
        <v>0.5883796044472789</v>
      </c>
      <c r="CW69" s="388">
        <f t="shared" si="12"/>
        <v>0.5883796044472789</v>
      </c>
      <c r="CX69" s="388">
        <f t="shared" si="12"/>
        <v>0.5883796044472789</v>
      </c>
      <c r="CY69" s="388">
        <f t="shared" si="12"/>
        <v>0.5883796044472789</v>
      </c>
      <c r="CZ69" s="388">
        <f t="shared" si="12"/>
        <v>0.5883796044472789</v>
      </c>
      <c r="DA69" s="388">
        <f t="shared" si="12"/>
        <v>0.5883796044472789</v>
      </c>
      <c r="DB69" s="397">
        <f t="shared" si="12"/>
        <v>0.5883796044472789</v>
      </c>
    </row>
    <row r="70" spans="78:106" ht="15.75" customHeight="1">
      <c r="BZ70" s="396">
        <f>VLOOKUP(10,$CD$61:$DB$84,$CH$22,TRUE)</f>
        <v>0</v>
      </c>
      <c r="CB70" s="164"/>
      <c r="CC70" s="377"/>
      <c r="CD70" s="164">
        <v>10</v>
      </c>
      <c r="CE70" s="156"/>
      <c r="CF70" s="156"/>
      <c r="CG70" s="156"/>
      <c r="CH70" s="156"/>
      <c r="CI70" s="156"/>
      <c r="CJ70" s="156"/>
      <c r="CK70" s="156"/>
      <c r="CL70" s="156"/>
      <c r="CM70" s="156"/>
      <c r="CN70" s="388">
        <f>($CA$17-(($CA$17*2)/$CG$22))*$CI$5</f>
        <v>0.2353518417789115</v>
      </c>
      <c r="CO70" s="388">
        <f>($CA$17-(($CA$17*2)/$CG$22)*2)*$CI$5</f>
        <v>0.11767592088945575</v>
      </c>
      <c r="CP70" s="388">
        <f>($CA$17-(($CA$17*2)/$CG$22)*3)*$CI$5</f>
        <v>0</v>
      </c>
      <c r="CQ70" s="388">
        <f>($CA$17-(($CA$17*2)/$CG$22)*4)*$CI$5</f>
        <v>-0.11767592088945579</v>
      </c>
      <c r="CR70" s="388">
        <f>($CA$17-(($CA$17*2)/$CG$22)*5)*$CI$5</f>
        <v>-0.23535184177891158</v>
      </c>
      <c r="CS70" s="388">
        <f>($CA$17-(($CA$17*2)/$CG$22)*6)*$CI$5</f>
        <v>-0.3530277626683673</v>
      </c>
      <c r="CT70" s="388">
        <f>($CA$17-(($CA$17*2)/$CG$22)*7)*$CI$5</f>
        <v>-0.4707036835578231</v>
      </c>
      <c r="CU70" s="388">
        <f>($CA$17-(($CA$17*2)/$CG$22)*8)*$CI$5</f>
        <v>-0.5883796044472789</v>
      </c>
      <c r="CV70" s="352">
        <f>$CA$17-$CA$17</f>
        <v>0</v>
      </c>
      <c r="CW70" s="388">
        <f aca="true" t="shared" si="13" ref="CW70:DB70">-($CA$17-(($CA$17*2)/$CG$22)*9)*$CI$5</f>
        <v>0.7060555253367348</v>
      </c>
      <c r="CX70" s="388">
        <f t="shared" si="13"/>
        <v>0.7060555253367348</v>
      </c>
      <c r="CY70" s="388">
        <f t="shared" si="13"/>
        <v>0.7060555253367348</v>
      </c>
      <c r="CZ70" s="388">
        <f t="shared" si="13"/>
        <v>0.7060555253367348</v>
      </c>
      <c r="DA70" s="388">
        <f t="shared" si="13"/>
        <v>0.7060555253367348</v>
      </c>
      <c r="DB70" s="397">
        <f t="shared" si="13"/>
        <v>0.7060555253367348</v>
      </c>
    </row>
    <row r="71" spans="78:106" ht="15.75" customHeight="1">
      <c r="BZ71" s="396">
        <f>VLOOKUP(11,$CD$61:$DB$84,$CH$22,TRUE)</f>
        <v>0</v>
      </c>
      <c r="CB71" s="357">
        <f>IF($CG$22&lt;=14,$BZ$61,IF($CG$22&gt;1,$BZ$75))</f>
        <v>0.3530277626683673</v>
      </c>
      <c r="CC71" s="344">
        <f>-(($CG$5-0.1)*$CI$5)</f>
        <v>-0.12525929955102047</v>
      </c>
      <c r="CD71" s="164">
        <v>11</v>
      </c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388">
        <f>($CA$17-(($CA$17*2)/$CG$22))*$CI$5</f>
        <v>0.2353518417789115</v>
      </c>
      <c r="CP71" s="388">
        <f>($CA$17-(($CA$17*2)/$CG$22)*2)*$CI$5</f>
        <v>0.11767592088945575</v>
      </c>
      <c r="CQ71" s="388">
        <f>($CA$17-(($CA$17*2)/$CG$22)*3)*$CI$5</f>
        <v>0</v>
      </c>
      <c r="CR71" s="388">
        <f>($CA$17-(($CA$17*2)/$CG$22)*4)*$CI$5</f>
        <v>-0.11767592088945579</v>
      </c>
      <c r="CS71" s="388">
        <f>($CA$17-(($CA$17*2)/$CG$22)*5)*$CI$5</f>
        <v>-0.23535184177891158</v>
      </c>
      <c r="CT71" s="388">
        <f>($CA$17-(($CA$17*2)/$CG$22)*6)*$CI$5</f>
        <v>-0.3530277626683673</v>
      </c>
      <c r="CU71" s="388">
        <f>($CA$17-(($CA$17*2)/$CG$22)*7)*$CI$5</f>
        <v>-0.4707036835578231</v>
      </c>
      <c r="CV71" s="388">
        <f>($CA$17-(($CA$17*2)/$CG$22)*8)*$CI$5</f>
        <v>-0.5883796044472789</v>
      </c>
      <c r="CW71" s="388">
        <f>($CA$17-(($CA$17*2)/$CG$22)*9)*$CI$5</f>
        <v>-0.7060555253367348</v>
      </c>
      <c r="CX71" s="352">
        <f>$CA$17-$CA$17</f>
        <v>0</v>
      </c>
      <c r="CY71" s="388">
        <f>-($CA$17-(($CA$17*2)/$CG$22)*10)*$CI$5</f>
        <v>0.8237314462261905</v>
      </c>
      <c r="CZ71" s="388">
        <f>-($CA$17-(($CA$17*2)/$CG$22)*10)*$CI$5</f>
        <v>0.8237314462261905</v>
      </c>
      <c r="DA71" s="388">
        <f>-($CA$17-(($CA$17*2)/$CG$22)*10)*$CI$5</f>
        <v>0.8237314462261905</v>
      </c>
      <c r="DB71" s="397">
        <f>-($CA$17-(($CA$17*2)/$CG$22)*10)*$CI$5</f>
        <v>0.8237314462261905</v>
      </c>
    </row>
    <row r="72" spans="78:106" ht="15.75" customHeight="1">
      <c r="BZ72" s="396">
        <f>VLOOKUP(12,$CD$61:$DB$84,$CH$22,TRUE)</f>
        <v>0</v>
      </c>
      <c r="CB72" s="164"/>
      <c r="CC72" s="377"/>
      <c r="CD72" s="164">
        <v>12</v>
      </c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388">
        <f>($CA$17-(($CA$17*2)/$CG$22))*$CI$5</f>
        <v>0.2353518417789115</v>
      </c>
      <c r="CQ72" s="388">
        <f>($CA$17-(($CA$17*2)/$CG$22)*2)*$CI$5</f>
        <v>0.11767592088945575</v>
      </c>
      <c r="CR72" s="388">
        <f>($CA$17-(($CA$17*2)/$CG$22)*3)*$CI$5</f>
        <v>0</v>
      </c>
      <c r="CS72" s="388">
        <f>($CA$17-(($CA$17*2)/$CG$22)*4)*$CI$5</f>
        <v>-0.11767592088945579</v>
      </c>
      <c r="CT72" s="388">
        <f>($CA$17-(($CA$17*2)/$CG$22)*5)*$CI$5</f>
        <v>-0.23535184177891158</v>
      </c>
      <c r="CU72" s="388">
        <f>($CA$17-(($CA$17*2)/$CG$22)*6)*$CI$5</f>
        <v>-0.3530277626683673</v>
      </c>
      <c r="CV72" s="388">
        <f>($CA$17-(($CA$17*2)/$CG$22)*7)*$CI$5</f>
        <v>-0.4707036835578231</v>
      </c>
      <c r="CW72" s="388">
        <f>($CA$17-(($CA$17*2)/$CG$22)*8)*$CI$5</f>
        <v>-0.5883796044472789</v>
      </c>
      <c r="CX72" s="388">
        <f>($CA$17-(($CA$17*2)/$CG$22)*9)*$CI$5</f>
        <v>-0.7060555253367348</v>
      </c>
      <c r="CY72" s="388">
        <f>($CA$17-(($CA$17*2)/$CG$22)*10)*$CI$5</f>
        <v>-0.8237314462261905</v>
      </c>
      <c r="CZ72" s="352">
        <f>$CA$17-$CA$17</f>
        <v>0</v>
      </c>
      <c r="DA72" s="388">
        <f>-($CA$17-(($CA$17*2)/$CG$22)*11)*$CI$5</f>
        <v>0.941407367115646</v>
      </c>
      <c r="DB72" s="397">
        <f>-($CA$17-(($CA$17*2)/$CG$22)*11)*$CI$5</f>
        <v>0.941407367115646</v>
      </c>
    </row>
    <row r="73" spans="78:106" ht="15.75" customHeight="1">
      <c r="BZ73" s="396">
        <f>VLOOKUP(13,$CD$61:$DB$84,$CH$22,TRUE)</f>
        <v>0</v>
      </c>
      <c r="CB73" s="357">
        <f>IF($CG$22&lt;=15,$BZ$61,IF($CG$22&gt;1,$BZ$76))</f>
        <v>0.3530277626683673</v>
      </c>
      <c r="CC73" s="344">
        <f>-(($CG$5-0.1)*$CI$5)</f>
        <v>-0.12525929955102047</v>
      </c>
      <c r="CD73" s="164">
        <v>13</v>
      </c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388">
        <f>($CA$17-(($CA$17*2)/$CG$22))*$CI$5</f>
        <v>0.2353518417789115</v>
      </c>
      <c r="CR73" s="388">
        <f>($CA$17-(($CA$17*2)/$CG$22)*2)*$CI$5</f>
        <v>0.11767592088945575</v>
      </c>
      <c r="CS73" s="388">
        <f>($CA$17-(($CA$17*2)/$CG$22)*3)*$CI$5</f>
        <v>0</v>
      </c>
      <c r="CT73" s="388">
        <f>($CA$17-(($CA$17*2)/$CG$22)*4)*$CI$5</f>
        <v>-0.11767592088945579</v>
      </c>
      <c r="CU73" s="388">
        <f>($CA$17-(($CA$17*2)/$CG$22)*5)*$CI$5</f>
        <v>-0.23535184177891158</v>
      </c>
      <c r="CV73" s="388">
        <f>($CA$17-(($CA$17*2)/$CG$22)*6)*$CI$5</f>
        <v>-0.3530277626683673</v>
      </c>
      <c r="CW73" s="388">
        <f>($CA$17-(($CA$17*2)/$CG$22)*7)*$CI$5</f>
        <v>-0.4707036835578231</v>
      </c>
      <c r="CX73" s="388">
        <f>($CA$17-(($CA$17*2)/$CG$22)*8)*$CI$5</f>
        <v>-0.5883796044472789</v>
      </c>
      <c r="CY73" s="388">
        <f>($CA$17-(($CA$17*2)/$CG$22)*9)*$CI$5</f>
        <v>-0.7060555253367348</v>
      </c>
      <c r="CZ73" s="388">
        <f>($CA$17-(($CA$17*2)/$CG$22)*10)*$CI$5</f>
        <v>-0.8237314462261905</v>
      </c>
      <c r="DA73" s="388">
        <f>($CA$17-(($CA$17*2)/$CG$22)*11)*$CI$5</f>
        <v>-0.941407367115646</v>
      </c>
      <c r="DB73" s="374">
        <f>$CA$17-$CA$17</f>
        <v>0</v>
      </c>
    </row>
    <row r="74" spans="78:106" ht="15.75" customHeight="1">
      <c r="BZ74" s="396">
        <f>VLOOKUP(14,$CD$61:$DB$84,$CH$22,TRUE)</f>
        <v>0</v>
      </c>
      <c r="CB74" s="164"/>
      <c r="CC74" s="377"/>
      <c r="CD74" s="164">
        <v>14</v>
      </c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388">
        <f>($CA$17-(($CA$17*2)/$CG$22))*$CI$5</f>
        <v>0.2353518417789115</v>
      </c>
      <c r="CS74" s="388">
        <f>($CA$17-(($CA$17*2)/$CG$22)*2)*$CI$5</f>
        <v>0.11767592088945575</v>
      </c>
      <c r="CT74" s="388">
        <f>($CA$17-(($CA$17*2)/$CG$22)*3)*$CI$5</f>
        <v>0</v>
      </c>
      <c r="CU74" s="388">
        <f>($CA$17-(($CA$17*2)/$CG$22)*4)*$CI$5</f>
        <v>-0.11767592088945579</v>
      </c>
      <c r="CV74" s="388">
        <f>($CA$17-(($CA$17*2)/$CG$22)*5)*$CI$5</f>
        <v>-0.23535184177891158</v>
      </c>
      <c r="CW74" s="388">
        <f>($CA$17-(($CA$17*2)/$CG$22)*6)*$CI$5</f>
        <v>-0.3530277626683673</v>
      </c>
      <c r="CX74" s="388">
        <f>($CA$17-(($CA$17*2)/$CG$22)*7)*$CI$5</f>
        <v>-0.4707036835578231</v>
      </c>
      <c r="CY74" s="388">
        <f>($CA$17-(($CA$17*2)/$CG$22)*8)*$CI$5</f>
        <v>-0.5883796044472789</v>
      </c>
      <c r="CZ74" s="388">
        <f>($CA$17-(($CA$17*2)/$CG$22)*9)*$CI$5</f>
        <v>-0.7060555253367348</v>
      </c>
      <c r="DA74" s="388">
        <f>($CA$17-(($CA$17*2)/$CG$22)*10)*$CI$5</f>
        <v>-0.8237314462261905</v>
      </c>
      <c r="DB74" s="397">
        <f>($CA$17-(($CA$17*2)/$CG$22)*11)*$CI$5</f>
        <v>-0.941407367115646</v>
      </c>
    </row>
    <row r="75" spans="78:106" ht="15.75" customHeight="1">
      <c r="BZ75" s="396">
        <f>VLOOKUP(15,$CD$61:$DB$84,$CH$22,TRUE)</f>
        <v>0</v>
      </c>
      <c r="CB75" s="357">
        <f>IF($CG$22&lt;=16,$BZ$61,IF($CG$22&gt;1,$BZ$77))</f>
        <v>0.3530277626683673</v>
      </c>
      <c r="CC75" s="344">
        <f>-(($CG$5-0.1)*$CI$5)</f>
        <v>-0.12525929955102047</v>
      </c>
      <c r="CD75" s="164">
        <v>15</v>
      </c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388">
        <f>($CA$17-(($CA$17*2)/$CG$22))*$CI$5</f>
        <v>0.2353518417789115</v>
      </c>
      <c r="CT75" s="388">
        <f>($CA$17-(($CA$17*2)/$CG$22)*2)*$CI$5</f>
        <v>0.11767592088945575</v>
      </c>
      <c r="CU75" s="388">
        <f>($CA$17-(($CA$17*2)/$CG$22)*3)*$CI$5</f>
        <v>0</v>
      </c>
      <c r="CV75" s="388">
        <f>($CA$17-(($CA$17*2)/$CG$22)*4)*$CI$5</f>
        <v>-0.11767592088945579</v>
      </c>
      <c r="CW75" s="388">
        <f>($CA$17-(($CA$17*2)/$CG$22)*5)*$CI$5</f>
        <v>-0.23535184177891158</v>
      </c>
      <c r="CX75" s="388">
        <f>($CA$17-(($CA$17*2)/$CG$22)*6)*$CI$5</f>
        <v>-0.3530277626683673</v>
      </c>
      <c r="CY75" s="388">
        <f>($CA$17-(($CA$17*2)/$CG$22)*7)*$CI$5</f>
        <v>-0.4707036835578231</v>
      </c>
      <c r="CZ75" s="388">
        <f>($CA$17-(($CA$17*2)/$CG$22)*8)*$CI$5</f>
        <v>-0.5883796044472789</v>
      </c>
      <c r="DA75" s="388">
        <f>($CA$17-(($CA$17*2)/$CG$22)*9)*$CI$5</f>
        <v>-0.7060555253367348</v>
      </c>
      <c r="DB75" s="397">
        <f>($CA$17-(($CA$17*2)/$CG$22)*10)*$CI$5</f>
        <v>-0.8237314462261905</v>
      </c>
    </row>
    <row r="76" spans="78:106" ht="15.75" customHeight="1">
      <c r="BZ76" s="396">
        <f>VLOOKUP(16,$CD$61:$DB$84,$CH$22,TRUE)</f>
        <v>0</v>
      </c>
      <c r="CB76" s="164"/>
      <c r="CC76" s="377"/>
      <c r="CD76" s="164">
        <v>16</v>
      </c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388">
        <f>($CA$17-(($CA$17*2)/$CG$22))*$CI$5</f>
        <v>0.2353518417789115</v>
      </c>
      <c r="CU76" s="388">
        <f>($CA$17-(($CA$17*2)/$CG$22)*2)*$CI$5</f>
        <v>0.11767592088945575</v>
      </c>
      <c r="CV76" s="388">
        <f>($CA$17-(($CA$17*2)/$CG$22)*3)*$CI$5</f>
        <v>0</v>
      </c>
      <c r="CW76" s="388">
        <f>($CA$17-(($CA$17*2)/$CG$22)*4)*$CI$5</f>
        <v>-0.11767592088945579</v>
      </c>
      <c r="CX76" s="388">
        <f>($CA$17-(($CA$17*2)/$CG$22)*5)*$CI$5</f>
        <v>-0.23535184177891158</v>
      </c>
      <c r="CY76" s="388">
        <f>($CA$17-(($CA$17*2)/$CG$22)*6)*$CI$5</f>
        <v>-0.3530277626683673</v>
      </c>
      <c r="CZ76" s="388">
        <f>($CA$17-(($CA$17*2)/$CG$22)*7)*$CI$5</f>
        <v>-0.4707036835578231</v>
      </c>
      <c r="DA76" s="388">
        <f>($CA$17-(($CA$17*2)/$CG$22)*8)*$CI$5</f>
        <v>-0.5883796044472789</v>
      </c>
      <c r="DB76" s="397">
        <f>($CA$17-(($CA$17*2)/$CG$22)*9)*$CI$5</f>
        <v>-0.7060555253367348</v>
      </c>
    </row>
    <row r="77" spans="78:106" ht="15.75" customHeight="1">
      <c r="BZ77" s="396">
        <f>VLOOKUP(17,$CD$61:$DB$84,$CH$22,TRUE)</f>
        <v>0</v>
      </c>
      <c r="CB77" s="357">
        <f>IF($CG$22&lt;=17,$BZ$61,IF($CG$22&gt;1,$BZ$78))</f>
        <v>0.3530277626683673</v>
      </c>
      <c r="CC77" s="344">
        <f>-(($CG$5-0.1)*$CI$5)</f>
        <v>-0.12525929955102047</v>
      </c>
      <c r="CD77" s="164">
        <v>17</v>
      </c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388">
        <f>($CA$17-(($CA$17*2)/$CG$22))*$CI$5</f>
        <v>0.2353518417789115</v>
      </c>
      <c r="CV77" s="388">
        <f>($CA$17-(($CA$17*2)/$CG$22)*2)*$CI$5</f>
        <v>0.11767592088945575</v>
      </c>
      <c r="CW77" s="388">
        <f>($CA$17-(($CA$17*2)/$CG$22)*3)*$CI$5</f>
        <v>0</v>
      </c>
      <c r="CX77" s="388">
        <f>($CA$17-(($CA$17*2)/$CG$22)*4)*$CI$5</f>
        <v>-0.11767592088945579</v>
      </c>
      <c r="CY77" s="388">
        <f>($CA$17-(($CA$17*2)/$CG$22)*5)*$CI$5</f>
        <v>-0.23535184177891158</v>
      </c>
      <c r="CZ77" s="388">
        <f>($CA$17-(($CA$17*2)/$CG$22)*6)*$CI$5</f>
        <v>-0.3530277626683673</v>
      </c>
      <c r="DA77" s="388">
        <f>($CA$17-(($CA$17*2)/$CG$22)*7)*$CI$5</f>
        <v>-0.4707036835578231</v>
      </c>
      <c r="DB77" s="397">
        <f>($CA$17-(($CA$17*2)/$CG$22)*8)*$CI$5</f>
        <v>-0.5883796044472789</v>
      </c>
    </row>
    <row r="78" spans="78:106" ht="15.75" customHeight="1">
      <c r="BZ78" s="396">
        <f>VLOOKUP(18,$CD$61:$DB$84,$CH$22,TRUE)</f>
        <v>0</v>
      </c>
      <c r="CB78" s="164"/>
      <c r="CC78" s="377"/>
      <c r="CD78" s="164">
        <v>18</v>
      </c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388">
        <f>($CA$17-(($CA$17*2)/$CG$22))*$CI$5</f>
        <v>0.2353518417789115</v>
      </c>
      <c r="CW78" s="388">
        <f>($CA$17-(($CA$17*2)/$CG$22)*2)*$CI$5</f>
        <v>0.11767592088945575</v>
      </c>
      <c r="CX78" s="388">
        <f>($CA$17-(($CA$17*2)/$CG$22)*3)*$CI$5</f>
        <v>0</v>
      </c>
      <c r="CY78" s="388">
        <f>($CA$17-(($CA$17*2)/$CG$22)*4)*$CI$5</f>
        <v>-0.11767592088945579</v>
      </c>
      <c r="CZ78" s="388">
        <f>($CA$17-(($CA$17*2)/$CG$22)*5)*$CI$5</f>
        <v>-0.23535184177891158</v>
      </c>
      <c r="DA78" s="388">
        <f>($CA$17-(($CA$17*2)/$CG$22)*6)*$CI$5</f>
        <v>-0.3530277626683673</v>
      </c>
      <c r="DB78" s="397">
        <f>($CA$17-(($CA$17*2)/$CG$22)*7)*$CI$5</f>
        <v>-0.4707036835578231</v>
      </c>
    </row>
    <row r="79" spans="78:106" ht="15.75" customHeight="1">
      <c r="BZ79" s="396">
        <f>VLOOKUP(19,$CD$61:$DB$84,$CH$22,TRUE)</f>
        <v>0</v>
      </c>
      <c r="CB79" s="357">
        <f>IF($CG$22&lt;=18,$BZ$61,IF($CG$22&gt;1,$BZ$79))</f>
        <v>0.3530277626683673</v>
      </c>
      <c r="CC79" s="344">
        <f>-(($CG$5-0.1)*$CI$5)</f>
        <v>-0.12525929955102047</v>
      </c>
      <c r="CD79" s="164">
        <v>19</v>
      </c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388">
        <f>($CA$17-(($CA$17*2)/$CG$22))*$CI$5</f>
        <v>0.2353518417789115</v>
      </c>
      <c r="CX79" s="388">
        <f>($CA$17-(($CA$17*2)/$CG$22)*2)*$CI$5</f>
        <v>0.11767592088945575</v>
      </c>
      <c r="CY79" s="388">
        <f>($CA$17-(($CA$17*2)/$CG$22)*3)*$CI$5</f>
        <v>0</v>
      </c>
      <c r="CZ79" s="388">
        <f>($CA$17-(($CA$17*2)/$CG$22)*4)*$CI$5</f>
        <v>-0.11767592088945579</v>
      </c>
      <c r="DA79" s="388">
        <f>($CA$17-(($CA$17*2)/$CG$22)*5)*$CI$5</f>
        <v>-0.23535184177891158</v>
      </c>
      <c r="DB79" s="397">
        <f>($CA$17-(($CA$17*2)/$CG$22)*6)*$CI$5</f>
        <v>-0.3530277626683673</v>
      </c>
    </row>
    <row r="80" spans="78:106" ht="15.75" customHeight="1">
      <c r="BZ80" s="396">
        <f>VLOOKUP(20,$CD$61:$DB$84,$CH$22,TRUE)</f>
        <v>0</v>
      </c>
      <c r="CB80" s="164"/>
      <c r="CC80" s="377"/>
      <c r="CD80" s="164">
        <v>20</v>
      </c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388">
        <f>($CA$17-(($CA$17*2)/$CG$22))*$CI$5</f>
        <v>0.2353518417789115</v>
      </c>
      <c r="CY80" s="388">
        <f>($CA$17-(($CA$17*2)/$CG$22)*2)*$CI$5</f>
        <v>0.11767592088945575</v>
      </c>
      <c r="CZ80" s="388">
        <f>($CA$17-(($CA$17*2)/$CG$22)*3)*$CI$5</f>
        <v>0</v>
      </c>
      <c r="DA80" s="388">
        <f>($CA$17-(($CA$17*2)/$CG$22)*4)*$CI$5</f>
        <v>-0.11767592088945579</v>
      </c>
      <c r="DB80" s="397">
        <f>($CA$17-(($CA$17*2)/$CG$22)*5)*$CI$5</f>
        <v>-0.23535184177891158</v>
      </c>
    </row>
    <row r="81" spans="78:106" ht="15.75" customHeight="1">
      <c r="BZ81" s="396">
        <f>VLOOKUP(21,$CD$61:$DB$84,$CH$22,TRUE)</f>
        <v>0</v>
      </c>
      <c r="CB81" s="357">
        <f>IF($CG$22&lt;=19,$BZ$61,IF($CG$22&gt;1,$BZ$80))</f>
        <v>0.3530277626683673</v>
      </c>
      <c r="CC81" s="344">
        <f>-(($CG$5-0.1)*$CI$5)</f>
        <v>-0.12525929955102047</v>
      </c>
      <c r="CD81" s="164">
        <v>21</v>
      </c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388">
        <f>($CA$17-(($CA$17*2)/$CG$22))*$CI$5</f>
        <v>0.2353518417789115</v>
      </c>
      <c r="CZ81" s="388">
        <f>($CA$17-(($CA$17*2)/$CG$22)*2)*$CI$5</f>
        <v>0.11767592088945575</v>
      </c>
      <c r="DA81" s="388">
        <f>($CA$17-(($CA$17*2)/$CG$22)*3)*$CI$5</f>
        <v>0</v>
      </c>
      <c r="DB81" s="397">
        <f>($CA$17-(($CA$17*2)/$CG$22)*4)*$CI$5</f>
        <v>-0.11767592088945579</v>
      </c>
    </row>
    <row r="82" spans="78:106" ht="15.75" customHeight="1">
      <c r="BZ82" s="396">
        <f>VLOOKUP(22,$CD$61:$DB$84,$CH$22,TRUE)</f>
        <v>0</v>
      </c>
      <c r="CB82" s="164"/>
      <c r="CC82" s="377"/>
      <c r="CD82" s="164">
        <v>22</v>
      </c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388">
        <f>($CA$17-(($CA$17*2)/$CG$22))*$CI$5</f>
        <v>0.2353518417789115</v>
      </c>
      <c r="DA82" s="388">
        <f>($CA$17-(($CA$17*2)/$CG$22)*2)*$CI$5</f>
        <v>0.11767592088945575</v>
      </c>
      <c r="DB82" s="397">
        <f>($CA$17-(($CA$17*2)/$CG$22)*3)*$CI$5</f>
        <v>0</v>
      </c>
    </row>
    <row r="83" spans="78:106" ht="15.75" customHeight="1">
      <c r="BZ83" s="396">
        <f>VLOOKUP(23,$CD$61:$DB$84,$CH$22,TRUE)</f>
        <v>0</v>
      </c>
      <c r="CB83" s="357">
        <f>IF($CG$22&lt;=20,$BZ$61,IF($CG$22&gt;1,$BZ$81))</f>
        <v>0.3530277626683673</v>
      </c>
      <c r="CC83" s="344">
        <f>-(($CG$5-0.1)*$CI$5)</f>
        <v>-0.12525929955102047</v>
      </c>
      <c r="CD83" s="164">
        <v>23</v>
      </c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388">
        <f>($CA$17-(($CA$17*2)/$CG$22))*$CI$5</f>
        <v>0.2353518417789115</v>
      </c>
      <c r="DB83" s="397">
        <f>($CA$17-(($CA$17*2)/$CG$22)*2)*$CI$5</f>
        <v>0.11767592088945575</v>
      </c>
    </row>
    <row r="84" spans="78:106" ht="15.75" customHeight="1" thickBot="1">
      <c r="BZ84" s="398">
        <f>VLOOKUP(24,$CD$61:$DB$84,$CH$22,TRUE)</f>
        <v>0</v>
      </c>
      <c r="CB84" s="164"/>
      <c r="CC84" s="377"/>
      <c r="CD84" s="164">
        <v>24</v>
      </c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399">
        <f>($CA$17-(($CA$17*2)/$CG$22))*$CI$5</f>
        <v>0.2353518417789115</v>
      </c>
    </row>
    <row r="85" spans="80:106" ht="15.75" customHeight="1">
      <c r="CB85" s="357">
        <f>IF($CG$22&lt;=21,$BZ$61,IF($CG$22&gt;1,$BZ$82))</f>
        <v>0.3530277626683673</v>
      </c>
      <c r="CC85" s="344">
        <f>-(($CG$5-0.1)*$CI$5)</f>
        <v>-0.12525929955102047</v>
      </c>
      <c r="CD85" s="395"/>
      <c r="CE85" s="395"/>
      <c r="CF85" s="395"/>
      <c r="CG85" s="395"/>
      <c r="CH85" s="395"/>
      <c r="CI85" s="395"/>
      <c r="CJ85" s="395"/>
      <c r="CK85" s="395"/>
      <c r="CL85" s="395"/>
      <c r="CM85" s="395"/>
      <c r="CN85" s="395"/>
      <c r="CO85" s="395"/>
      <c r="CP85" s="395"/>
      <c r="CQ85" s="395"/>
      <c r="CR85" s="395"/>
      <c r="CS85" s="395"/>
      <c r="CT85" s="395"/>
      <c r="CU85" s="395"/>
      <c r="CV85" s="395"/>
      <c r="CW85" s="395"/>
      <c r="CX85" s="395"/>
      <c r="CY85" s="395"/>
      <c r="CZ85" s="395"/>
      <c r="DA85" s="395"/>
      <c r="DB85" s="395"/>
    </row>
    <row r="86" spans="80:81" ht="15.75" customHeight="1">
      <c r="CB86" s="164"/>
      <c r="CC86" s="377"/>
    </row>
    <row r="87" spans="80:81" ht="15.75" customHeight="1">
      <c r="CB87" s="357">
        <f>IF($CG$22&lt;=22,$BZ$61,IF($CG$22&gt;1,$BZ$83))</f>
        <v>0.3530277626683673</v>
      </c>
      <c r="CC87" s="344">
        <f>-(($CG$5-0.1)*$CI$5)</f>
        <v>-0.12525929955102047</v>
      </c>
    </row>
    <row r="88" spans="80:81" ht="15.75" customHeight="1">
      <c r="CB88" s="164"/>
      <c r="CC88" s="377"/>
    </row>
    <row r="89" spans="80:81" ht="15.75" customHeight="1">
      <c r="CB89" s="357">
        <f>IF($CG$22&lt;=23,$BZ$61,IF($CG$22&gt;1,$BZ$84))</f>
        <v>0.3530277626683673</v>
      </c>
      <c r="CC89" s="344">
        <f>-(($CG$5-0.1)*$CI$5)</f>
        <v>-0.12525929955102047</v>
      </c>
    </row>
    <row r="90" spans="80:81" ht="15.75" customHeight="1">
      <c r="CB90" s="164"/>
      <c r="CC90" s="377"/>
    </row>
    <row r="91" spans="80:81" ht="15.75" customHeight="1" thickBot="1">
      <c r="CB91" s="363">
        <f>(($BZ$17-0.025)*$CI$5)</f>
        <v>0.3530277626683673</v>
      </c>
      <c r="CC91" s="349">
        <f>-(($CG$5-0.1)*$CI$5)</f>
        <v>-0.12525929955102047</v>
      </c>
    </row>
    <row r="92" spans="79:81" ht="15.75" customHeight="1">
      <c r="CA92" s="156"/>
      <c r="CC92" s="395"/>
    </row>
    <row r="98" ht="15.75" customHeight="1">
      <c r="CF98" s="156"/>
    </row>
  </sheetData>
  <sheetProtection password="DA3E" sheet="1" objects="1" scenarios="1"/>
  <mergeCells count="91">
    <mergeCell ref="AC9:AE9"/>
    <mergeCell ref="AC10:AE10"/>
    <mergeCell ref="X41:Y41"/>
    <mergeCell ref="Z41:AA41"/>
    <mergeCell ref="AC14:AH14"/>
    <mergeCell ref="AC19:AK19"/>
    <mergeCell ref="AC23:AG23"/>
    <mergeCell ref="Q14:AA14"/>
    <mergeCell ref="Q38:AA38"/>
    <mergeCell ref="Q40:S41"/>
    <mergeCell ref="AC45:AF45"/>
    <mergeCell ref="U44:AA44"/>
    <mergeCell ref="U42:AA42"/>
    <mergeCell ref="U45:AA45"/>
    <mergeCell ref="U43:AA43"/>
    <mergeCell ref="O45:P45"/>
    <mergeCell ref="F48:H48"/>
    <mergeCell ref="O48:P48"/>
    <mergeCell ref="M48:N48"/>
    <mergeCell ref="J48:L48"/>
    <mergeCell ref="J46:L46"/>
    <mergeCell ref="M46:N46"/>
    <mergeCell ref="O46:P46"/>
    <mergeCell ref="F46:H46"/>
    <mergeCell ref="F40:H40"/>
    <mergeCell ref="O42:P42"/>
    <mergeCell ref="M42:N42"/>
    <mergeCell ref="J42:L42"/>
    <mergeCell ref="F42:H42"/>
    <mergeCell ref="T41:U41"/>
    <mergeCell ref="V41:W41"/>
    <mergeCell ref="L28:N28"/>
    <mergeCell ref="L29:N29"/>
    <mergeCell ref="L36:N36"/>
    <mergeCell ref="L37:N37"/>
    <mergeCell ref="M38:N38"/>
    <mergeCell ref="AC24:AG24"/>
    <mergeCell ref="AC25:AK25"/>
    <mergeCell ref="L27:N27"/>
    <mergeCell ref="L26:N26"/>
    <mergeCell ref="L24:N24"/>
    <mergeCell ref="L13:N13"/>
    <mergeCell ref="L14:N14"/>
    <mergeCell ref="L15:N15"/>
    <mergeCell ref="L16:N16"/>
    <mergeCell ref="L11:N11"/>
    <mergeCell ref="L12:N12"/>
    <mergeCell ref="V11:Y11"/>
    <mergeCell ref="V12:Y12"/>
    <mergeCell ref="L9:N9"/>
    <mergeCell ref="L10:N10"/>
    <mergeCell ref="V9:Y9"/>
    <mergeCell ref="V10:Y10"/>
    <mergeCell ref="B7:AA7"/>
    <mergeCell ref="E5:T5"/>
    <mergeCell ref="Y3:AA3"/>
    <mergeCell ref="Y4:AA4"/>
    <mergeCell ref="E4:T4"/>
    <mergeCell ref="E3:T3"/>
    <mergeCell ref="U4:X4"/>
    <mergeCell ref="U3:X3"/>
    <mergeCell ref="V51:AA51"/>
    <mergeCell ref="V50:AA50"/>
    <mergeCell ref="S51:U51"/>
    <mergeCell ref="S50:U50"/>
    <mergeCell ref="L17:N17"/>
    <mergeCell ref="L18:N18"/>
    <mergeCell ref="L25:N25"/>
    <mergeCell ref="L22:N22"/>
    <mergeCell ref="L19:N19"/>
    <mergeCell ref="L20:N20"/>
    <mergeCell ref="L21:N21"/>
    <mergeCell ref="L23:N23"/>
    <mergeCell ref="Z40:AA40"/>
    <mergeCell ref="X40:Y40"/>
    <mergeCell ref="V40:W40"/>
    <mergeCell ref="L32:N32"/>
    <mergeCell ref="L33:N33"/>
    <mergeCell ref="L34:N34"/>
    <mergeCell ref="L35:N35"/>
    <mergeCell ref="T40:U40"/>
    <mergeCell ref="F44:H44"/>
    <mergeCell ref="O38:P38"/>
    <mergeCell ref="O44:P44"/>
    <mergeCell ref="M44:N44"/>
    <mergeCell ref="J44:L44"/>
    <mergeCell ref="F38:H38"/>
    <mergeCell ref="J38:L38"/>
    <mergeCell ref="O40:P40"/>
    <mergeCell ref="M40:N40"/>
    <mergeCell ref="J40:L40"/>
  </mergeCells>
  <conditionalFormatting sqref="O47:P47">
    <cfRule type="expression" priority="1" dxfId="1" stopIfTrue="1">
      <formula>IF(#REF!&gt;=#REF!,1)</formula>
    </cfRule>
    <cfRule type="expression" priority="2" dxfId="0" stopIfTrue="1">
      <formula>IF(#REF!&lt;#REF!,2)</formula>
    </cfRule>
  </conditionalFormatting>
  <conditionalFormatting sqref="O48:P48">
    <cfRule type="expression" priority="3" dxfId="1" stopIfTrue="1">
      <formula>IF($F$48&gt;=$J$48,1)</formula>
    </cfRule>
    <cfRule type="expression" priority="4" dxfId="0" stopIfTrue="1">
      <formula>IF($F$48&lt;$J$48,2)</formula>
    </cfRule>
  </conditionalFormatting>
  <conditionalFormatting sqref="F48:H48 N58">
    <cfRule type="cellIs" priority="5" dxfId="1" operator="greaterThanOrEqual" stopIfTrue="1">
      <formula>$J$48</formula>
    </cfRule>
    <cfRule type="cellIs" priority="6" dxfId="0" operator="lessThan" stopIfTrue="1">
      <formula>$J$48</formula>
    </cfRule>
  </conditionalFormatting>
  <conditionalFormatting sqref="O39:P39 O36:P36">
    <cfRule type="cellIs" priority="7" dxfId="0" operator="lessThan" stopIfTrue="1">
      <formula>$E$35</formula>
    </cfRule>
  </conditionalFormatting>
  <conditionalFormatting sqref="V34:Z34">
    <cfRule type="expression" priority="8" dxfId="0" stopIfTrue="1">
      <formula>IF($CP$26&gt;$CB$36,1)</formula>
    </cfRule>
  </conditionalFormatting>
  <conditionalFormatting sqref="V35:Z35">
    <cfRule type="expression" priority="9" dxfId="0" stopIfTrue="1">
      <formula>IF($CE$37&gt;$CB$37,1)</formula>
    </cfRule>
  </conditionalFormatting>
  <conditionalFormatting sqref="V36:Z36">
    <cfRule type="expression" priority="10" dxfId="0" stopIfTrue="1">
      <formula>IF($CE$38&gt;$CB$38,1)</formula>
    </cfRule>
  </conditionalFormatting>
  <conditionalFormatting sqref="T48:V48">
    <cfRule type="expression" priority="11" dxfId="0" stopIfTrue="1">
      <formula>IF($L$47&gt;$Q$48,1)</formula>
    </cfRule>
  </conditionalFormatting>
  <conditionalFormatting sqref="T46 U46:V47">
    <cfRule type="expression" priority="12" dxfId="0" stopIfTrue="1">
      <formula>IF($L$44&lt;#REF!,1)</formula>
    </cfRule>
  </conditionalFormatting>
  <conditionalFormatting sqref="Q34:U34">
    <cfRule type="expression" priority="13" dxfId="0" stopIfTrue="1">
      <formula>IF($E$36&gt;=$N$36,1)</formula>
    </cfRule>
  </conditionalFormatting>
  <conditionalFormatting sqref="O34:P34">
    <cfRule type="cellIs" priority="14" dxfId="0" operator="lessThan" stopIfTrue="1">
      <formula>$E$36</formula>
    </cfRule>
  </conditionalFormatting>
  <conditionalFormatting sqref="Q35:U35 Q39 U39">
    <cfRule type="expression" priority="15" dxfId="0" stopIfTrue="1">
      <formula>IF($E$37&gt;$N$37,1)</formula>
    </cfRule>
  </conditionalFormatting>
  <conditionalFormatting sqref="Q36:U36">
    <cfRule type="expression" priority="16" dxfId="0" stopIfTrue="1">
      <formula>IF($E$35&gt;$N$35,1)</formula>
    </cfRule>
  </conditionalFormatting>
  <conditionalFormatting sqref="O35:P35">
    <cfRule type="cellIs" priority="17" dxfId="1" operator="greaterThanOrEqual" stopIfTrue="1">
      <formula>$L$34</formula>
    </cfRule>
    <cfRule type="cellIs" priority="18" dxfId="0" operator="lessThan" stopIfTrue="1">
      <formula>$L$34</formula>
    </cfRule>
  </conditionalFormatting>
  <conditionalFormatting sqref="F40:H40">
    <cfRule type="cellIs" priority="19" dxfId="0" operator="greaterThan" stopIfTrue="1">
      <formula>$J$40</formula>
    </cfRule>
    <cfRule type="cellIs" priority="20" dxfId="1" operator="lessThanOrEqual" stopIfTrue="1">
      <formula>$J$40</formula>
    </cfRule>
  </conditionalFormatting>
  <conditionalFormatting sqref="F38:H38">
    <cfRule type="cellIs" priority="21" dxfId="0" operator="greaterThan" stopIfTrue="1">
      <formula>$J$38</formula>
    </cfRule>
    <cfRule type="cellIs" priority="22" dxfId="1" operator="lessThanOrEqual" stopIfTrue="1">
      <formula>$J$38</formula>
    </cfRule>
  </conditionalFormatting>
  <conditionalFormatting sqref="F42:H42">
    <cfRule type="cellIs" priority="23" dxfId="0" operator="greaterThan" stopIfTrue="1">
      <formula>$J$42</formula>
    </cfRule>
    <cfRule type="cellIs" priority="24" dxfId="1" operator="lessThanOrEqual" stopIfTrue="1">
      <formula>$J$42</formula>
    </cfRule>
  </conditionalFormatting>
  <conditionalFormatting sqref="F44:H44">
    <cfRule type="cellIs" priority="25" dxfId="0" operator="greaterThan" stopIfTrue="1">
      <formula>$J$44</formula>
    </cfRule>
    <cfRule type="cellIs" priority="26" dxfId="1" operator="lessThanOrEqual" stopIfTrue="1">
      <formula>$J$44</formula>
    </cfRule>
  </conditionalFormatting>
  <conditionalFormatting sqref="O38:P38">
    <cfRule type="expression" priority="27" dxfId="0" stopIfTrue="1">
      <formula>IF($F$38&gt;$J$38,1)</formula>
    </cfRule>
    <cfRule type="expression" priority="28" dxfId="1" stopIfTrue="1">
      <formula>IF($F$38&lt;=$J$38,2)</formula>
    </cfRule>
  </conditionalFormatting>
  <conditionalFormatting sqref="O40:P40">
    <cfRule type="expression" priority="29" dxfId="0" stopIfTrue="1">
      <formula>IF($F$40&gt;$J$40,1)</formula>
    </cfRule>
    <cfRule type="expression" priority="30" dxfId="1" stopIfTrue="1">
      <formula>IF($F$40&lt;=$J$40,2)</formula>
    </cfRule>
  </conditionalFormatting>
  <conditionalFormatting sqref="O42:P42">
    <cfRule type="expression" priority="31" dxfId="0" stopIfTrue="1">
      <formula>IF($F$42&gt;$J$42,1)</formula>
    </cfRule>
    <cfRule type="expression" priority="32" dxfId="1" stopIfTrue="1">
      <formula>IF($F$42&lt;=$J$42,2)</formula>
    </cfRule>
  </conditionalFormatting>
  <conditionalFormatting sqref="O44:P45">
    <cfRule type="cellIs" priority="33" dxfId="0" operator="greaterThan" stopIfTrue="1">
      <formula>IF($F$44&gt;$J$44,1)</formula>
    </cfRule>
    <cfRule type="expression" priority="34" dxfId="1" stopIfTrue="1">
      <formula>IF($F$44&lt;=$J$44,2)</formula>
    </cfRule>
  </conditionalFormatting>
  <conditionalFormatting sqref="O46:P46">
    <cfRule type="expression" priority="35" dxfId="1" stopIfTrue="1">
      <formula>IF($F$46&gt;=$J$46,1)</formula>
    </cfRule>
    <cfRule type="expression" priority="36" dxfId="0" stopIfTrue="1">
      <formula>IF($F$46&lt;$J$46,2)</formula>
    </cfRule>
  </conditionalFormatting>
  <conditionalFormatting sqref="F46:H46">
    <cfRule type="cellIs" priority="37" dxfId="1" operator="greaterThanOrEqual" stopIfTrue="1">
      <formula>$J$46</formula>
    </cfRule>
    <cfRule type="cellIs" priority="38" dxfId="0" operator="lessThan" stopIfTrue="1">
      <formula>$J$46</formula>
    </cfRule>
  </conditionalFormatting>
  <conditionalFormatting sqref="O50:P50">
    <cfRule type="expression" priority="39" dxfId="1" stopIfTrue="1">
      <formula>IF($F$50&gt;=$J$50,1)</formula>
    </cfRule>
    <cfRule type="expression" priority="40" dxfId="0" stopIfTrue="1">
      <formula>IF($F$50&lt;$J$50,2)</formula>
    </cfRule>
  </conditionalFormatting>
  <conditionalFormatting sqref="F50:H50">
    <cfRule type="cellIs" priority="41" dxfId="1" operator="greaterThanOrEqual" stopIfTrue="1">
      <formula>$J$50</formula>
    </cfRule>
    <cfRule type="cellIs" priority="42" dxfId="0" operator="lessThan" stopIfTrue="1">
      <formula>$J$50</formula>
    </cfRule>
  </conditionalFormatting>
  <dataValidations count="2">
    <dataValidation type="list" allowBlank="1" showInputMessage="1" showErrorMessage="1" sqref="L9:N9">
      <formula1>"2400,3000,4000,5000"</formula1>
    </dataValidation>
    <dataValidation type="list" allowBlank="1" showInputMessage="1" sqref="L12:N12">
      <formula1>"173,210,240,280,320,380"</formula1>
    </dataValidation>
  </dataValidations>
  <printOptions/>
  <pageMargins left="0.35433070866141736" right="0.1968503937007874" top="0.3937007874015748" bottom="0.1968503937007874" header="0.5118110236220472" footer="0.5118110236220472"/>
  <pageSetup orientation="portrait" paperSize="9" r:id="rId3"/>
  <rowBreaks count="1" manualBreakCount="1">
    <brk id="54" max="84" man="1"/>
  </rowBreaks>
  <colBreaks count="1" manualBreakCount="1">
    <brk id="28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DB98"/>
  <sheetViews>
    <sheetView zoomScaleSheetLayoutView="50" workbookViewId="0" topLeftCell="A1">
      <selection activeCell="AC10" sqref="AC10:AE10"/>
    </sheetView>
  </sheetViews>
  <sheetFormatPr defaultColWidth="9.140625" defaultRowHeight="15.75" customHeight="1"/>
  <cols>
    <col min="1" max="47" width="3.57421875" style="38" customWidth="1"/>
    <col min="48" max="49" width="3.57421875" style="154" customWidth="1"/>
    <col min="50" max="61" width="3.57421875" style="321" customWidth="1"/>
    <col min="62" max="62" width="13.00390625" style="321" customWidth="1"/>
    <col min="63" max="63" width="8.8515625" style="321" customWidth="1"/>
    <col min="64" max="64" width="5.8515625" style="321" customWidth="1"/>
    <col min="65" max="68" width="9.7109375" style="321" customWidth="1"/>
    <col min="69" max="69" width="11.140625" style="321" customWidth="1"/>
    <col min="70" max="72" width="9.7109375" style="321" customWidth="1"/>
    <col min="73" max="73" width="14.57421875" style="321" customWidth="1"/>
    <col min="74" max="76" width="10.7109375" style="321" customWidth="1"/>
    <col min="77" max="124" width="9.7109375" style="321" customWidth="1"/>
    <col min="125" max="126" width="9.7109375" style="38" customWidth="1"/>
    <col min="127" max="16384" width="3.57421875" style="38" customWidth="1"/>
  </cols>
  <sheetData>
    <row r="1" spans="2:41" ht="15.75" customHeight="1" thickBot="1">
      <c r="B1" s="39"/>
      <c r="C1" s="39"/>
      <c r="D1" s="39"/>
      <c r="E1" s="39"/>
      <c r="F1" s="39"/>
      <c r="G1" s="39"/>
      <c r="H1" s="39"/>
      <c r="I1" s="39"/>
      <c r="J1" s="39"/>
      <c r="K1" s="40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510">
        <f>IF(AC10="","",AC10)</f>
      </c>
      <c r="AB1" s="26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1:41" ht="9.75" customHeight="1" thickBot="1">
      <c r="K2" s="42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2:94" ht="15.75" customHeight="1">
      <c r="B3" s="43" t="s">
        <v>0</v>
      </c>
      <c r="E3" s="531" t="str">
        <f>Cover!A6</f>
        <v>อาคารพาณิชย์</v>
      </c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3"/>
      <c r="U3" s="537" t="s">
        <v>33</v>
      </c>
      <c r="V3" s="537"/>
      <c r="W3" s="537"/>
      <c r="X3" s="538"/>
      <c r="Y3" s="515">
        <f ca="1">TODAY()</f>
        <v>40280</v>
      </c>
      <c r="Z3" s="613"/>
      <c r="AA3" s="614"/>
      <c r="AB3" s="28"/>
      <c r="AC3" s="44" t="s">
        <v>5</v>
      </c>
      <c r="AD3" s="45"/>
      <c r="AE3" s="45"/>
      <c r="AF3" s="46"/>
      <c r="AG3" s="46"/>
      <c r="AH3" s="46"/>
      <c r="AI3" s="46"/>
      <c r="AJ3" s="46"/>
      <c r="AK3" s="41"/>
      <c r="AL3" s="41"/>
      <c r="AM3" s="41"/>
      <c r="AN3" s="41"/>
      <c r="AO3" s="41"/>
      <c r="BU3" s="323"/>
      <c r="BV3" s="323"/>
      <c r="BW3" s="323"/>
      <c r="BX3" s="414" t="s">
        <v>112</v>
      </c>
      <c r="BY3" s="415" t="s">
        <v>113</v>
      </c>
      <c r="BZ3" s="416" t="s">
        <v>114</v>
      </c>
      <c r="CA3" s="323"/>
      <c r="CB3" s="323"/>
      <c r="CC3" s="414" t="s">
        <v>115</v>
      </c>
      <c r="CD3" s="415" t="s">
        <v>116</v>
      </c>
      <c r="CE3" s="416" t="s">
        <v>117</v>
      </c>
      <c r="CF3" s="323"/>
      <c r="CG3" s="417" t="s">
        <v>121</v>
      </c>
      <c r="CH3" s="323"/>
      <c r="CI3" s="323"/>
      <c r="CJ3" s="417" t="s">
        <v>124</v>
      </c>
      <c r="CK3" s="323"/>
      <c r="CL3" s="323"/>
      <c r="CM3" s="323"/>
      <c r="CN3" s="323"/>
      <c r="CO3" s="323"/>
      <c r="CP3" s="323"/>
    </row>
    <row r="4" spans="2:94" ht="15.75" customHeight="1" thickBot="1">
      <c r="B4" s="43" t="s">
        <v>1</v>
      </c>
      <c r="E4" s="531" t="str">
        <f>Cover!D8</f>
        <v>คุณทดลอง</v>
      </c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3"/>
      <c r="U4" s="535" t="s">
        <v>53</v>
      </c>
      <c r="V4" s="535"/>
      <c r="W4" s="535"/>
      <c r="X4" s="618"/>
      <c r="Y4" s="615" t="s">
        <v>246</v>
      </c>
      <c r="Z4" s="616"/>
      <c r="AA4" s="617"/>
      <c r="AB4" s="48"/>
      <c r="AC4" s="49" t="s">
        <v>6</v>
      </c>
      <c r="AD4" s="45"/>
      <c r="AE4" s="45"/>
      <c r="AF4" s="46"/>
      <c r="AG4" s="46"/>
      <c r="AH4" s="46"/>
      <c r="AI4" s="46"/>
      <c r="AJ4" s="46"/>
      <c r="AK4" s="41"/>
      <c r="AL4" s="41"/>
      <c r="AM4" s="41"/>
      <c r="AN4" s="41"/>
      <c r="AO4" s="41"/>
      <c r="BU4" s="418">
        <v>2</v>
      </c>
      <c r="BV4" s="418">
        <v>1</v>
      </c>
      <c r="BW4" s="418">
        <v>1</v>
      </c>
      <c r="BX4" s="419"/>
      <c r="BY4" s="417">
        <f>BN16</f>
        <v>1.2</v>
      </c>
      <c r="BZ4" s="420">
        <f>BN16</f>
        <v>1.2</v>
      </c>
      <c r="CA4" s="323"/>
      <c r="CB4" s="323"/>
      <c r="CC4" s="419"/>
      <c r="CD4" s="244">
        <f>L24</f>
        <v>0.5</v>
      </c>
      <c r="CE4" s="421">
        <f>L25</f>
        <v>0.2</v>
      </c>
      <c r="CF4" s="323"/>
      <c r="CG4" s="244">
        <f>L28</f>
        <v>0.5</v>
      </c>
      <c r="CH4" s="323"/>
      <c r="CI4" s="323"/>
      <c r="CJ4" s="244">
        <f>CD4+0.1</f>
        <v>0.6</v>
      </c>
      <c r="CK4" s="323"/>
      <c r="CL4" s="323"/>
      <c r="CM4" s="422">
        <f>CG4+0.1</f>
        <v>0.6</v>
      </c>
      <c r="CN4" s="323"/>
      <c r="CO4" s="323"/>
      <c r="CP4" s="323"/>
    </row>
    <row r="5" spans="2:96" ht="15.75" customHeight="1" thickBot="1">
      <c r="B5" s="43" t="s">
        <v>2</v>
      </c>
      <c r="E5" s="531" t="str">
        <f>Cover!D9</f>
        <v>กทม.</v>
      </c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3"/>
      <c r="U5" s="50"/>
      <c r="V5" s="51"/>
      <c r="W5" s="51"/>
      <c r="X5" s="51"/>
      <c r="Y5" s="47"/>
      <c r="Z5" s="47"/>
      <c r="AA5" s="47"/>
      <c r="AB5" s="48"/>
      <c r="AC5" s="46"/>
      <c r="AD5" s="46"/>
      <c r="AE5" s="46"/>
      <c r="AF5" s="46"/>
      <c r="AG5" s="46"/>
      <c r="AH5" s="45"/>
      <c r="AI5" s="46"/>
      <c r="AJ5" s="46"/>
      <c r="AK5" s="41"/>
      <c r="AL5" s="41"/>
      <c r="AM5" s="41"/>
      <c r="AN5" s="41"/>
      <c r="AO5" s="41"/>
      <c r="BU5" s="323"/>
      <c r="BV5" s="323"/>
      <c r="BW5" s="323"/>
      <c r="BX5" s="423"/>
      <c r="BY5" s="424">
        <f>BY4/2</f>
        <v>0.6</v>
      </c>
      <c r="BZ5" s="425">
        <f>BZ4/2</f>
        <v>0.6</v>
      </c>
      <c r="CA5" s="417">
        <f>MAX(BY5:BZ5)</f>
        <v>0.6</v>
      </c>
      <c r="CB5" s="426">
        <f>0.4/CA5</f>
        <v>0.6666666666666667</v>
      </c>
      <c r="CC5" s="423"/>
      <c r="CD5" s="427">
        <f>CD4/2</f>
        <v>0.25</v>
      </c>
      <c r="CE5" s="428">
        <f>CE4/2</f>
        <v>0.1</v>
      </c>
      <c r="CF5" s="323"/>
      <c r="CG5" s="417">
        <f>CG4/2</f>
        <v>0.25</v>
      </c>
      <c r="CH5" s="244">
        <f>MAX(BY5,BZ5,CG5,CM5)</f>
        <v>0.6</v>
      </c>
      <c r="CI5" s="429">
        <f>0.4/CH5</f>
        <v>0.6666666666666667</v>
      </c>
      <c r="CJ5" s="417">
        <f>CJ4/2</f>
        <v>0.3</v>
      </c>
      <c r="CK5" s="417">
        <v>0.05</v>
      </c>
      <c r="CL5" s="323"/>
      <c r="CM5" s="422">
        <f>CM4/2</f>
        <v>0.3</v>
      </c>
      <c r="CN5" s="323"/>
      <c r="CO5" s="323"/>
      <c r="CP5" s="323"/>
      <c r="CR5" s="430">
        <v>1</v>
      </c>
    </row>
    <row r="6" spans="2:94" ht="9.75" customHeight="1" thickBot="1">
      <c r="B6" s="39"/>
      <c r="C6" s="39"/>
      <c r="D6" s="39"/>
      <c r="E6" s="39"/>
      <c r="F6" s="39"/>
      <c r="G6" s="39"/>
      <c r="H6" s="39"/>
      <c r="I6" s="39"/>
      <c r="J6" s="39"/>
      <c r="K6" s="40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26"/>
      <c r="AC6" s="46"/>
      <c r="AD6" s="46"/>
      <c r="AE6" s="46"/>
      <c r="AF6" s="46"/>
      <c r="AG6" s="46"/>
      <c r="AH6" s="46"/>
      <c r="AI6" s="46"/>
      <c r="AJ6" s="46"/>
      <c r="AK6" s="41"/>
      <c r="AL6" s="41"/>
      <c r="AM6" s="41"/>
      <c r="AN6" s="41"/>
      <c r="AO6" s="41"/>
      <c r="BU6" s="323"/>
      <c r="BV6" s="323"/>
      <c r="BW6" s="323"/>
      <c r="BX6" s="323"/>
      <c r="BY6" s="426"/>
      <c r="BZ6" s="426"/>
      <c r="CA6" s="426"/>
      <c r="CB6" s="426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</row>
    <row r="7" spans="2:101" ht="15.75" customHeight="1" thickBot="1">
      <c r="B7" s="543" t="s">
        <v>245</v>
      </c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3"/>
      <c r="AC7" s="46" t="s">
        <v>30</v>
      </c>
      <c r="AD7" s="41"/>
      <c r="AE7" s="41"/>
      <c r="AF7" s="41"/>
      <c r="AG7" s="41"/>
      <c r="AH7" s="41"/>
      <c r="AI7" s="41"/>
      <c r="AJ7" s="54"/>
      <c r="AK7" s="41"/>
      <c r="AL7" s="41"/>
      <c r="AM7" s="41"/>
      <c r="AN7" s="41"/>
      <c r="AO7" s="41"/>
      <c r="BS7" s="323"/>
      <c r="BU7" s="323"/>
      <c r="BV7" s="417"/>
      <c r="BW7" s="417"/>
      <c r="BX7" s="323"/>
      <c r="BY7" s="323"/>
      <c r="BZ7" s="323"/>
      <c r="CA7" s="323"/>
      <c r="CB7" s="323"/>
      <c r="CC7" s="323"/>
      <c r="CD7" s="323"/>
      <c r="CE7" s="323"/>
      <c r="CF7" s="323"/>
      <c r="CG7" s="417"/>
      <c r="CH7" s="323"/>
      <c r="CI7" s="323"/>
      <c r="CJ7" s="323"/>
      <c r="CK7" s="323"/>
      <c r="CL7" s="323"/>
      <c r="CM7" s="323"/>
      <c r="CN7" s="323"/>
      <c r="CO7" s="323"/>
      <c r="CP7" s="323"/>
      <c r="CR7" s="323" t="s">
        <v>188</v>
      </c>
      <c r="CV7" s="431" t="s">
        <v>109</v>
      </c>
      <c r="CW7" s="431" t="s">
        <v>110</v>
      </c>
    </row>
    <row r="8" spans="2:101" ht="15.75" customHeight="1" thickBot="1">
      <c r="B8" s="235" t="s">
        <v>52</v>
      </c>
      <c r="K8" s="42"/>
      <c r="O8" s="55"/>
      <c r="P8" s="235" t="s">
        <v>44</v>
      </c>
      <c r="AA8" s="55"/>
      <c r="AB8" s="55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BH8" s="321" t="str">
        <f>IF($BW$4=1,BU8,IF($BW$4=2,BU15,IF($BW$4=3,BU23,IF($BW$4=4,BU26,IF($BW$4=5,BU28)))))</f>
        <v>I-0.18X0.18</v>
      </c>
      <c r="BK8" s="321">
        <v>1</v>
      </c>
      <c r="BL8" s="321">
        <f>IF($BW$4=1,BV8,IF($BW$4=2,BV15,IF($BW$4=3,BV23,IF($BW$4=4,BV26,IF($BW$4=5,BV28)))))</f>
        <v>0.18</v>
      </c>
      <c r="BN8" s="321" t="s">
        <v>146</v>
      </c>
      <c r="BQ8" s="432" t="s">
        <v>146</v>
      </c>
      <c r="BT8" s="321">
        <v>1</v>
      </c>
      <c r="BU8" s="323" t="s">
        <v>64</v>
      </c>
      <c r="BV8" s="431">
        <v>0.18</v>
      </c>
      <c r="BW8" s="431"/>
      <c r="BX8" s="323"/>
      <c r="BY8" s="433" t="s">
        <v>108</v>
      </c>
      <c r="BZ8" s="417"/>
      <c r="CA8" s="433" t="s">
        <v>111</v>
      </c>
      <c r="CB8" s="417"/>
      <c r="CC8" s="323"/>
      <c r="CD8" s="323" t="s">
        <v>120</v>
      </c>
      <c r="CE8" s="323"/>
      <c r="CF8" s="323"/>
      <c r="CG8" s="417" t="s">
        <v>122</v>
      </c>
      <c r="CH8" s="323"/>
      <c r="CI8" s="323"/>
      <c r="CJ8" s="434">
        <f>(CG5+0.1)*CI5</f>
        <v>0.23333333333333334</v>
      </c>
      <c r="CK8" s="323"/>
      <c r="CL8" s="323"/>
      <c r="CM8" s="323"/>
      <c r="CN8" s="323"/>
      <c r="CO8" s="323"/>
      <c r="CP8" s="323"/>
      <c r="CR8" s="323" t="s">
        <v>189</v>
      </c>
      <c r="CV8" s="435">
        <f>$CR$21</f>
        <v>0.59</v>
      </c>
      <c r="CW8" s="436">
        <f>$CE$12</f>
        <v>0.16666666666666669</v>
      </c>
    </row>
    <row r="9" spans="2:101" ht="15.75" customHeight="1" thickBot="1">
      <c r="B9" s="38" t="s">
        <v>34</v>
      </c>
      <c r="K9" s="42" t="s">
        <v>3</v>
      </c>
      <c r="L9" s="540">
        <v>3000</v>
      </c>
      <c r="M9" s="540"/>
      <c r="N9" s="540"/>
      <c r="O9" s="56"/>
      <c r="P9" s="38" t="s">
        <v>45</v>
      </c>
      <c r="Q9" s="42"/>
      <c r="S9" s="42"/>
      <c r="T9" s="42"/>
      <c r="U9" s="42" t="s">
        <v>3</v>
      </c>
      <c r="V9" s="546">
        <f>L10/L16</f>
        <v>10.257825921892852</v>
      </c>
      <c r="W9" s="546"/>
      <c r="X9" s="546"/>
      <c r="Y9" s="546"/>
      <c r="Z9" s="57"/>
      <c r="AA9" s="56"/>
      <c r="AB9" s="56"/>
      <c r="AC9" s="548" t="s">
        <v>255</v>
      </c>
      <c r="AD9" s="549"/>
      <c r="AE9" s="550"/>
      <c r="AF9" s="41"/>
      <c r="AG9" s="41"/>
      <c r="AH9" s="41"/>
      <c r="AI9" s="41"/>
      <c r="AJ9" s="41"/>
      <c r="AK9" s="41"/>
      <c r="AL9" s="41"/>
      <c r="AM9" s="41"/>
      <c r="AN9" s="41"/>
      <c r="AO9" s="41"/>
      <c r="BH9" s="321" t="str">
        <f>IF($BW$4=1,BU9,IF($BW$4=2,BU16,IF($BW$4=3,BU24,IF($BW$4=4,"",IF($BW$4=5,BU29)))))</f>
        <v>I-0.22X0.22</v>
      </c>
      <c r="BK9" s="321">
        <v>2</v>
      </c>
      <c r="BL9" s="321">
        <f>IF($BW$4=1,BV9,IF($BW$4=2,BV16,IF($BW$4=3,BV24,IF($BW$4=4,"",IF($BW$4=5,BV29)))))</f>
        <v>0.22</v>
      </c>
      <c r="BN9" s="321" t="s">
        <v>147</v>
      </c>
      <c r="BO9" s="431">
        <f>(BN16*L27)*10000</f>
        <v>3000</v>
      </c>
      <c r="BR9" s="321">
        <f>(BN16*2*L14)+(BN16*2*1800)</f>
        <v>10080</v>
      </c>
      <c r="BS9" s="321">
        <f>IF(CR5=1,BR9,IF(CR5=2,(BR9/1000)))</f>
        <v>10080</v>
      </c>
      <c r="BT9" s="321">
        <v>2</v>
      </c>
      <c r="BU9" s="323" t="s">
        <v>65</v>
      </c>
      <c r="BV9" s="431">
        <v>0.22</v>
      </c>
      <c r="BW9" s="417"/>
      <c r="BX9" s="323"/>
      <c r="BY9" s="435" t="s">
        <v>109</v>
      </c>
      <c r="BZ9" s="416" t="s">
        <v>110</v>
      </c>
      <c r="CA9" s="435" t="s">
        <v>109</v>
      </c>
      <c r="CB9" s="416" t="s">
        <v>110</v>
      </c>
      <c r="CC9" s="323"/>
      <c r="CD9" s="435" t="s">
        <v>109</v>
      </c>
      <c r="CE9" s="416" t="s">
        <v>110</v>
      </c>
      <c r="CF9" s="323"/>
      <c r="CG9" s="417">
        <f>BK28</f>
        <v>0.22</v>
      </c>
      <c r="CH9" s="417">
        <f>CG5+0.15</f>
        <v>0.4</v>
      </c>
      <c r="CI9" s="323"/>
      <c r="CJ9" s="417">
        <f>IF(CJ8&gt;0.65,0.64,IF(CJ8&lt;=0.65,CH14))</f>
        <v>0.23333333333333334</v>
      </c>
      <c r="CK9" s="323"/>
      <c r="CL9" s="323"/>
      <c r="CM9" s="323"/>
      <c r="CN9" s="323"/>
      <c r="CO9" s="323"/>
      <c r="CP9" s="323"/>
      <c r="CR9" s="426" t="s">
        <v>190</v>
      </c>
      <c r="CV9" s="437">
        <f>$CR$22</f>
        <v>0.49</v>
      </c>
      <c r="CW9" s="428">
        <f>$CE$12</f>
        <v>0.16666666666666669</v>
      </c>
    </row>
    <row r="10" spans="1:101" ht="15.75" customHeight="1" thickBot="1">
      <c r="A10" s="26"/>
      <c r="B10" s="38" t="s">
        <v>35</v>
      </c>
      <c r="K10" s="42" t="s">
        <v>3</v>
      </c>
      <c r="L10" s="582">
        <v>2040000</v>
      </c>
      <c r="M10" s="582"/>
      <c r="N10" s="582"/>
      <c r="P10" s="38" t="s">
        <v>46</v>
      </c>
      <c r="U10" s="42" t="s">
        <v>3</v>
      </c>
      <c r="V10" s="612">
        <f>1/(1+(L11/(V9*L15)))</f>
        <v>0.3073117948842602</v>
      </c>
      <c r="W10" s="612"/>
      <c r="X10" s="612"/>
      <c r="Y10" s="612"/>
      <c r="Z10" s="60"/>
      <c r="AC10" s="551"/>
      <c r="AD10" s="552"/>
      <c r="AE10" s="553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BH10" s="321" t="str">
        <f>IF($BW$4=1,BU10,IF($BW$4=2,BU17,IF($BW$4=3,"",IF($BW$4=4,"",IF($BW$4=5,BU30)))))</f>
        <v>I-0.26X0.26</v>
      </c>
      <c r="BK10" s="321">
        <v>3</v>
      </c>
      <c r="BL10" s="321">
        <f>IF($BW$4=1,BV10,IF($BW$4=2,BV17,IF($BW$4=3,"",IF($BW$4=4,"",IF($BW$4=5,BV30)))))</f>
        <v>0.26</v>
      </c>
      <c r="BN10" s="321" t="s">
        <v>137</v>
      </c>
      <c r="BO10" s="321">
        <f>(0.2125*BO9*L12)</f>
        <v>110287.5</v>
      </c>
      <c r="BQ10" s="321" t="s">
        <v>164</v>
      </c>
      <c r="BR10" s="438">
        <f>L19*1.1</f>
        <v>82500</v>
      </c>
      <c r="BS10" s="438">
        <f>L19+BS9</f>
        <v>85080</v>
      </c>
      <c r="BT10" s="321">
        <v>3</v>
      </c>
      <c r="BU10" s="323" t="s">
        <v>66</v>
      </c>
      <c r="BV10" s="431">
        <v>0.26</v>
      </c>
      <c r="BW10" s="417"/>
      <c r="BX10" s="323"/>
      <c r="BY10" s="439">
        <f>-($BY$5*$CB$5)</f>
        <v>-0.4</v>
      </c>
      <c r="BZ10" s="421">
        <f>($BZ$5*$CB$5)</f>
        <v>0.4</v>
      </c>
      <c r="CA10" s="440">
        <f>-($CD$5*$CB$5)</f>
        <v>-0.16666666666666669</v>
      </c>
      <c r="CB10" s="420">
        <f>($CE$5*$CB$5)</f>
        <v>0.06666666666666668</v>
      </c>
      <c r="CC10" s="323"/>
      <c r="CD10" s="439">
        <f>-($CD$5*$CI$5)</f>
        <v>-0.16666666666666669</v>
      </c>
      <c r="CE10" s="421">
        <f>(($CG$5+0.1)*$CI$5)</f>
        <v>0.23333333333333334</v>
      </c>
      <c r="CF10" s="323"/>
      <c r="CG10" s="417">
        <f>CG9/2</f>
        <v>0.11</v>
      </c>
      <c r="CH10" s="323"/>
      <c r="CI10" s="323"/>
      <c r="CJ10" s="323"/>
      <c r="CK10" s="323"/>
      <c r="CL10" s="323"/>
      <c r="CM10" s="323"/>
      <c r="CN10" s="323"/>
      <c r="CO10" s="323"/>
      <c r="CP10" s="323"/>
      <c r="CR10" s="323" t="s">
        <v>97</v>
      </c>
      <c r="CV10" s="431"/>
      <c r="CW10" s="431"/>
    </row>
    <row r="11" spans="1:101" ht="15.75" customHeight="1">
      <c r="A11" s="26"/>
      <c r="B11" s="38" t="s">
        <v>40</v>
      </c>
      <c r="K11" s="42" t="s">
        <v>3</v>
      </c>
      <c r="L11" s="542">
        <f>IF((0.5*L9)&gt;=1700,1700,IF((0.5*L9)&lt;1700,(0.5*L9)))</f>
        <v>1500</v>
      </c>
      <c r="M11" s="542"/>
      <c r="N11" s="542"/>
      <c r="P11" s="38" t="s">
        <v>47</v>
      </c>
      <c r="U11" s="42" t="s">
        <v>3</v>
      </c>
      <c r="V11" s="612">
        <f>1-(V10/3)</f>
        <v>0.89756273503858</v>
      </c>
      <c r="W11" s="612"/>
      <c r="X11" s="612"/>
      <c r="Y11" s="612"/>
      <c r="Z11" s="60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BH11" s="321" t="str">
        <f>IF($BW$4=1,BU11,IF($BW$4=2,BU18,IF($BW$4=3,"",IF($BW$4=4,"",IF($BW$4=5,BU31)))))</f>
        <v>I-0.30X0.30</v>
      </c>
      <c r="BK11" s="321">
        <v>4</v>
      </c>
      <c r="BL11" s="321">
        <f>IF($BW$4=1,BV11,IF($BW$4=2,BV18,IF($BW$4=3,"",IF($BW$4=4,"",IF($BW$4=5,BV31)))))</f>
        <v>0.3</v>
      </c>
      <c r="BQ11" s="321" t="s">
        <v>136</v>
      </c>
      <c r="BR11" s="441">
        <f>BS11/L23</f>
        <v>3.867272727272727</v>
      </c>
      <c r="BS11" s="321">
        <f>IF(BR10&gt;=BS10,BR10,IF(BR10&lt;BS10,BS10))</f>
        <v>85080</v>
      </c>
      <c r="BT11" s="321">
        <v>4</v>
      </c>
      <c r="BU11" s="323" t="s">
        <v>67</v>
      </c>
      <c r="BV11" s="431">
        <v>0.3</v>
      </c>
      <c r="BW11" s="417"/>
      <c r="BX11" s="323"/>
      <c r="BY11" s="439">
        <f>($BY$5*$CB$5)</f>
        <v>0.4</v>
      </c>
      <c r="BZ11" s="421">
        <f>($BZ$5*$CB$5)</f>
        <v>0.4</v>
      </c>
      <c r="CA11" s="440">
        <f>($CD$5*$CB$5)</f>
        <v>0.16666666666666669</v>
      </c>
      <c r="CB11" s="420">
        <f>($CE$5*$CB$5)</f>
        <v>0.06666666666666668</v>
      </c>
      <c r="CC11" s="323"/>
      <c r="CD11" s="439">
        <f>-($CD$5*$CI$5)</f>
        <v>-0.16666666666666669</v>
      </c>
      <c r="CE11" s="421">
        <f>($CG$5*$CI$5)</f>
        <v>0.16666666666666669</v>
      </c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R11" s="323" t="s">
        <v>98</v>
      </c>
      <c r="CV11" s="435">
        <f>$CR$21</f>
        <v>0.59</v>
      </c>
      <c r="CW11" s="436">
        <f>$CE$22</f>
        <v>-0.16666666666666669</v>
      </c>
    </row>
    <row r="12" spans="1:101" ht="15.75" customHeight="1" thickBot="1">
      <c r="A12" s="26"/>
      <c r="B12" s="38" t="s">
        <v>36</v>
      </c>
      <c r="K12" s="42" t="s">
        <v>3</v>
      </c>
      <c r="L12" s="540">
        <v>173</v>
      </c>
      <c r="M12" s="540"/>
      <c r="N12" s="540"/>
      <c r="O12" s="30"/>
      <c r="P12" s="38" t="s">
        <v>48</v>
      </c>
      <c r="U12" s="42" t="s">
        <v>3</v>
      </c>
      <c r="V12" s="612">
        <f>0.5*L15*V10*V11</f>
        <v>8.947288015647407</v>
      </c>
      <c r="W12" s="612"/>
      <c r="X12" s="612"/>
      <c r="Y12" s="612"/>
      <c r="Z12" s="60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BH12" s="321" t="str">
        <f>IF($BW$4=1,BU12,IF($BW$4=2,BU19,IF($BW$4=3,"",IF($BW$4=4,"",IF($BW$4=5,"")))))</f>
        <v>I-0.35X0.35</v>
      </c>
      <c r="BK12" s="321">
        <v>5</v>
      </c>
      <c r="BL12" s="321">
        <f>IF($BW$4=1,BV12,IF($BW$4=2,BV19,IF($BW$4=3,"",IF($BW$4=4,"",IF($BW$4=5,"")))))</f>
        <v>0.35</v>
      </c>
      <c r="BN12" s="321" t="s">
        <v>148</v>
      </c>
      <c r="BO12" s="321">
        <f>IF(L21&lt;=M32,1,IF(L21&gt;M32,2))</f>
        <v>2</v>
      </c>
      <c r="BQ12" s="321" t="s">
        <v>165</v>
      </c>
      <c r="BR12" s="321">
        <f>IF(AND(BR11&gt;3,BR11&lt;=4),1,2)</f>
        <v>1</v>
      </c>
      <c r="BT12" s="321">
        <v>5</v>
      </c>
      <c r="BU12" s="323" t="s">
        <v>68</v>
      </c>
      <c r="BV12" s="431">
        <v>0.35</v>
      </c>
      <c r="BW12" s="417"/>
      <c r="BX12" s="323"/>
      <c r="BY12" s="439">
        <f>($BY$5*$CB$5)</f>
        <v>0.4</v>
      </c>
      <c r="BZ12" s="421">
        <f>-($BZ$5*$CB$5)</f>
        <v>-0.4</v>
      </c>
      <c r="CA12" s="440">
        <f>($CD$5*$CB$5)</f>
        <v>0.16666666666666669</v>
      </c>
      <c r="CB12" s="420">
        <f>-($CE$5*$CB$5)</f>
        <v>-0.06666666666666668</v>
      </c>
      <c r="CC12" s="323"/>
      <c r="CD12" s="439">
        <f>-($BY$5*$CI$5)</f>
        <v>-0.4</v>
      </c>
      <c r="CE12" s="421">
        <f>($CG$5*$CI$5)</f>
        <v>0.16666666666666669</v>
      </c>
      <c r="CF12" s="426"/>
      <c r="CG12" s="426" t="s">
        <v>125</v>
      </c>
      <c r="CH12" s="426"/>
      <c r="CI12" s="426"/>
      <c r="CJ12" s="426" t="s">
        <v>160</v>
      </c>
      <c r="CK12" s="426"/>
      <c r="CL12" s="417">
        <f>VLOOKUP(BK28,CJ13:CK25,2,TRUE)</f>
        <v>0.25</v>
      </c>
      <c r="CM12" s="323"/>
      <c r="CN12" s="323"/>
      <c r="CO12" s="323"/>
      <c r="CP12" s="323"/>
      <c r="CR12" s="426" t="s">
        <v>191</v>
      </c>
      <c r="CV12" s="437">
        <f>$CR$22</f>
        <v>0.49</v>
      </c>
      <c r="CW12" s="428">
        <f>$CE$22</f>
        <v>-0.16666666666666669</v>
      </c>
    </row>
    <row r="13" spans="2:101" ht="15.75" customHeight="1" thickBot="1">
      <c r="B13" s="38" t="s">
        <v>41</v>
      </c>
      <c r="K13" s="42" t="s">
        <v>3</v>
      </c>
      <c r="L13" s="586">
        <v>0.375</v>
      </c>
      <c r="M13" s="586"/>
      <c r="N13" s="586"/>
      <c r="O13" s="30"/>
      <c r="P13" s="30"/>
      <c r="Q13" s="30"/>
      <c r="V13" s="30"/>
      <c r="W13" s="60"/>
      <c r="X13" s="60"/>
      <c r="Y13" s="60"/>
      <c r="Z13" s="60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BH13" s="321" t="str">
        <f>IF($BW$4=1,BU13,IF($BW$4=2,BU20,IF($BW$4=3,"",IF($BW$4=4,"",IF($BW$4=5,"")))))</f>
        <v>I-0.40X0.40</v>
      </c>
      <c r="BK13" s="321">
        <v>6</v>
      </c>
      <c r="BL13" s="321">
        <f>IF($BW$4=1,BV13,IF($BW$4=2,BV20,IF($BW$4=3,"",IF($BW$4=4,"",IF($BW$4=5,"")))))</f>
        <v>0.4</v>
      </c>
      <c r="BN13" s="321" t="s">
        <v>141</v>
      </c>
      <c r="BO13" s="442">
        <f>0.002*(BN16*L28*10000)</f>
        <v>12</v>
      </c>
      <c r="BQ13" s="321" t="s">
        <v>163</v>
      </c>
      <c r="BR13" s="443">
        <f>IF(BR12=1,(BR10/4),"Found")</f>
        <v>20625</v>
      </c>
      <c r="BS13" s="321">
        <f>IF(CR5=1,BR13,IF(CR5=2,(BR13)))</f>
        <v>20625</v>
      </c>
      <c r="BT13" s="321">
        <v>6</v>
      </c>
      <c r="BU13" s="323" t="s">
        <v>69</v>
      </c>
      <c r="BV13" s="431">
        <v>0.4</v>
      </c>
      <c r="BW13" s="417"/>
      <c r="BX13" s="323"/>
      <c r="BY13" s="439">
        <f>-($BY$5*$CB$5)</f>
        <v>-0.4</v>
      </c>
      <c r="BZ13" s="421">
        <f>-($BZ$5*$CB$5)</f>
        <v>-0.4</v>
      </c>
      <c r="CA13" s="440">
        <f>-($CD$5*$CB$5)</f>
        <v>-0.16666666666666669</v>
      </c>
      <c r="CB13" s="420">
        <f>-($CE$5*$CB$5)</f>
        <v>-0.06666666666666668</v>
      </c>
      <c r="CC13" s="323"/>
      <c r="CD13" s="439">
        <f>-($BY$5*$CI$5)</f>
        <v>-0.4</v>
      </c>
      <c r="CE13" s="421">
        <f>-($CG$5*$CI$5)</f>
        <v>-0.16666666666666669</v>
      </c>
      <c r="CF13" s="426"/>
      <c r="CG13" s="435" t="s">
        <v>109</v>
      </c>
      <c r="CH13" s="416" t="s">
        <v>110</v>
      </c>
      <c r="CI13" s="426"/>
      <c r="CJ13" s="444">
        <v>0.15</v>
      </c>
      <c r="CK13" s="436">
        <v>0.15</v>
      </c>
      <c r="CL13" s="323"/>
      <c r="CM13" s="323">
        <f>CG10</f>
        <v>0.11</v>
      </c>
      <c r="CN13" s="323"/>
      <c r="CO13" s="445" t="s">
        <v>123</v>
      </c>
      <c r="CP13" s="323"/>
      <c r="CV13" s="431"/>
      <c r="CW13" s="431"/>
    </row>
    <row r="14" spans="2:104" ht="15.75" customHeight="1" thickBot="1">
      <c r="B14" s="38" t="s">
        <v>42</v>
      </c>
      <c r="K14" s="42" t="s">
        <v>3</v>
      </c>
      <c r="L14" s="540">
        <v>2400</v>
      </c>
      <c r="M14" s="540"/>
      <c r="N14" s="540"/>
      <c r="O14" s="30"/>
      <c r="P14" s="30"/>
      <c r="Q14" s="607" t="s">
        <v>133</v>
      </c>
      <c r="R14" s="608"/>
      <c r="S14" s="608"/>
      <c r="T14" s="608"/>
      <c r="U14" s="608"/>
      <c r="V14" s="608"/>
      <c r="W14" s="608"/>
      <c r="X14" s="608"/>
      <c r="Y14" s="608"/>
      <c r="Z14" s="608"/>
      <c r="AA14" s="609"/>
      <c r="AC14" s="593" t="s">
        <v>187</v>
      </c>
      <c r="AD14" s="594"/>
      <c r="AE14" s="594"/>
      <c r="AF14" s="594"/>
      <c r="AG14" s="594"/>
      <c r="AH14" s="595"/>
      <c r="AI14" s="41"/>
      <c r="AJ14" s="41"/>
      <c r="AK14" s="41"/>
      <c r="AL14" s="41"/>
      <c r="AM14" s="41"/>
      <c r="AN14" s="41"/>
      <c r="AO14" s="41"/>
      <c r="BH14" s="321">
        <f>IF($BW$4=1,"",IF($BW$4=2,BU21,IF($BW$4=3,"",IF($BW$4=4,"",IF($BW$4=5,"")))))</f>
      </c>
      <c r="BK14" s="321">
        <v>7</v>
      </c>
      <c r="BL14" s="321">
        <f>IF($BW$4=1,"",IF($BW$4=2,BV21,IF($BW$4=3,"",IF($BW$4=4,"",IF($BW$4=5,"")))))</f>
      </c>
      <c r="BQ14" s="321" t="s">
        <v>166</v>
      </c>
      <c r="BR14" s="321">
        <f>IF(CR5=1,BR13,IF(CR5=2,(BR13*1000)))</f>
        <v>20625</v>
      </c>
      <c r="BU14" s="323"/>
      <c r="BV14" s="431"/>
      <c r="BW14" s="417"/>
      <c r="BX14" s="323"/>
      <c r="BY14" s="446">
        <f>-($BY$5*$CB$5)</f>
        <v>-0.4</v>
      </c>
      <c r="BZ14" s="428">
        <f>($BZ$5*$CB$5)</f>
        <v>0.4</v>
      </c>
      <c r="CA14" s="437">
        <f>-($CD$5*$CB$5)</f>
        <v>-0.16666666666666669</v>
      </c>
      <c r="CB14" s="425">
        <f>($CE$5*$CB$5)</f>
        <v>0.06666666666666668</v>
      </c>
      <c r="CC14" s="323"/>
      <c r="CD14" s="439">
        <f>-($CM$16*$CI$5)</f>
        <v>-0.3066666666666667</v>
      </c>
      <c r="CE14" s="421">
        <f>-($CG$5*$CI$5)</f>
        <v>-0.16666666666666669</v>
      </c>
      <c r="CF14" s="445"/>
      <c r="CG14" s="447">
        <f>-($CJ$5*$CI$5)</f>
        <v>-0.2</v>
      </c>
      <c r="CH14" s="421">
        <f>(($CG$5+0.1)*$CI$5)</f>
        <v>0.23333333333333334</v>
      </c>
      <c r="CI14" s="448"/>
      <c r="CJ14" s="447">
        <v>0.16</v>
      </c>
      <c r="CK14" s="421">
        <v>0.2</v>
      </c>
      <c r="CL14" s="417"/>
      <c r="CM14" s="323">
        <f>BY4/2</f>
        <v>0.6</v>
      </c>
      <c r="CN14" s="323"/>
      <c r="CO14" s="449" t="s">
        <v>109</v>
      </c>
      <c r="CP14" s="416" t="s">
        <v>110</v>
      </c>
      <c r="CU14" s="321">
        <f>CG5+0.075</f>
        <v>0.325</v>
      </c>
      <c r="CV14" s="450">
        <f>$CR$23</f>
        <v>0.54</v>
      </c>
      <c r="CW14" s="416">
        <f>$CU$14*$CI$5</f>
        <v>0.2166666666666667</v>
      </c>
      <c r="CY14" s="444">
        <f>($BY$5*$CI$5)</f>
        <v>0.4</v>
      </c>
      <c r="CZ14" s="436">
        <f>$CE$12</f>
        <v>0.16666666666666669</v>
      </c>
    </row>
    <row r="15" spans="2:104" ht="15.75" customHeight="1" thickBot="1">
      <c r="B15" s="38" t="s">
        <v>43</v>
      </c>
      <c r="K15" s="42" t="s">
        <v>3</v>
      </c>
      <c r="L15" s="555">
        <f>L13*L12</f>
        <v>64.875</v>
      </c>
      <c r="M15" s="555"/>
      <c r="N15" s="555"/>
      <c r="O15" s="30"/>
      <c r="P15" s="30"/>
      <c r="Q15" s="237"/>
      <c r="R15" s="68"/>
      <c r="S15" s="26"/>
      <c r="T15" s="26"/>
      <c r="U15" s="26"/>
      <c r="V15" s="26"/>
      <c r="W15" s="28"/>
      <c r="X15" s="68"/>
      <c r="Y15" s="68"/>
      <c r="Z15" s="26"/>
      <c r="AA15" s="238"/>
      <c r="AC15" s="62"/>
      <c r="AD15" s="62"/>
      <c r="AE15" s="62"/>
      <c r="AF15" s="62"/>
      <c r="AG15" s="62"/>
      <c r="AH15" s="62"/>
      <c r="AI15" s="41"/>
      <c r="AJ15" s="69"/>
      <c r="AK15" s="41"/>
      <c r="AL15" s="41"/>
      <c r="AM15" s="41"/>
      <c r="AN15" s="41"/>
      <c r="AO15" s="41"/>
      <c r="BQ15" s="321" t="s">
        <v>167</v>
      </c>
      <c r="BR15" s="321">
        <f>(BR14*(CM19-CD5))*2</f>
        <v>4124.999999999999</v>
      </c>
      <c r="BS15" s="321">
        <f>BR15/1000</f>
        <v>4.124999999999999</v>
      </c>
      <c r="BT15" s="321">
        <v>1</v>
      </c>
      <c r="BU15" s="323" t="s">
        <v>70</v>
      </c>
      <c r="BV15" s="417">
        <v>0.16</v>
      </c>
      <c r="BW15" s="417"/>
      <c r="BX15" s="323"/>
      <c r="BY15" s="417"/>
      <c r="BZ15" s="323"/>
      <c r="CA15" s="323"/>
      <c r="CB15" s="323"/>
      <c r="CC15" s="323"/>
      <c r="CD15" s="439">
        <f>-($CM$16*$CI$5)</f>
        <v>-0.3066666666666667</v>
      </c>
      <c r="CE15" s="421">
        <f>-(($CG$5-0.05)*$CI$5)</f>
        <v>-0.13333333333333336</v>
      </c>
      <c r="CF15" s="445"/>
      <c r="CG15" s="439">
        <f>-(0.025*CI5)</f>
        <v>-0.01666666666666667</v>
      </c>
      <c r="CH15" s="421">
        <f>(($CG$5+0.1)*$CI$5)</f>
        <v>0.23333333333333334</v>
      </c>
      <c r="CI15" s="448"/>
      <c r="CJ15" s="440">
        <v>0.18</v>
      </c>
      <c r="CK15" s="420">
        <v>0.2</v>
      </c>
      <c r="CL15" s="417"/>
      <c r="CM15" s="323">
        <f>CL12</f>
        <v>0.25</v>
      </c>
      <c r="CN15" s="323"/>
      <c r="CO15" s="439">
        <f>-($CM$16*$CI$5)</f>
        <v>-0.3066666666666667</v>
      </c>
      <c r="CP15" s="421">
        <f>-(($CG$5-0.05)*$CI$5)</f>
        <v>-0.13333333333333336</v>
      </c>
      <c r="CV15" s="451">
        <f>$CR$23</f>
        <v>0.54</v>
      </c>
      <c r="CW15" s="420">
        <v>0</v>
      </c>
      <c r="CY15" s="437">
        <f>$CR$22</f>
        <v>0.49</v>
      </c>
      <c r="CZ15" s="428">
        <f>$CE$12</f>
        <v>0.16666666666666669</v>
      </c>
    </row>
    <row r="16" spans="1:104" ht="15.75" customHeight="1" thickBot="1">
      <c r="A16" s="26"/>
      <c r="B16" s="38" t="s">
        <v>37</v>
      </c>
      <c r="K16" s="42" t="s">
        <v>3</v>
      </c>
      <c r="L16" s="542">
        <f>15120*SQRT(L12)</f>
        <v>198872.5501420445</v>
      </c>
      <c r="M16" s="542"/>
      <c r="N16" s="542"/>
      <c r="Q16" s="239"/>
      <c r="R16" s="68"/>
      <c r="S16" s="26"/>
      <c r="T16" s="26"/>
      <c r="U16" s="26"/>
      <c r="V16" s="26"/>
      <c r="W16" s="26"/>
      <c r="X16" s="68"/>
      <c r="Y16" s="68"/>
      <c r="Z16" s="26"/>
      <c r="AA16" s="121"/>
      <c r="AB16" s="21"/>
      <c r="AC16" s="234"/>
      <c r="AD16" s="234"/>
      <c r="AE16" s="234"/>
      <c r="AF16" s="234"/>
      <c r="AG16" s="234"/>
      <c r="AH16" s="234"/>
      <c r="AI16" s="54"/>
      <c r="AJ16" s="54"/>
      <c r="AK16" s="54"/>
      <c r="AL16" s="54"/>
      <c r="AM16" s="54"/>
      <c r="AN16" s="54"/>
      <c r="AO16" s="54"/>
      <c r="AP16" s="26"/>
      <c r="AQ16" s="26"/>
      <c r="AR16" s="26"/>
      <c r="AS16" s="26"/>
      <c r="AT16" s="26"/>
      <c r="AU16" s="26"/>
      <c r="AV16" s="156"/>
      <c r="AW16" s="156"/>
      <c r="AX16" s="323"/>
      <c r="AY16" s="323"/>
      <c r="AZ16" s="323"/>
      <c r="BA16" s="323"/>
      <c r="BB16" s="323"/>
      <c r="BH16" s="321" t="s">
        <v>86</v>
      </c>
      <c r="BN16" s="321">
        <f>L26+(L27*2)</f>
        <v>1.2</v>
      </c>
      <c r="BQ16" s="432" t="s">
        <v>168</v>
      </c>
      <c r="BR16" s="452">
        <f>SQRT((BR15/(V12*BN16)))</f>
        <v>19.600883373726358</v>
      </c>
      <c r="BT16" s="321">
        <v>2</v>
      </c>
      <c r="BU16" s="323" t="s">
        <v>71</v>
      </c>
      <c r="BV16" s="417">
        <v>0.18</v>
      </c>
      <c r="BW16" s="417"/>
      <c r="BX16" s="323"/>
      <c r="BY16" s="431"/>
      <c r="CA16" s="323"/>
      <c r="CB16" s="323"/>
      <c r="CC16" s="323"/>
      <c r="CD16" s="439">
        <f>-($CM$17*$CI$5)</f>
        <v>-0.16</v>
      </c>
      <c r="CE16" s="421">
        <f>-(($CG$5-0.05)*$CI$5)</f>
        <v>-0.13333333333333336</v>
      </c>
      <c r="CF16" s="445"/>
      <c r="CG16" s="439">
        <f>-(0.025*CI5)</f>
        <v>-0.01666666666666667</v>
      </c>
      <c r="CH16" s="421">
        <f>(($CG$5+0.125)*$CI$5)</f>
        <v>0.25</v>
      </c>
      <c r="CI16" s="448"/>
      <c r="CJ16" s="447">
        <v>0.2</v>
      </c>
      <c r="CK16" s="421">
        <v>0.2</v>
      </c>
      <c r="CL16" s="417"/>
      <c r="CM16" s="323">
        <f>(CM14-CM15+CM13)</f>
        <v>0.45999999999999996</v>
      </c>
      <c r="CN16" s="323"/>
      <c r="CO16" s="439">
        <f>-($CM$17*$CI$5)</f>
        <v>-0.16</v>
      </c>
      <c r="CP16" s="421">
        <f>-(($CG$5-0.05)*$CI$5)</f>
        <v>-0.13333333333333336</v>
      </c>
      <c r="CV16" s="453">
        <f>$CR$23</f>
        <v>0.54</v>
      </c>
      <c r="CW16" s="425">
        <f>-($CU$14*$CI$5)</f>
        <v>-0.2166666666666667</v>
      </c>
      <c r="CZ16" s="454"/>
    </row>
    <row r="17" spans="1:104" ht="15.75" customHeight="1" thickBot="1">
      <c r="A17" s="26"/>
      <c r="B17" s="26"/>
      <c r="L17" s="542"/>
      <c r="M17" s="542"/>
      <c r="N17" s="542"/>
      <c r="Q17" s="239"/>
      <c r="R17" s="68"/>
      <c r="S17" s="71"/>
      <c r="T17" s="71"/>
      <c r="U17" s="71"/>
      <c r="V17" s="71"/>
      <c r="W17" s="71"/>
      <c r="X17" s="68"/>
      <c r="Y17" s="68"/>
      <c r="Z17" s="27"/>
      <c r="AA17" s="240"/>
      <c r="AB17" s="30"/>
      <c r="AC17" s="54"/>
      <c r="AD17" s="54"/>
      <c r="AE17" s="54"/>
      <c r="AF17" s="54"/>
      <c r="AG17" s="54"/>
      <c r="AH17" s="54"/>
      <c r="AI17" s="72"/>
      <c r="AJ17" s="72"/>
      <c r="AK17" s="72"/>
      <c r="AL17" s="54"/>
      <c r="AM17" s="54"/>
      <c r="AN17" s="54"/>
      <c r="AO17" s="54"/>
      <c r="AP17" s="26"/>
      <c r="AQ17" s="26"/>
      <c r="AR17" s="26"/>
      <c r="AS17" s="26"/>
      <c r="AT17" s="26"/>
      <c r="AU17" s="26"/>
      <c r="AV17" s="156"/>
      <c r="AW17" s="156"/>
      <c r="AX17" s="323"/>
      <c r="AY17" s="323"/>
      <c r="AZ17" s="323"/>
      <c r="BA17" s="323"/>
      <c r="BB17" s="323"/>
      <c r="BH17" s="321" t="s">
        <v>87</v>
      </c>
      <c r="BR17" s="321">
        <f>CG4*100</f>
        <v>50</v>
      </c>
      <c r="BT17" s="321">
        <v>3</v>
      </c>
      <c r="BU17" s="323" t="s">
        <v>72</v>
      </c>
      <c r="BV17" s="417">
        <v>0.22</v>
      </c>
      <c r="BW17" s="417"/>
      <c r="BX17" s="323"/>
      <c r="BY17" s="431">
        <f>BY4-(L29*2)</f>
        <v>1.0999999999999999</v>
      </c>
      <c r="BZ17" s="431">
        <f>BY17/2</f>
        <v>0.5499999999999999</v>
      </c>
      <c r="CA17" s="417">
        <f>BZ17-0.025</f>
        <v>0.5249999999999999</v>
      </c>
      <c r="CB17" s="323"/>
      <c r="CC17" s="323"/>
      <c r="CD17" s="439">
        <f>-($CM$17*$CI$5)</f>
        <v>-0.16</v>
      </c>
      <c r="CE17" s="421">
        <f>-($CG$5*$CI$5)</f>
        <v>-0.16666666666666669</v>
      </c>
      <c r="CF17" s="323"/>
      <c r="CG17" s="439">
        <f>(0.025*CI5)</f>
        <v>0.01666666666666667</v>
      </c>
      <c r="CH17" s="421">
        <f>(($CG$5+0.1-0.025)*$CI$5)</f>
        <v>0.21666666666666667</v>
      </c>
      <c r="CI17" s="323"/>
      <c r="CJ17" s="447">
        <v>0.22</v>
      </c>
      <c r="CK17" s="421">
        <v>0.25</v>
      </c>
      <c r="CL17" s="323"/>
      <c r="CM17" s="323">
        <f>(CM14-CM15-CM13)</f>
        <v>0.24</v>
      </c>
      <c r="CN17" s="323"/>
      <c r="CO17" s="439">
        <f>-($CM$17*$CI$5)</f>
        <v>-0.16</v>
      </c>
      <c r="CP17" s="455">
        <f>-($CH$9*$CI$5)</f>
        <v>-0.2666666666666667</v>
      </c>
      <c r="CV17" s="431"/>
      <c r="CW17" s="456"/>
      <c r="CY17" s="444">
        <f>($BY$5*$CI$5)</f>
        <v>0.4</v>
      </c>
      <c r="CZ17" s="436">
        <f>$CE$22</f>
        <v>-0.16666666666666669</v>
      </c>
    </row>
    <row r="18" spans="1:104" ht="15.75" customHeight="1" thickBot="1">
      <c r="A18" s="26"/>
      <c r="B18" s="36" t="s">
        <v>38</v>
      </c>
      <c r="D18" s="26"/>
      <c r="E18" s="26"/>
      <c r="F18" s="26"/>
      <c r="G18" s="26"/>
      <c r="H18" s="26"/>
      <c r="I18" s="26"/>
      <c r="J18" s="22"/>
      <c r="K18" s="27"/>
      <c r="L18" s="542"/>
      <c r="M18" s="542"/>
      <c r="N18" s="542"/>
      <c r="O18" s="26"/>
      <c r="P18" s="26"/>
      <c r="Q18" s="239"/>
      <c r="R18" s="68"/>
      <c r="S18" s="26"/>
      <c r="T18" s="26"/>
      <c r="U18" s="26"/>
      <c r="V18" s="125"/>
      <c r="W18" s="241"/>
      <c r="X18" s="68"/>
      <c r="Y18" s="68"/>
      <c r="Z18" s="26"/>
      <c r="AA18" s="240"/>
      <c r="AB18" s="30"/>
      <c r="AC18" s="54"/>
      <c r="AD18" s="54"/>
      <c r="AE18" s="54"/>
      <c r="AF18" s="54"/>
      <c r="AG18" s="54"/>
      <c r="AH18" s="54"/>
      <c r="AI18" s="72"/>
      <c r="AJ18" s="72"/>
      <c r="AK18" s="72"/>
      <c r="AL18" s="54"/>
      <c r="AM18" s="54"/>
      <c r="AN18" s="54"/>
      <c r="AO18" s="54"/>
      <c r="AP18" s="26"/>
      <c r="AQ18" s="26"/>
      <c r="AR18" s="26"/>
      <c r="AS18" s="26"/>
      <c r="AT18" s="26"/>
      <c r="AU18" s="26"/>
      <c r="AV18" s="156"/>
      <c r="AW18" s="156"/>
      <c r="AX18" s="323"/>
      <c r="AY18" s="323"/>
      <c r="AZ18" s="323"/>
      <c r="BA18" s="323"/>
      <c r="BB18" s="323"/>
      <c r="BH18" s="321" t="s">
        <v>88</v>
      </c>
      <c r="BR18" s="321">
        <f>IF(BR16&lt;=BR17,1,2)</f>
        <v>1</v>
      </c>
      <c r="BT18" s="321">
        <v>4</v>
      </c>
      <c r="BU18" s="323" t="s">
        <v>73</v>
      </c>
      <c r="BV18" s="417">
        <v>0.26</v>
      </c>
      <c r="BW18" s="417"/>
      <c r="BX18" s="323"/>
      <c r="CA18" s="323"/>
      <c r="CB18" s="323"/>
      <c r="CC18" s="323"/>
      <c r="CD18" s="439">
        <f>($CM$17*$CI$5)</f>
        <v>0.16</v>
      </c>
      <c r="CE18" s="421">
        <f>-($CG$5*$CI$5)</f>
        <v>-0.16666666666666669</v>
      </c>
      <c r="CF18" s="323"/>
      <c r="CG18" s="439">
        <f>(0.025*CI5)</f>
        <v>0.01666666666666667</v>
      </c>
      <c r="CH18" s="421">
        <f>(($CG$5+0.1)*$CI$5)</f>
        <v>0.23333333333333334</v>
      </c>
      <c r="CI18" s="323"/>
      <c r="CJ18" s="439">
        <v>0.26</v>
      </c>
      <c r="CK18" s="421">
        <v>0.3</v>
      </c>
      <c r="CL18" s="323"/>
      <c r="CM18" s="323"/>
      <c r="CN18" s="323"/>
      <c r="CO18" s="439">
        <f>-($CM$16*$CI$5)</f>
        <v>-0.3066666666666667</v>
      </c>
      <c r="CP18" s="455">
        <f>-($CH$9*$CI$5)</f>
        <v>-0.2666666666666667</v>
      </c>
      <c r="CV18" s="435">
        <f>$CP$31+0.025</f>
        <v>0.515</v>
      </c>
      <c r="CW18" s="421">
        <f>(($CG$5-0.025)*$CI$5)</f>
        <v>0.15000000000000002</v>
      </c>
      <c r="CY18" s="437">
        <f>$CR$22</f>
        <v>0.49</v>
      </c>
      <c r="CZ18" s="428">
        <f>$CE$22</f>
        <v>-0.16666666666666669</v>
      </c>
    </row>
    <row r="19" spans="1:101" ht="15.75" customHeight="1" thickBot="1">
      <c r="A19" s="26"/>
      <c r="B19" s="26" t="str">
        <f>IF(CR5=1,CR10,IF(CR5=2,CR7))</f>
        <v>Axial Load , P (kg.)</v>
      </c>
      <c r="D19" s="26"/>
      <c r="E19" s="26"/>
      <c r="F19" s="26"/>
      <c r="G19" s="26"/>
      <c r="H19" s="26"/>
      <c r="I19" s="26"/>
      <c r="J19" s="22"/>
      <c r="K19" s="28" t="s">
        <v>3</v>
      </c>
      <c r="L19" s="540">
        <v>75000</v>
      </c>
      <c r="M19" s="540"/>
      <c r="N19" s="540"/>
      <c r="O19" s="26"/>
      <c r="P19" s="26"/>
      <c r="Q19" s="239"/>
      <c r="R19" s="68"/>
      <c r="S19" s="26"/>
      <c r="T19" s="26"/>
      <c r="U19" s="26"/>
      <c r="V19" s="125"/>
      <c r="W19" s="241"/>
      <c r="X19" s="68"/>
      <c r="Y19" s="68"/>
      <c r="Z19" s="26"/>
      <c r="AA19" s="240"/>
      <c r="AB19" s="30"/>
      <c r="AC19" s="593" t="s">
        <v>82</v>
      </c>
      <c r="AD19" s="594"/>
      <c r="AE19" s="594"/>
      <c r="AF19" s="594"/>
      <c r="AG19" s="594"/>
      <c r="AH19" s="594"/>
      <c r="AI19" s="594"/>
      <c r="AJ19" s="594"/>
      <c r="AK19" s="595"/>
      <c r="AL19" s="54"/>
      <c r="AM19" s="54"/>
      <c r="AN19" s="54"/>
      <c r="AO19" s="54"/>
      <c r="AP19" s="26"/>
      <c r="AQ19" s="26"/>
      <c r="AR19" s="26"/>
      <c r="AS19" s="26"/>
      <c r="AT19" s="26"/>
      <c r="AU19" s="26"/>
      <c r="AV19" s="156"/>
      <c r="AW19" s="156"/>
      <c r="AX19" s="323"/>
      <c r="AY19" s="323"/>
      <c r="AZ19" s="323"/>
      <c r="BA19" s="323"/>
      <c r="BB19" s="323"/>
      <c r="BH19" s="321" t="s">
        <v>89</v>
      </c>
      <c r="BQ19" s="321" t="s">
        <v>169</v>
      </c>
      <c r="BR19" s="321">
        <f>BR17-(L29*100)</f>
        <v>45</v>
      </c>
      <c r="BT19" s="321">
        <v>5</v>
      </c>
      <c r="BU19" s="323" t="s">
        <v>74</v>
      </c>
      <c r="BV19" s="417">
        <v>0.3</v>
      </c>
      <c r="BW19" s="417"/>
      <c r="BX19" s="323"/>
      <c r="BY19" s="321" t="s">
        <v>126</v>
      </c>
      <c r="CA19" s="323"/>
      <c r="CB19" s="323"/>
      <c r="CC19" s="323"/>
      <c r="CD19" s="439">
        <f>($CM$17*$CI$5)</f>
        <v>0.16</v>
      </c>
      <c r="CE19" s="421">
        <f>-(($CG$5-0.05)*$CI$5)</f>
        <v>-0.13333333333333336</v>
      </c>
      <c r="CF19" s="323"/>
      <c r="CG19" s="457">
        <f>($CJ$5*$CI$5)</f>
        <v>0.2</v>
      </c>
      <c r="CH19" s="428">
        <f>(($CG$5+0.1)*$CI$5)</f>
        <v>0.23333333333333334</v>
      </c>
      <c r="CI19" s="323"/>
      <c r="CJ19" s="439">
        <v>0.3</v>
      </c>
      <c r="CK19" s="421">
        <v>0.3</v>
      </c>
      <c r="CL19" s="323"/>
      <c r="CM19" s="323">
        <f>CM14-CM15</f>
        <v>0.35</v>
      </c>
      <c r="CN19" s="323"/>
      <c r="CO19" s="446">
        <f>-($CM$16*$CI$5)</f>
        <v>-0.3066666666666667</v>
      </c>
      <c r="CP19" s="428">
        <f>-(($CG$5-0.05)*$CI$5)</f>
        <v>-0.13333333333333336</v>
      </c>
      <c r="CV19" s="437">
        <f>$CR$21-0.025</f>
        <v>0.565</v>
      </c>
      <c r="CW19" s="428">
        <f>(($CG$5+0.025)*$CI$5)</f>
        <v>0.18333333333333338</v>
      </c>
    </row>
    <row r="20" spans="1:101" ht="15.75" customHeight="1" thickBot="1">
      <c r="A20" s="26"/>
      <c r="B20" s="26" t="s">
        <v>143</v>
      </c>
      <c r="D20" s="26"/>
      <c r="E20" s="26"/>
      <c r="F20" s="26"/>
      <c r="G20" s="26"/>
      <c r="H20" s="26"/>
      <c r="I20" s="26"/>
      <c r="J20" s="22"/>
      <c r="K20" s="28" t="s">
        <v>3</v>
      </c>
      <c r="L20" s="542">
        <f>L19*0.1</f>
        <v>7500</v>
      </c>
      <c r="M20" s="542"/>
      <c r="N20" s="542"/>
      <c r="O20" s="26"/>
      <c r="P20" s="26"/>
      <c r="Q20" s="239"/>
      <c r="R20" s="68"/>
      <c r="S20" s="26"/>
      <c r="T20" s="26"/>
      <c r="U20" s="26"/>
      <c r="V20" s="125"/>
      <c r="W20" s="241"/>
      <c r="X20" s="68"/>
      <c r="Y20" s="68"/>
      <c r="Z20" s="26"/>
      <c r="AA20" s="240"/>
      <c r="AB20" s="30"/>
      <c r="AC20" s="62"/>
      <c r="AD20" s="62"/>
      <c r="AE20" s="62"/>
      <c r="AF20" s="62"/>
      <c r="AG20" s="62"/>
      <c r="AH20" s="62"/>
      <c r="AI20" s="62"/>
      <c r="AJ20" s="62"/>
      <c r="AK20" s="62"/>
      <c r="AL20" s="54"/>
      <c r="AM20" s="54"/>
      <c r="AN20" s="54"/>
      <c r="AO20" s="54"/>
      <c r="AP20" s="26"/>
      <c r="AQ20" s="26"/>
      <c r="AR20" s="26"/>
      <c r="AS20" s="26"/>
      <c r="AT20" s="26"/>
      <c r="AU20" s="26"/>
      <c r="AV20" s="156"/>
      <c r="AW20" s="156"/>
      <c r="AX20" s="323"/>
      <c r="AY20" s="323"/>
      <c r="AZ20" s="323"/>
      <c r="BA20" s="323"/>
      <c r="BB20" s="323"/>
      <c r="BH20" s="321" t="s">
        <v>85</v>
      </c>
      <c r="BQ20" s="432" t="s">
        <v>170</v>
      </c>
      <c r="BT20" s="321">
        <v>6</v>
      </c>
      <c r="BU20" s="323" t="s">
        <v>75</v>
      </c>
      <c r="BV20" s="417">
        <v>0.35</v>
      </c>
      <c r="BW20" s="417"/>
      <c r="BX20" s="323"/>
      <c r="BY20" s="435" t="s">
        <v>109</v>
      </c>
      <c r="BZ20" s="416" t="s">
        <v>110</v>
      </c>
      <c r="CA20" s="323"/>
      <c r="CB20" s="323"/>
      <c r="CC20" s="323"/>
      <c r="CD20" s="439">
        <f>($CM$16*$CI$5)</f>
        <v>0.3066666666666667</v>
      </c>
      <c r="CE20" s="421">
        <f>-(($CG$5-0.05)*$CI$5)</f>
        <v>-0.13333333333333336</v>
      </c>
      <c r="CF20" s="323"/>
      <c r="CG20" s="244"/>
      <c r="CH20" s="244"/>
      <c r="CI20" s="323"/>
      <c r="CJ20" s="439">
        <v>0.35</v>
      </c>
      <c r="CK20" s="421">
        <v>0.35</v>
      </c>
      <c r="CL20" s="323"/>
      <c r="CM20" s="323"/>
      <c r="CN20" s="323"/>
      <c r="CO20" s="458"/>
      <c r="CP20" s="417"/>
      <c r="CV20" s="431"/>
      <c r="CW20" s="456"/>
    </row>
    <row r="21" spans="1:101" ht="15.75" customHeight="1">
      <c r="A21" s="26"/>
      <c r="B21" s="26" t="str">
        <f>IF(CR5=1,CR11,IF(CR5=2,CR8))</f>
        <v>Total Service Load , Pt(kg.)</v>
      </c>
      <c r="D21" s="26"/>
      <c r="E21" s="26"/>
      <c r="F21" s="26"/>
      <c r="G21" s="26"/>
      <c r="H21" s="26"/>
      <c r="I21" s="26"/>
      <c r="J21" s="22"/>
      <c r="K21" s="28" t="s">
        <v>3</v>
      </c>
      <c r="L21" s="542">
        <f>SUM(L19:N20)</f>
        <v>82500</v>
      </c>
      <c r="M21" s="542"/>
      <c r="N21" s="542"/>
      <c r="O21" s="26"/>
      <c r="P21" s="26"/>
      <c r="Q21" s="239"/>
      <c r="R21" s="68"/>
      <c r="S21" s="26"/>
      <c r="T21" s="26"/>
      <c r="U21" s="26"/>
      <c r="V21" s="125"/>
      <c r="W21" s="241"/>
      <c r="X21" s="68"/>
      <c r="Y21" s="68"/>
      <c r="Z21" s="26"/>
      <c r="AA21" s="240"/>
      <c r="AB21" s="30"/>
      <c r="AC21" s="62"/>
      <c r="AD21" s="62"/>
      <c r="AE21" s="62"/>
      <c r="AF21" s="62"/>
      <c r="AG21" s="62"/>
      <c r="AH21" s="62"/>
      <c r="AI21" s="62"/>
      <c r="AJ21" s="62"/>
      <c r="AK21" s="62"/>
      <c r="AL21" s="54"/>
      <c r="AM21" s="54"/>
      <c r="AN21" s="54"/>
      <c r="AO21" s="54"/>
      <c r="AP21" s="26"/>
      <c r="AQ21" s="26"/>
      <c r="AR21" s="26"/>
      <c r="AS21" s="26"/>
      <c r="AT21" s="26"/>
      <c r="AU21" s="26"/>
      <c r="AV21" s="156"/>
      <c r="AW21" s="156"/>
      <c r="AX21" s="323"/>
      <c r="AY21" s="323"/>
      <c r="AZ21" s="323"/>
      <c r="BA21" s="323"/>
      <c r="BB21" s="323"/>
      <c r="BM21" s="431" t="str">
        <f>VLOOKUP($BL$37,$BK$39:$BN$45,2,TRUE)</f>
        <v>DB16</v>
      </c>
      <c r="BO21" s="321" t="str">
        <f>CH22&amp;"-"&amp;BM21</f>
        <v>9-DB16</v>
      </c>
      <c r="BQ21" s="321" t="s">
        <v>171</v>
      </c>
      <c r="BR21" s="321">
        <f>(($BR$19/100)+$CD$5)</f>
        <v>0.7</v>
      </c>
      <c r="BS21" s="321">
        <f>(($BR$19/100)+$CE$5)</f>
        <v>0.55</v>
      </c>
      <c r="BT21" s="321">
        <v>7</v>
      </c>
      <c r="BU21" s="323" t="s">
        <v>76</v>
      </c>
      <c r="BV21" s="417">
        <v>0.4</v>
      </c>
      <c r="BW21" s="417"/>
      <c r="BX21" s="323"/>
      <c r="BY21" s="440">
        <f>-(($BZ$17-L29)*$CI$5)</f>
        <v>-0.3333333333333333</v>
      </c>
      <c r="BZ21" s="421">
        <f>(($CG$5-L29)*$CI$5)</f>
        <v>0.13333333333333336</v>
      </c>
      <c r="CA21" s="323"/>
      <c r="CB21" s="323"/>
      <c r="CC21" s="323"/>
      <c r="CD21" s="439">
        <f>($CM$16*$CI$5)</f>
        <v>0.3066666666666667</v>
      </c>
      <c r="CE21" s="421">
        <f>-($CG$5*$CI$5)</f>
        <v>-0.16666666666666669</v>
      </c>
      <c r="CF21" s="323"/>
      <c r="CG21" s="459">
        <v>4</v>
      </c>
      <c r="CH21" s="417">
        <f>CG21+1</f>
        <v>5</v>
      </c>
      <c r="CI21" s="323"/>
      <c r="CJ21" s="439">
        <v>0.4</v>
      </c>
      <c r="CK21" s="421">
        <v>0.4</v>
      </c>
      <c r="CL21" s="323"/>
      <c r="CM21" s="323">
        <f>CM14-CM15+CM24</f>
        <v>0.40499999999999997</v>
      </c>
      <c r="CN21" s="323"/>
      <c r="CO21" s="449" t="s">
        <v>109</v>
      </c>
      <c r="CP21" s="416" t="s">
        <v>110</v>
      </c>
      <c r="CR21" s="321">
        <v>0.59</v>
      </c>
      <c r="CV21" s="435">
        <f>$CP$31+0.025</f>
        <v>0.515</v>
      </c>
      <c r="CW21" s="421">
        <f>-(($CG$5+0.025)*$CI$5)</f>
        <v>-0.18333333333333338</v>
      </c>
    </row>
    <row r="22" spans="1:101" ht="15.75" customHeight="1" thickBot="1">
      <c r="A22" s="27"/>
      <c r="B22" s="27" t="str">
        <f>IF(AND(BW4&gt;=1,BW4&lt;=4),BJ31,IF(BW4&gt;4,BJ32))</f>
        <v>Use Driven Pile</v>
      </c>
      <c r="C22" s="26"/>
      <c r="D22" s="26"/>
      <c r="E22" s="26"/>
      <c r="F22" s="26" t="str">
        <f>"4 "&amp;BH28&amp;"X"&amp;BH29&amp;" m."</f>
        <v>4 I-0.22X0.22X21 m.</v>
      </c>
      <c r="G22" s="26"/>
      <c r="H22" s="26"/>
      <c r="I22" s="26"/>
      <c r="J22" s="27"/>
      <c r="K22" s="28"/>
      <c r="L22" s="514"/>
      <c r="M22" s="514"/>
      <c r="N22" s="514"/>
      <c r="O22" s="26"/>
      <c r="Q22" s="239"/>
      <c r="R22" s="68"/>
      <c r="S22" s="26"/>
      <c r="T22" s="26"/>
      <c r="U22" s="26"/>
      <c r="V22" s="26"/>
      <c r="W22" s="26"/>
      <c r="X22" s="68"/>
      <c r="Y22" s="68"/>
      <c r="Z22" s="26"/>
      <c r="AA22" s="238"/>
      <c r="AC22" s="41"/>
      <c r="AD22" s="41"/>
      <c r="AE22" s="41"/>
      <c r="AF22" s="41"/>
      <c r="AG22" s="41"/>
      <c r="AH22" s="54"/>
      <c r="AI22" s="54"/>
      <c r="AJ22" s="54"/>
      <c r="AK22" s="54"/>
      <c r="AL22" s="54"/>
      <c r="AM22" s="54"/>
      <c r="AN22" s="54"/>
      <c r="AO22" s="54"/>
      <c r="AP22" s="26"/>
      <c r="AQ22" s="26"/>
      <c r="AR22" s="26"/>
      <c r="AS22" s="26"/>
      <c r="AT22" s="26"/>
      <c r="AU22" s="26"/>
      <c r="AV22" s="156"/>
      <c r="AW22" s="156"/>
      <c r="AX22" s="323"/>
      <c r="AY22" s="323"/>
      <c r="AZ22" s="323"/>
      <c r="BA22" s="323"/>
      <c r="BB22" s="323"/>
      <c r="BG22" s="321">
        <v>1</v>
      </c>
      <c r="BH22" s="321" t="str">
        <f>VLOOKUP(BU$4,BT8:BW13,2,TRUE)</f>
        <v>I-0.22X0.22</v>
      </c>
      <c r="BM22" s="431">
        <f>VLOOKUP($BL$37,$BK$39:$BN$45,3,TRUE)</f>
        <v>1.6</v>
      </c>
      <c r="BQ22" s="321" t="s">
        <v>172</v>
      </c>
      <c r="BR22" s="321">
        <f>CM19</f>
        <v>0.35</v>
      </c>
      <c r="BU22" s="323"/>
      <c r="BV22" s="417"/>
      <c r="BW22" s="417"/>
      <c r="BX22" s="323"/>
      <c r="BY22" s="440">
        <f>-(($BZ$17)*$CI$5)</f>
        <v>-0.36666666666666664</v>
      </c>
      <c r="BZ22" s="421">
        <f>(($CG$5-L29)*$CI$5)</f>
        <v>0.13333333333333336</v>
      </c>
      <c r="CA22" s="323"/>
      <c r="CB22" s="323"/>
      <c r="CC22" s="323"/>
      <c r="CD22" s="439">
        <f>($BY$5*$CI$5)</f>
        <v>0.4</v>
      </c>
      <c r="CE22" s="421">
        <f>-($CG$5*$CI$5)</f>
        <v>-0.16666666666666669</v>
      </c>
      <c r="CF22" s="323"/>
      <c r="CG22" s="459">
        <v>8</v>
      </c>
      <c r="CH22" s="417">
        <f>CG22+1</f>
        <v>9</v>
      </c>
      <c r="CI22" s="323"/>
      <c r="CJ22" s="439">
        <v>0.5</v>
      </c>
      <c r="CK22" s="421">
        <v>0.5</v>
      </c>
      <c r="CL22" s="323"/>
      <c r="CM22" s="323">
        <f>CM14-CM15-CM24</f>
        <v>0.295</v>
      </c>
      <c r="CN22" s="323"/>
      <c r="CO22" s="439">
        <f>($CM$16*$CI$5)</f>
        <v>0.3066666666666667</v>
      </c>
      <c r="CP22" s="421">
        <f>-(($CG$5-0.05)*$CI$5)</f>
        <v>-0.13333333333333336</v>
      </c>
      <c r="CR22" s="321">
        <f>CR21-0.1</f>
        <v>0.49</v>
      </c>
      <c r="CV22" s="437">
        <f>$CR$21-0.025</f>
        <v>0.565</v>
      </c>
      <c r="CW22" s="428">
        <f>-(($CG$5-0.025)*$CI$5)</f>
        <v>-0.15000000000000002</v>
      </c>
    </row>
    <row r="23" spans="1:96" ht="15.75" customHeight="1" thickBot="1">
      <c r="A23" s="27"/>
      <c r="B23" s="27" t="str">
        <f>IF(CR5=1,CR12,IF(CR5=2,CR9))</f>
        <v>Pile Safe Load , (kg./Pile)</v>
      </c>
      <c r="F23" s="42"/>
      <c r="G23" s="42"/>
      <c r="H23" s="42"/>
      <c r="J23" s="42"/>
      <c r="K23" s="28" t="s">
        <v>3</v>
      </c>
      <c r="L23" s="584">
        <v>22000</v>
      </c>
      <c r="M23" s="584"/>
      <c r="N23" s="584"/>
      <c r="O23" s="27"/>
      <c r="Q23" s="239"/>
      <c r="R23" s="26"/>
      <c r="S23" s="75"/>
      <c r="T23" s="75"/>
      <c r="U23" s="75"/>
      <c r="V23" s="75"/>
      <c r="W23" s="75"/>
      <c r="X23" s="26"/>
      <c r="Y23" s="26"/>
      <c r="Z23" s="26"/>
      <c r="AA23" s="238"/>
      <c r="AC23" s="630" t="s">
        <v>99</v>
      </c>
      <c r="AD23" s="631"/>
      <c r="AE23" s="631"/>
      <c r="AF23" s="631"/>
      <c r="AG23" s="631"/>
      <c r="AH23" s="96"/>
      <c r="AI23" s="97"/>
      <c r="AJ23" s="97"/>
      <c r="AK23" s="97"/>
      <c r="AL23" s="41"/>
      <c r="AM23" s="41"/>
      <c r="AN23" s="41"/>
      <c r="AO23" s="41"/>
      <c r="AZ23" s="323"/>
      <c r="BA23" s="323"/>
      <c r="BB23" s="323"/>
      <c r="BG23" s="321">
        <v>2</v>
      </c>
      <c r="BH23" s="321" t="str">
        <f>VLOOKUP(BU$4,BT15:BW21,2,TRUE)</f>
        <v>S-0.18X0.18</v>
      </c>
      <c r="BM23" s="460">
        <f>VLOOKUP($BL$37,$BK$39:$BN$45,4,TRUE)</f>
        <v>2.0106192982974678</v>
      </c>
      <c r="BO23" s="461">
        <f>CH22*BM23</f>
        <v>18.09557368467721</v>
      </c>
      <c r="BP23" s="321">
        <f>BR23*100</f>
        <v>35</v>
      </c>
      <c r="BQ23" s="321" t="s">
        <v>173</v>
      </c>
      <c r="BR23" s="321">
        <f>BR21-BR22</f>
        <v>0.35</v>
      </c>
      <c r="BS23" s="321">
        <f>BS21-BR22</f>
        <v>0.20000000000000007</v>
      </c>
      <c r="BT23" s="321">
        <v>1</v>
      </c>
      <c r="BU23" s="323" t="s">
        <v>79</v>
      </c>
      <c r="BV23" s="417">
        <v>0.4</v>
      </c>
      <c r="BW23" s="417"/>
      <c r="BX23" s="323"/>
      <c r="BY23" s="440">
        <f>-(($BZ$17)*$CI$5)</f>
        <v>-0.36666666666666664</v>
      </c>
      <c r="BZ23" s="421">
        <f>-(($CG$5-0.075)*$CI$5)</f>
        <v>-0.11666666666666667</v>
      </c>
      <c r="CA23" s="323"/>
      <c r="CB23" s="323"/>
      <c r="CC23" s="323"/>
      <c r="CD23" s="439">
        <f>($BY$5*$CI$5)</f>
        <v>0.4</v>
      </c>
      <c r="CE23" s="421">
        <f>($CG$5*$CI$5)</f>
        <v>0.16666666666666669</v>
      </c>
      <c r="CF23" s="323"/>
      <c r="CG23" s="433" t="s">
        <v>129</v>
      </c>
      <c r="CH23" s="417"/>
      <c r="CI23" s="323"/>
      <c r="CJ23" s="451">
        <v>0.525</v>
      </c>
      <c r="CK23" s="462">
        <v>0.525</v>
      </c>
      <c r="CL23" s="323"/>
      <c r="CM23" s="323"/>
      <c r="CN23" s="323"/>
      <c r="CO23" s="439">
        <f>($CM$17*$CI$5)</f>
        <v>0.16</v>
      </c>
      <c r="CP23" s="421">
        <f>-(($CG$5-0.05)*$CI$5)</f>
        <v>-0.13333333333333336</v>
      </c>
      <c r="CR23" s="321">
        <f>(0.1/2)+CR22</f>
        <v>0.54</v>
      </c>
    </row>
    <row r="24" spans="1:94" ht="15.75" customHeight="1" thickBot="1">
      <c r="A24" s="27"/>
      <c r="B24" s="38" t="str">
        <f>IF(BV4=1,BN34,IF(BV4=2,BN37))</f>
        <v>Width of Column , Wc (m.)</v>
      </c>
      <c r="K24" s="28" t="s">
        <v>3</v>
      </c>
      <c r="L24" s="588">
        <v>0.5</v>
      </c>
      <c r="M24" s="588"/>
      <c r="N24" s="588"/>
      <c r="O24" s="27"/>
      <c r="Q24" s="239"/>
      <c r="R24" s="26"/>
      <c r="S24" s="27"/>
      <c r="T24" s="27"/>
      <c r="U24" s="27"/>
      <c r="V24" s="27"/>
      <c r="W24" s="27"/>
      <c r="X24" s="26"/>
      <c r="Y24" s="26"/>
      <c r="Z24" s="26"/>
      <c r="AA24" s="238"/>
      <c r="AC24" s="590">
        <v>21</v>
      </c>
      <c r="AD24" s="591"/>
      <c r="AE24" s="591"/>
      <c r="AF24" s="591"/>
      <c r="AG24" s="592"/>
      <c r="AH24" s="54" t="s">
        <v>39</v>
      </c>
      <c r="AI24" s="54"/>
      <c r="AJ24" s="54"/>
      <c r="AK24" s="54"/>
      <c r="AL24" s="54"/>
      <c r="AM24" s="54"/>
      <c r="AN24" s="54"/>
      <c r="AO24" s="54"/>
      <c r="AP24" s="26"/>
      <c r="AQ24" s="26"/>
      <c r="AR24" s="26"/>
      <c r="AS24" s="26"/>
      <c r="AT24" s="26"/>
      <c r="AU24" s="26"/>
      <c r="AV24" s="156"/>
      <c r="AW24" s="156"/>
      <c r="AX24" s="323"/>
      <c r="AY24" s="323"/>
      <c r="AZ24" s="323"/>
      <c r="BA24" s="323"/>
      <c r="BB24" s="323"/>
      <c r="BG24" s="321">
        <v>3</v>
      </c>
      <c r="BH24" s="321" t="str">
        <f>VLOOKUP(BU$4,BT23:BW24,2,TRUE)</f>
        <v>SO-0.525X0.525</v>
      </c>
      <c r="BM24" s="460">
        <f>VLOOKUP(BL37,BK39:BO45,5,TRUE)</f>
        <v>5.026548245743669</v>
      </c>
      <c r="BO24" s="463">
        <f>BM24*CH22</f>
        <v>45.23893421169302</v>
      </c>
      <c r="BP24" s="321">
        <f>BS23*100</f>
        <v>20.000000000000007</v>
      </c>
      <c r="BQ24" s="321" t="s">
        <v>176</v>
      </c>
      <c r="BR24" s="321">
        <f>IF(BR23&gt;0,1,IF(BR23=0,2,IF(BR23&lt;0,3)))</f>
        <v>1</v>
      </c>
      <c r="BS24" s="321">
        <f>IF(BS23&gt;0,1,IF(BS23=0,2,IF(BS23&lt;0,3)))</f>
        <v>1</v>
      </c>
      <c r="BT24" s="321">
        <v>2</v>
      </c>
      <c r="BU24" s="323" t="s">
        <v>80</v>
      </c>
      <c r="BV24" s="417">
        <v>0.525</v>
      </c>
      <c r="BW24" s="417"/>
      <c r="BX24" s="323"/>
      <c r="BY24" s="440">
        <f>(($BZ$17)*$CI$5)</f>
        <v>0.36666666666666664</v>
      </c>
      <c r="BZ24" s="421">
        <f>-(($CG$5-0.075)*$CI$5)</f>
        <v>-0.11666666666666667</v>
      </c>
      <c r="CA24" s="323"/>
      <c r="CB24" s="323"/>
      <c r="CC24" s="323"/>
      <c r="CD24" s="439">
        <f>($CD$5*$CI$5)</f>
        <v>0.16666666666666669</v>
      </c>
      <c r="CE24" s="421">
        <f>($CG$5*$CI$5)</f>
        <v>0.16666666666666669</v>
      </c>
      <c r="CF24" s="323"/>
      <c r="CG24" s="417">
        <v>2</v>
      </c>
      <c r="CH24" s="464"/>
      <c r="CI24" s="323"/>
      <c r="CJ24" s="439">
        <v>0.6</v>
      </c>
      <c r="CK24" s="421">
        <v>0.6</v>
      </c>
      <c r="CL24" s="323"/>
      <c r="CM24" s="323">
        <f>CM13/2</f>
        <v>0.055</v>
      </c>
      <c r="CN24" s="323"/>
      <c r="CO24" s="439">
        <f>($CM$17*$CI$5)</f>
        <v>0.16</v>
      </c>
      <c r="CP24" s="455">
        <f>-($CH$9*$CI$5)</f>
        <v>-0.2666666666666667</v>
      </c>
    </row>
    <row r="25" spans="1:94" ht="15.75" customHeight="1" thickBot="1">
      <c r="A25" s="27"/>
      <c r="B25" s="38" t="str">
        <f>IF(BV4=1,BN35,IF(BV4=2,""))</f>
        <v>Long of Column , Lc (m.)</v>
      </c>
      <c r="K25" s="28" t="s">
        <v>3</v>
      </c>
      <c r="L25" s="588">
        <v>0.2</v>
      </c>
      <c r="M25" s="588"/>
      <c r="N25" s="588"/>
      <c r="O25" s="27"/>
      <c r="Q25" s="239"/>
      <c r="R25" s="26"/>
      <c r="S25" s="26"/>
      <c r="T25" s="26"/>
      <c r="U25" s="26"/>
      <c r="V25" s="26"/>
      <c r="W25" s="26"/>
      <c r="X25" s="26"/>
      <c r="Y25" s="26"/>
      <c r="Z25" s="26"/>
      <c r="AA25" s="238"/>
      <c r="AC25" s="593" t="s">
        <v>118</v>
      </c>
      <c r="AD25" s="594"/>
      <c r="AE25" s="594"/>
      <c r="AF25" s="594"/>
      <c r="AG25" s="594"/>
      <c r="AH25" s="594"/>
      <c r="AI25" s="594"/>
      <c r="AJ25" s="594"/>
      <c r="AK25" s="595"/>
      <c r="AL25" s="54"/>
      <c r="AM25" s="54"/>
      <c r="AN25" s="54"/>
      <c r="AO25" s="54"/>
      <c r="AP25" s="26"/>
      <c r="AQ25" s="26"/>
      <c r="AR25" s="26"/>
      <c r="AS25" s="26"/>
      <c r="AT25" s="26"/>
      <c r="AU25" s="26"/>
      <c r="AV25" s="156"/>
      <c r="AW25" s="156"/>
      <c r="AX25" s="323"/>
      <c r="AY25" s="323"/>
      <c r="AZ25" s="323"/>
      <c r="BA25" s="323"/>
      <c r="BB25" s="323"/>
      <c r="BG25" s="321">
        <v>4</v>
      </c>
      <c r="BH25" s="321" t="str">
        <f>VLOOKUP(BU$4,BT26:BW26,2,TRUE)</f>
        <v>Hp-0.15X0.15</v>
      </c>
      <c r="BQ25" s="321" t="s">
        <v>178</v>
      </c>
      <c r="BR25" s="321">
        <f>IF(BR24=1,-BR23,IF(BR24=2,0,IF(BR24=3,ABS(BR23))))</f>
        <v>-0.35</v>
      </c>
      <c r="BS25" s="321">
        <f>IF(BS24=1,-BS23,IF(BS24=2,0,IF(BS24=3,ABS(BS23))))</f>
        <v>-0.20000000000000007</v>
      </c>
      <c r="BV25" s="417"/>
      <c r="BW25" s="417"/>
      <c r="BX25" s="323"/>
      <c r="BY25" s="440">
        <f>(($BZ$17)*$CI$5)</f>
        <v>0.36666666666666664</v>
      </c>
      <c r="BZ25" s="421">
        <f>(($CG$5-L29)*$CI$5)</f>
        <v>0.13333333333333336</v>
      </c>
      <c r="CA25" s="323"/>
      <c r="CB25" s="323"/>
      <c r="CC25" s="323"/>
      <c r="CD25" s="446">
        <f>($CD$5*$CI$5)</f>
        <v>0.16666666666666669</v>
      </c>
      <c r="CE25" s="428">
        <f>(($CG$5+0.1)*$CI$5)</f>
        <v>0.23333333333333334</v>
      </c>
      <c r="CF25" s="323"/>
      <c r="CG25" s="417">
        <v>3</v>
      </c>
      <c r="CH25" s="417"/>
      <c r="CI25" s="323"/>
      <c r="CJ25" s="446">
        <v>0.8</v>
      </c>
      <c r="CK25" s="428">
        <v>0.8</v>
      </c>
      <c r="CL25" s="323"/>
      <c r="CM25" s="323"/>
      <c r="CN25" s="323"/>
      <c r="CO25" s="439">
        <f>($CM$16*$CI$5)</f>
        <v>0.3066666666666667</v>
      </c>
      <c r="CP25" s="455">
        <f>-($CH$9*$CI$5)</f>
        <v>-0.2666666666666667</v>
      </c>
    </row>
    <row r="26" spans="1:94" ht="15.75" customHeight="1" thickBot="1">
      <c r="A26" s="27"/>
      <c r="B26" s="26" t="s">
        <v>225</v>
      </c>
      <c r="C26" s="30"/>
      <c r="D26" s="30"/>
      <c r="E26" s="30"/>
      <c r="F26" s="30"/>
      <c r="G26" s="30"/>
      <c r="H26" s="30"/>
      <c r="I26" s="30"/>
      <c r="J26" s="30"/>
      <c r="K26" s="28" t="s">
        <v>3</v>
      </c>
      <c r="L26" s="588">
        <v>0.7</v>
      </c>
      <c r="M26" s="588"/>
      <c r="N26" s="588"/>
      <c r="O26" s="27"/>
      <c r="Q26" s="239"/>
      <c r="R26" s="26"/>
      <c r="S26" s="26"/>
      <c r="T26" s="26"/>
      <c r="U26" s="27"/>
      <c r="V26" s="242"/>
      <c r="W26" s="242"/>
      <c r="X26" s="242"/>
      <c r="Y26" s="242"/>
      <c r="Z26" s="26"/>
      <c r="AA26" s="238"/>
      <c r="AC26" s="62"/>
      <c r="AD26" s="62"/>
      <c r="AE26" s="62"/>
      <c r="AF26" s="62"/>
      <c r="AG26" s="62"/>
      <c r="AH26" s="62"/>
      <c r="AI26" s="62"/>
      <c r="AJ26" s="62"/>
      <c r="AK26" s="62"/>
      <c r="AL26" s="54"/>
      <c r="AM26" s="54"/>
      <c r="AN26" s="54"/>
      <c r="AO26" s="54"/>
      <c r="AP26" s="26"/>
      <c r="AQ26" s="26"/>
      <c r="AR26" s="26"/>
      <c r="AS26" s="26"/>
      <c r="AT26" s="26"/>
      <c r="AU26" s="26"/>
      <c r="AV26" s="156"/>
      <c r="AW26" s="156"/>
      <c r="AX26" s="323"/>
      <c r="AY26" s="323"/>
      <c r="AZ26" s="323"/>
      <c r="BA26" s="323"/>
      <c r="BB26" s="323"/>
      <c r="BG26" s="321">
        <v>5</v>
      </c>
      <c r="BH26" s="321" t="str">
        <f>VLOOKUP(BU$4,BT28:BW31,2,TRUE)</f>
        <v>DIA.-0.50</v>
      </c>
      <c r="BM26" s="460" t="str">
        <f>VLOOKUP(BK37,BK39:BO45,2,TRUE)</f>
        <v>DB16</v>
      </c>
      <c r="BO26" s="321" t="str">
        <f>CH21&amp;"-"&amp;BM26</f>
        <v>5-DB16</v>
      </c>
      <c r="BQ26" s="321" t="s">
        <v>179</v>
      </c>
      <c r="BR26" s="321">
        <f>($BR$14/30)*((BR25*100)+15)</f>
        <v>-13750</v>
      </c>
      <c r="BS26" s="321">
        <f>($BR$14/30)*((BS25*100)+15)</f>
        <v>-3437.500000000005</v>
      </c>
      <c r="BT26" s="321">
        <v>1</v>
      </c>
      <c r="BU26" s="323" t="s">
        <v>81</v>
      </c>
      <c r="BV26" s="417">
        <v>0.15</v>
      </c>
      <c r="BW26" s="417"/>
      <c r="BX26" s="323"/>
      <c r="BY26" s="437">
        <f>(($BZ$17-L29)*$CI$5)</f>
        <v>0.3333333333333333</v>
      </c>
      <c r="BZ26" s="428">
        <f>(($CG$5-L29)*$CI$5)</f>
        <v>0.13333333333333336</v>
      </c>
      <c r="CA26" s="323"/>
      <c r="CB26" s="323"/>
      <c r="CC26" s="323"/>
      <c r="CF26" s="323"/>
      <c r="CG26" s="417">
        <v>4</v>
      </c>
      <c r="CH26" s="417"/>
      <c r="CI26" s="323"/>
      <c r="CJ26" s="244"/>
      <c r="CK26" s="323"/>
      <c r="CL26" s="323"/>
      <c r="CM26" s="323"/>
      <c r="CN26" s="323"/>
      <c r="CO26" s="446">
        <f>($CM$16*$CI$5)</f>
        <v>0.3066666666666667</v>
      </c>
      <c r="CP26" s="428">
        <f>-(($CG$5-0.05)*$CI$5)</f>
        <v>-0.13333333333333336</v>
      </c>
    </row>
    <row r="27" spans="1:94" ht="15.75" customHeight="1">
      <c r="A27" s="27"/>
      <c r="B27" s="30" t="s">
        <v>226</v>
      </c>
      <c r="C27" s="30"/>
      <c r="D27" s="30"/>
      <c r="E27" s="30"/>
      <c r="F27" s="30"/>
      <c r="G27" s="30"/>
      <c r="H27" s="30"/>
      <c r="I27" s="30"/>
      <c r="J27" s="30"/>
      <c r="K27" s="28" t="s">
        <v>3</v>
      </c>
      <c r="L27" s="546">
        <f>CL12</f>
        <v>0.25</v>
      </c>
      <c r="M27" s="546"/>
      <c r="N27" s="546"/>
      <c r="O27" s="27"/>
      <c r="Q27" s="237"/>
      <c r="R27" s="27"/>
      <c r="S27" s="27"/>
      <c r="T27" s="27"/>
      <c r="U27" s="27"/>
      <c r="V27" s="242"/>
      <c r="W27" s="242"/>
      <c r="X27" s="242"/>
      <c r="Y27" s="242"/>
      <c r="Z27" s="26"/>
      <c r="AA27" s="238"/>
      <c r="AC27" s="62"/>
      <c r="AD27" s="62"/>
      <c r="AE27" s="62"/>
      <c r="AF27" s="62"/>
      <c r="AG27" s="62"/>
      <c r="AH27" s="62"/>
      <c r="AI27" s="62"/>
      <c r="AJ27" s="62"/>
      <c r="AK27" s="62"/>
      <c r="AL27" s="54"/>
      <c r="AM27" s="54"/>
      <c r="AN27" s="54"/>
      <c r="AO27" s="54"/>
      <c r="AP27" s="26"/>
      <c r="AQ27" s="26"/>
      <c r="AR27" s="26"/>
      <c r="AS27" s="26"/>
      <c r="AT27" s="26"/>
      <c r="AU27" s="26"/>
      <c r="AV27" s="156"/>
      <c r="AW27" s="156"/>
      <c r="AX27" s="323"/>
      <c r="AY27" s="323"/>
      <c r="AZ27" s="323"/>
      <c r="BA27" s="323"/>
      <c r="BB27" s="323"/>
      <c r="BM27" s="460">
        <f>VLOOKUP(BK37,BK39:BO45,3,TRUE)</f>
        <v>1.6</v>
      </c>
      <c r="BQ27" s="321" t="s">
        <v>177</v>
      </c>
      <c r="BR27" s="321">
        <f>IF(AND(BR24=1,$BP23&gt;=15),0,IF(AND(BR24=1,$BP23&lt;15),BR26,IF(BR24=2,($BR$14/2),IF(AND(BR24=3,$BP23&lt;15),BR26,IF(AND(BR24=3,$BP23&gt;15),$BR$14)))))</f>
        <v>0</v>
      </c>
      <c r="BS27" s="321">
        <f>IF(AND(BS24=1,$BP24&gt;=15),0,IF(AND(BS24=1,$BP24&lt;15),BS26,IF(BS24=2,($BR$14/2),IF(AND(BS24=3,$BP24&lt;15),BS26,IF(AND(BS24=3,$BP24&gt;15),$BR$14)))))</f>
        <v>0</v>
      </c>
      <c r="BU27" s="323"/>
      <c r="BV27" s="417"/>
      <c r="BW27" s="417"/>
      <c r="BX27" s="323"/>
      <c r="BY27" s="244"/>
      <c r="BZ27" s="244"/>
      <c r="CA27" s="323"/>
      <c r="CB27" s="323"/>
      <c r="CC27" s="323"/>
      <c r="CD27" s="444" t="s">
        <v>109</v>
      </c>
      <c r="CE27" s="436" t="s">
        <v>110</v>
      </c>
      <c r="CF27" s="323"/>
      <c r="CG27" s="417">
        <v>5</v>
      </c>
      <c r="CH27" s="417"/>
      <c r="CI27" s="323"/>
      <c r="CJ27" s="244"/>
      <c r="CK27" s="323"/>
      <c r="CL27" s="323"/>
      <c r="CM27" s="323"/>
      <c r="CN27" s="323"/>
      <c r="CO27" s="323"/>
      <c r="CP27" s="323"/>
    </row>
    <row r="28" spans="1:102" ht="15.75" customHeight="1" thickBot="1">
      <c r="A28" s="27"/>
      <c r="B28" s="38" t="s">
        <v>106</v>
      </c>
      <c r="H28" s="30"/>
      <c r="I28" s="30"/>
      <c r="J28" s="30"/>
      <c r="K28" s="28" t="s">
        <v>3</v>
      </c>
      <c r="L28" s="588">
        <v>0.5</v>
      </c>
      <c r="M28" s="588"/>
      <c r="N28" s="588"/>
      <c r="O28" s="27"/>
      <c r="Q28" s="243"/>
      <c r="R28" s="26"/>
      <c r="S28" s="28"/>
      <c r="T28" s="28"/>
      <c r="U28" s="27"/>
      <c r="V28" s="91"/>
      <c r="W28" s="91"/>
      <c r="X28" s="91"/>
      <c r="Y28" s="91"/>
      <c r="Z28" s="26"/>
      <c r="AA28" s="238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26"/>
      <c r="AQ28" s="26"/>
      <c r="AR28" s="26"/>
      <c r="AS28" s="26"/>
      <c r="AT28" s="26"/>
      <c r="AU28" s="26"/>
      <c r="AV28" s="156"/>
      <c r="AW28" s="156"/>
      <c r="AX28" s="323"/>
      <c r="AY28" s="323"/>
      <c r="AZ28" s="323"/>
      <c r="BA28" s="323"/>
      <c r="BB28" s="323"/>
      <c r="BH28" s="321" t="str">
        <f>VLOOKUP($BW$4,BG22:BH26,2,TRUE)</f>
        <v>I-0.22X0.22</v>
      </c>
      <c r="BK28" s="321">
        <f>VLOOKUP(BU4,BK8:BL14,2,TRUE)</f>
        <v>0.22</v>
      </c>
      <c r="BM28" s="460">
        <f>VLOOKUP(BK37,BK39:BO45,4,TRUE)</f>
        <v>2.0106192982974678</v>
      </c>
      <c r="BO28" s="461">
        <f>CH21*BM28</f>
        <v>10.053096491487338</v>
      </c>
      <c r="BQ28" s="321" t="s">
        <v>175</v>
      </c>
      <c r="BR28" s="441">
        <f>0.29*(SQRT(L12))</f>
        <v>3.814354467010112</v>
      </c>
      <c r="BT28" s="321">
        <v>1</v>
      </c>
      <c r="BU28" s="465" t="s">
        <v>90</v>
      </c>
      <c r="BV28" s="244">
        <v>0.35</v>
      </c>
      <c r="BW28" s="244"/>
      <c r="BX28" s="323"/>
      <c r="CA28" s="323"/>
      <c r="CB28" s="323"/>
      <c r="CC28" s="323"/>
      <c r="CD28" s="439">
        <f>-($BY$5*$CI$5)</f>
        <v>-0.4</v>
      </c>
      <c r="CE28" s="421">
        <f>-(($CG$5+0.05)*$CI$5)</f>
        <v>-0.2</v>
      </c>
      <c r="CF28" s="323"/>
      <c r="CG28" s="417">
        <v>6</v>
      </c>
      <c r="CH28" s="323"/>
      <c r="CJ28" s="323" t="s">
        <v>161</v>
      </c>
      <c r="CK28" s="323"/>
      <c r="CL28" s="323"/>
      <c r="CN28" s="323"/>
      <c r="CO28" s="323"/>
      <c r="CP28" s="323" t="s">
        <v>238</v>
      </c>
      <c r="CW28" s="323"/>
      <c r="CX28" s="323"/>
    </row>
    <row r="29" spans="1:102" ht="15.75" customHeight="1" thickBot="1">
      <c r="A29" s="26"/>
      <c r="B29" s="38" t="s">
        <v>107</v>
      </c>
      <c r="H29" s="30"/>
      <c r="I29" s="30"/>
      <c r="J29" s="30"/>
      <c r="K29" s="28" t="s">
        <v>3</v>
      </c>
      <c r="L29" s="589">
        <v>0.05</v>
      </c>
      <c r="M29" s="589"/>
      <c r="N29" s="589"/>
      <c r="O29" s="26"/>
      <c r="Q29" s="239"/>
      <c r="R29" s="26"/>
      <c r="S29" s="26"/>
      <c r="T29" s="26"/>
      <c r="U29" s="26"/>
      <c r="V29" s="28"/>
      <c r="W29" s="27"/>
      <c r="X29" s="26"/>
      <c r="Y29" s="26"/>
      <c r="Z29" s="26"/>
      <c r="AA29" s="238"/>
      <c r="AB29" s="26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26"/>
      <c r="AQ29" s="26"/>
      <c r="AR29" s="26"/>
      <c r="AS29" s="26"/>
      <c r="AT29" s="26"/>
      <c r="AU29" s="26"/>
      <c r="AV29" s="156"/>
      <c r="AW29" s="156"/>
      <c r="AX29" s="323"/>
      <c r="AY29" s="323"/>
      <c r="AZ29" s="323"/>
      <c r="BA29" s="323"/>
      <c r="BB29" s="323"/>
      <c r="BH29" s="321">
        <f>AC24</f>
        <v>21</v>
      </c>
      <c r="BM29" s="460">
        <f>VLOOKUP(BK37,BK39:BO45,5,TRUE)</f>
        <v>5.026548245743669</v>
      </c>
      <c r="BO29" s="463">
        <f>BM29*CH21</f>
        <v>25.132741228718345</v>
      </c>
      <c r="BQ29" s="321" t="s">
        <v>174</v>
      </c>
      <c r="BR29" s="442">
        <f>(BR27*2)/(($BN$16*100)*$BR$19)</f>
        <v>0</v>
      </c>
      <c r="BS29" s="442">
        <f>(BS27*2)/(($BN$16*100)*$BR$19)</f>
        <v>0</v>
      </c>
      <c r="BT29" s="321">
        <v>2</v>
      </c>
      <c r="BU29" s="465" t="s">
        <v>91</v>
      </c>
      <c r="BV29" s="244">
        <v>0.5</v>
      </c>
      <c r="BW29" s="244"/>
      <c r="BX29" s="323"/>
      <c r="CA29" s="323"/>
      <c r="CB29" s="323"/>
      <c r="CC29" s="323"/>
      <c r="CD29" s="439">
        <f>-($CM$16*$CI$5)</f>
        <v>-0.3066666666666667</v>
      </c>
      <c r="CE29" s="421">
        <f>-(($CG$5+0.05)*$CI$5)</f>
        <v>-0.2</v>
      </c>
      <c r="CF29" s="323"/>
      <c r="CG29" s="417">
        <v>7</v>
      </c>
      <c r="CH29" s="323"/>
      <c r="CJ29" s="435" t="s">
        <v>109</v>
      </c>
      <c r="CK29" s="436" t="s">
        <v>110</v>
      </c>
      <c r="CL29" s="323"/>
      <c r="CM29" s="435" t="s">
        <v>109</v>
      </c>
      <c r="CN29" s="436" t="s">
        <v>110</v>
      </c>
      <c r="CO29" s="323"/>
      <c r="CP29" s="417" t="s">
        <v>109</v>
      </c>
      <c r="CQ29" s="431" t="s">
        <v>110</v>
      </c>
      <c r="CS29" s="323"/>
      <c r="CT29" s="323"/>
      <c r="CW29" s="417" t="s">
        <v>109</v>
      </c>
      <c r="CX29" s="417" t="s">
        <v>110</v>
      </c>
    </row>
    <row r="30" spans="1:106" ht="15.75" customHeight="1">
      <c r="A30" s="26"/>
      <c r="C30" s="26"/>
      <c r="D30" s="26"/>
      <c r="E30" s="26"/>
      <c r="F30" s="26"/>
      <c r="G30" s="26"/>
      <c r="H30" s="26"/>
      <c r="I30" s="26"/>
      <c r="J30" s="26"/>
      <c r="K30" s="28"/>
      <c r="L30" s="26"/>
      <c r="M30" s="26"/>
      <c r="N30" s="26"/>
      <c r="O30" s="26"/>
      <c r="P30" s="26"/>
      <c r="Q30" s="239"/>
      <c r="R30" s="26"/>
      <c r="S30" s="26"/>
      <c r="T30" s="26"/>
      <c r="U30" s="26"/>
      <c r="V30" s="26"/>
      <c r="W30" s="26"/>
      <c r="X30" s="26"/>
      <c r="Y30" s="26"/>
      <c r="Z30" s="26"/>
      <c r="AA30" s="238"/>
      <c r="AB30" s="26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26"/>
      <c r="AQ30" s="26"/>
      <c r="AR30" s="26"/>
      <c r="AS30" s="26"/>
      <c r="AT30" s="26"/>
      <c r="AU30" s="26"/>
      <c r="AV30" s="156"/>
      <c r="AW30" s="156"/>
      <c r="AX30" s="323"/>
      <c r="AY30" s="323"/>
      <c r="AZ30" s="323"/>
      <c r="BA30" s="323"/>
      <c r="BB30" s="323"/>
      <c r="BI30" s="431"/>
      <c r="BJ30" s="466"/>
      <c r="BK30" s="467"/>
      <c r="BS30" s="442">
        <f>MAX(BR29:BS29)</f>
        <v>0</v>
      </c>
      <c r="BT30" s="321">
        <v>3</v>
      </c>
      <c r="BU30" s="465" t="s">
        <v>92</v>
      </c>
      <c r="BV30" s="244">
        <v>0.6</v>
      </c>
      <c r="BW30" s="244"/>
      <c r="BX30" s="323"/>
      <c r="CA30" s="323"/>
      <c r="CB30" s="323"/>
      <c r="CC30" s="323"/>
      <c r="CD30" s="419"/>
      <c r="CE30" s="468"/>
      <c r="CF30" s="323"/>
      <c r="CG30" s="417">
        <v>8</v>
      </c>
      <c r="CH30" s="323"/>
      <c r="CI30" s="417"/>
      <c r="CJ30" s="439">
        <f>-($CM$21*$CI$5)</f>
        <v>-0.27</v>
      </c>
      <c r="CK30" s="421">
        <f>$CM$19*$CI$5</f>
        <v>0.23333333333333334</v>
      </c>
      <c r="CL30" s="323"/>
      <c r="CM30" s="439">
        <f>-($CM$21*$CI$5)</f>
        <v>-0.27</v>
      </c>
      <c r="CN30" s="421">
        <f>-($CM$19*$CI$5)</f>
        <v>-0.23333333333333334</v>
      </c>
      <c r="CO30" s="323"/>
      <c r="CP30" s="435">
        <f>$CR$21</f>
        <v>0.59</v>
      </c>
      <c r="CQ30" s="436">
        <f>($BZ$5*$CB$5)</f>
        <v>0.4</v>
      </c>
      <c r="CR30" s="435">
        <f>$CP$31+0.025</f>
        <v>0.515</v>
      </c>
      <c r="CS30" s="436">
        <f>(($BZ$5-0.05)*$CB$5)</f>
        <v>0.36666666666666664</v>
      </c>
      <c r="CT30" s="435">
        <f>$CR$22</f>
        <v>0.49</v>
      </c>
      <c r="CU30" s="436">
        <f>($BZ$5*$CB$5)</f>
        <v>0.4</v>
      </c>
      <c r="CV30" s="323"/>
      <c r="CW30" s="444">
        <f>-($BY$5*$CB$5)</f>
        <v>-0.4</v>
      </c>
      <c r="CX30" s="416">
        <f>$CR$21</f>
        <v>0.59</v>
      </c>
      <c r="CY30" s="444">
        <f>-(($BZ$5+0.05)*$CB$5)</f>
        <v>-0.4333333333333334</v>
      </c>
      <c r="CZ30" s="416">
        <f>$CP$31+0.025</f>
        <v>0.515</v>
      </c>
      <c r="DA30" s="444">
        <f>-($BZ$5*$CB$5)</f>
        <v>-0.4</v>
      </c>
      <c r="DB30" s="416">
        <f>$CR$22</f>
        <v>0.49</v>
      </c>
    </row>
    <row r="31" spans="1:106" ht="15.75" customHeight="1" thickBot="1">
      <c r="A31" s="26"/>
      <c r="B31" s="36" t="s">
        <v>192</v>
      </c>
      <c r="C31" s="26"/>
      <c r="D31" s="26"/>
      <c r="E31" s="26"/>
      <c r="F31" s="26"/>
      <c r="G31" s="26"/>
      <c r="H31" s="26"/>
      <c r="I31" s="26"/>
      <c r="J31" s="26"/>
      <c r="K31" s="28"/>
      <c r="L31" s="26"/>
      <c r="M31" s="26"/>
      <c r="N31" s="26"/>
      <c r="O31" s="26"/>
      <c r="P31" s="26"/>
      <c r="Q31" s="239"/>
      <c r="R31" s="26"/>
      <c r="S31" s="26"/>
      <c r="T31" s="26"/>
      <c r="U31" s="26"/>
      <c r="V31" s="26"/>
      <c r="W31" s="26"/>
      <c r="X31" s="26"/>
      <c r="Y31" s="26"/>
      <c r="Z31" s="26"/>
      <c r="AA31" s="238"/>
      <c r="AB31" s="26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26"/>
      <c r="AQ31" s="26"/>
      <c r="AR31" s="26"/>
      <c r="AS31" s="26"/>
      <c r="AT31" s="26"/>
      <c r="AU31" s="26"/>
      <c r="AV31" s="156"/>
      <c r="AW31" s="156"/>
      <c r="AX31" s="323"/>
      <c r="AY31" s="323"/>
      <c r="AZ31" s="323"/>
      <c r="BA31" s="323"/>
      <c r="BB31" s="323"/>
      <c r="BI31" s="431"/>
      <c r="BJ31" s="321" t="s">
        <v>100</v>
      </c>
      <c r="BK31" s="467"/>
      <c r="BQ31" s="432" t="s">
        <v>180</v>
      </c>
      <c r="BT31" s="321">
        <v>4</v>
      </c>
      <c r="BU31" s="465" t="s">
        <v>93</v>
      </c>
      <c r="BV31" s="244">
        <v>0.8</v>
      </c>
      <c r="BW31" s="244"/>
      <c r="BX31" s="323"/>
      <c r="CA31" s="323"/>
      <c r="CB31" s="323"/>
      <c r="CC31" s="323"/>
      <c r="CD31" s="439">
        <f>-($CM$17*$CI$5)</f>
        <v>-0.16</v>
      </c>
      <c r="CE31" s="421">
        <f>-(($CG$5+0.05)*$CI$5)</f>
        <v>-0.2</v>
      </c>
      <c r="CF31" s="323"/>
      <c r="CG31" s="417">
        <v>9</v>
      </c>
      <c r="CH31" s="323"/>
      <c r="CI31" s="417"/>
      <c r="CJ31" s="439">
        <f>-($CM$22*$CI$5)</f>
        <v>-0.19666666666666668</v>
      </c>
      <c r="CK31" s="421">
        <f>$CM$19*$CI$5</f>
        <v>0.23333333333333334</v>
      </c>
      <c r="CL31" s="323"/>
      <c r="CM31" s="439">
        <f>-($CM$22*$CI$5)</f>
        <v>-0.19666666666666668</v>
      </c>
      <c r="CN31" s="421">
        <f>-($CM$19*$CI$5)</f>
        <v>-0.23333333333333334</v>
      </c>
      <c r="CO31" s="323"/>
      <c r="CP31" s="437">
        <f>$CR$22</f>
        <v>0.49</v>
      </c>
      <c r="CQ31" s="428">
        <f>($BZ$5*$CB$5)</f>
        <v>0.4</v>
      </c>
      <c r="CR31" s="437">
        <f>$CR$21-0.025</f>
        <v>0.565</v>
      </c>
      <c r="CS31" s="428">
        <f>(($BZ$5+0.05)*$CB$5)</f>
        <v>0.4333333333333334</v>
      </c>
      <c r="CT31" s="446">
        <f>($BY$5*$CB$5)</f>
        <v>0.4</v>
      </c>
      <c r="CU31" s="428">
        <f>($BZ$5*$CB$5)</f>
        <v>0.4</v>
      </c>
      <c r="CV31" s="323"/>
      <c r="CW31" s="446">
        <f>-($BY$5*$CB$5)</f>
        <v>-0.4</v>
      </c>
      <c r="CX31" s="425">
        <f>$CR$22</f>
        <v>0.49</v>
      </c>
      <c r="CY31" s="446">
        <f>-(($BZ$5-0.05)*$CB$5)</f>
        <v>-0.36666666666666664</v>
      </c>
      <c r="CZ31" s="425">
        <f>$CR$21-0.025</f>
        <v>0.565</v>
      </c>
      <c r="DA31" s="446">
        <f>-($BZ$5*$CB$5)</f>
        <v>-0.4</v>
      </c>
      <c r="DB31" s="428">
        <f>($BY$5*$CB$5)</f>
        <v>0.4</v>
      </c>
    </row>
    <row r="32" spans="1:106" ht="15.75" customHeight="1" thickBot="1">
      <c r="A32" s="27"/>
      <c r="B32" s="26" t="str">
        <f>IF($CR$5=1,"Load per Pile , (kg./Pile)",IF($CR$5=2,"Load per Pile , (Ton./Pile)"))</f>
        <v>Load per Pile , (kg./Pile)</v>
      </c>
      <c r="C32" s="26"/>
      <c r="D32" s="26"/>
      <c r="E32" s="27"/>
      <c r="F32" s="27"/>
      <c r="G32" s="27"/>
      <c r="H32" s="27"/>
      <c r="I32" s="27"/>
      <c r="J32" s="27"/>
      <c r="K32" s="28" t="s">
        <v>3</v>
      </c>
      <c r="L32" s="511">
        <f>BS13</f>
        <v>20625</v>
      </c>
      <c r="M32" s="511"/>
      <c r="N32" s="511"/>
      <c r="O32" s="27"/>
      <c r="P32" s="240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40"/>
      <c r="AB32" s="27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26"/>
      <c r="AQ32" s="26"/>
      <c r="AR32" s="26"/>
      <c r="AS32" s="26"/>
      <c r="AT32" s="26"/>
      <c r="AU32" s="26"/>
      <c r="AV32" s="156"/>
      <c r="AW32" s="156"/>
      <c r="AX32" s="323"/>
      <c r="AY32" s="323"/>
      <c r="AZ32" s="323"/>
      <c r="BA32" s="323"/>
      <c r="BB32" s="323"/>
      <c r="BI32" s="431"/>
      <c r="BJ32" s="469" t="s">
        <v>101</v>
      </c>
      <c r="BK32" s="467"/>
      <c r="BQ32" s="321" t="s">
        <v>171</v>
      </c>
      <c r="BR32" s="321">
        <f>((($BR$19/2)/100)+$CD$5)</f>
        <v>0.475</v>
      </c>
      <c r="BS32" s="321">
        <f>((($BR$19/2)/100)+$CE$5)</f>
        <v>0.325</v>
      </c>
      <c r="BU32" s="323"/>
      <c r="BV32" s="323"/>
      <c r="BW32" s="323"/>
      <c r="BX32" s="323"/>
      <c r="CA32" s="323"/>
      <c r="CB32" s="323"/>
      <c r="CC32" s="323"/>
      <c r="CD32" s="439">
        <f>($CM$17*$CI$5)</f>
        <v>0.16</v>
      </c>
      <c r="CE32" s="421">
        <f>-(($CG$5+0.05)*$CI$5)</f>
        <v>-0.2</v>
      </c>
      <c r="CF32" s="323"/>
      <c r="CG32" s="417">
        <v>10</v>
      </c>
      <c r="CH32" s="323"/>
      <c r="CI32" s="417"/>
      <c r="CJ32" s="440"/>
      <c r="CK32" s="420"/>
      <c r="CL32" s="323"/>
      <c r="CM32" s="440"/>
      <c r="CN32" s="420"/>
      <c r="CO32" s="323"/>
      <c r="CP32" s="417"/>
      <c r="CQ32" s="431"/>
      <c r="CS32" s="454"/>
      <c r="CW32" s="417"/>
      <c r="CX32" s="417"/>
      <c r="DA32" s="431"/>
      <c r="DB32" s="431"/>
    </row>
    <row r="33" spans="1:106" ht="15.75" customHeight="1">
      <c r="A33" s="27"/>
      <c r="B33" s="26" t="str">
        <f>IF($CR$5=1,"Moment , M (kg.-m.)",IF($CR$5=2,"Moment , M (Ton.-m.)"))</f>
        <v>Moment , M (kg.-m.)</v>
      </c>
      <c r="C33" s="26"/>
      <c r="D33" s="26"/>
      <c r="E33" s="26"/>
      <c r="F33" s="26"/>
      <c r="G33" s="26"/>
      <c r="H33" s="26"/>
      <c r="I33" s="26"/>
      <c r="J33" s="26"/>
      <c r="K33" s="28" t="s">
        <v>3</v>
      </c>
      <c r="L33" s="511">
        <f>IF(CR5=1,BR15,IF(CR5=2,BS15))</f>
        <v>4124.999999999999</v>
      </c>
      <c r="M33" s="511"/>
      <c r="N33" s="511"/>
      <c r="O33" s="27"/>
      <c r="P33" s="240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40"/>
      <c r="AB33" s="27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26"/>
      <c r="AQ33" s="26"/>
      <c r="AR33" s="26"/>
      <c r="AS33" s="26"/>
      <c r="AT33" s="26"/>
      <c r="AU33" s="26"/>
      <c r="AV33" s="156"/>
      <c r="AW33" s="156"/>
      <c r="AX33" s="323"/>
      <c r="AY33" s="323"/>
      <c r="AZ33" s="323"/>
      <c r="BA33" s="323"/>
      <c r="BB33" s="323"/>
      <c r="BQ33" s="321" t="s">
        <v>172</v>
      </c>
      <c r="BR33" s="321">
        <f>CM19</f>
        <v>0.35</v>
      </c>
      <c r="BU33" s="323"/>
      <c r="BV33" s="323"/>
      <c r="BW33" s="323"/>
      <c r="BX33" s="323"/>
      <c r="CA33" s="323"/>
      <c r="CB33" s="323"/>
      <c r="CC33" s="323"/>
      <c r="CD33" s="419"/>
      <c r="CE33" s="468"/>
      <c r="CF33" s="323"/>
      <c r="CG33" s="417">
        <v>11</v>
      </c>
      <c r="CH33" s="323"/>
      <c r="CI33" s="417"/>
      <c r="CJ33" s="439">
        <f>-($CM$19*$CI$5)</f>
        <v>-0.23333333333333334</v>
      </c>
      <c r="CK33" s="421">
        <f>($CM$21*$CI$5)</f>
        <v>0.27</v>
      </c>
      <c r="CL33" s="323"/>
      <c r="CM33" s="439">
        <f>-($CM$19*$CI$5)</f>
        <v>-0.23333333333333334</v>
      </c>
      <c r="CN33" s="421">
        <f>-($CM$21*$CI$5)</f>
        <v>-0.27</v>
      </c>
      <c r="CO33" s="323"/>
      <c r="CP33" s="435">
        <f>$CR$21</f>
        <v>0.59</v>
      </c>
      <c r="CQ33" s="436">
        <f>$CM$19*$CI$5</f>
        <v>0.23333333333333334</v>
      </c>
      <c r="CR33" s="435">
        <f>$CP$31+0.025</f>
        <v>0.515</v>
      </c>
      <c r="CS33" s="421">
        <f>-(($BZ$5+0.05)*$CB$5)</f>
        <v>-0.4333333333333334</v>
      </c>
      <c r="CT33" s="435">
        <f>$CR$22</f>
        <v>0.49</v>
      </c>
      <c r="CU33" s="436">
        <f>-($BZ$5*$CB$5)</f>
        <v>-0.4</v>
      </c>
      <c r="CW33" s="444">
        <f>$CM$19*$CI$5</f>
        <v>0.23333333333333334</v>
      </c>
      <c r="CX33" s="416">
        <f>$CR$21</f>
        <v>0.59</v>
      </c>
      <c r="CY33" s="444">
        <f>(($BZ$5-0.05)*$CB$5)</f>
        <v>0.36666666666666664</v>
      </c>
      <c r="CZ33" s="416">
        <f>$CP$31+0.025</f>
        <v>0.515</v>
      </c>
      <c r="DA33" s="444">
        <f>($BZ$5*$CB$5)</f>
        <v>0.4</v>
      </c>
      <c r="DB33" s="416">
        <f>$CR$22</f>
        <v>0.49</v>
      </c>
    </row>
    <row r="34" spans="1:106" ht="15.75" customHeight="1" thickBot="1">
      <c r="A34" s="27"/>
      <c r="O34" s="27"/>
      <c r="P34" s="240"/>
      <c r="Q34" s="27"/>
      <c r="R34" s="27"/>
      <c r="S34" s="27"/>
      <c r="T34" s="27"/>
      <c r="U34" s="27"/>
      <c r="V34" s="90"/>
      <c r="W34" s="90"/>
      <c r="X34" s="90"/>
      <c r="Y34" s="90"/>
      <c r="Z34" s="90"/>
      <c r="AA34" s="240"/>
      <c r="AB34" s="27"/>
      <c r="AC34" s="41"/>
      <c r="AD34" s="41"/>
      <c r="AE34" s="41"/>
      <c r="AF34" s="41"/>
      <c r="AG34" s="54"/>
      <c r="AH34" s="54"/>
      <c r="AI34" s="54"/>
      <c r="AJ34" s="54"/>
      <c r="AK34" s="54"/>
      <c r="AL34" s="54"/>
      <c r="AM34" s="54"/>
      <c r="AN34" s="54"/>
      <c r="AO34" s="54"/>
      <c r="AP34" s="26"/>
      <c r="AQ34" s="26"/>
      <c r="AR34" s="26"/>
      <c r="AS34" s="26"/>
      <c r="AT34" s="26"/>
      <c r="AU34" s="26"/>
      <c r="AV34" s="156"/>
      <c r="AW34" s="156"/>
      <c r="AX34" s="323"/>
      <c r="AY34" s="323"/>
      <c r="AZ34" s="323"/>
      <c r="BA34" s="323"/>
      <c r="BB34" s="323"/>
      <c r="BN34" s="323" t="s">
        <v>102</v>
      </c>
      <c r="BO34" s="467"/>
      <c r="BP34" s="467">
        <f>BR34*100</f>
        <v>12.5</v>
      </c>
      <c r="BQ34" s="467" t="s">
        <v>173</v>
      </c>
      <c r="BR34" s="470">
        <f>BR32-$BR$33</f>
        <v>0.125</v>
      </c>
      <c r="BS34" s="470">
        <f>BS32-$BR$33</f>
        <v>-0.024999999999999967</v>
      </c>
      <c r="BT34" s="426">
        <f>BS34*100</f>
        <v>-2.4999999999999964</v>
      </c>
      <c r="BU34" s="426"/>
      <c r="BV34" s="426"/>
      <c r="BW34" s="417"/>
      <c r="BY34" s="431"/>
      <c r="BZ34" s="431"/>
      <c r="CA34" s="323"/>
      <c r="CB34" s="323"/>
      <c r="CC34" s="422"/>
      <c r="CD34" s="439">
        <f>($CM$16*$CI$5)</f>
        <v>0.3066666666666667</v>
      </c>
      <c r="CE34" s="421">
        <f>-(($CG$5+0.05)*$CI$5)</f>
        <v>-0.2</v>
      </c>
      <c r="CF34" s="323"/>
      <c r="CG34" s="417">
        <v>12</v>
      </c>
      <c r="CH34" s="323"/>
      <c r="CI34" s="417"/>
      <c r="CJ34" s="446">
        <f>-($CM$19*$CI$5)</f>
        <v>-0.23333333333333334</v>
      </c>
      <c r="CK34" s="428">
        <f>($CM$22*$CI$5)</f>
        <v>0.19666666666666668</v>
      </c>
      <c r="CL34" s="323"/>
      <c r="CM34" s="446">
        <f>-($CM$19*$CI$5)</f>
        <v>-0.23333333333333334</v>
      </c>
      <c r="CN34" s="428">
        <f>-($CM$22*$CI$5)</f>
        <v>-0.19666666666666668</v>
      </c>
      <c r="CO34" s="323"/>
      <c r="CP34" s="437">
        <f>$CR$22</f>
        <v>0.49</v>
      </c>
      <c r="CQ34" s="428">
        <f>$CM$19*$CI$5</f>
        <v>0.23333333333333334</v>
      </c>
      <c r="CR34" s="437">
        <f>$CR$21-0.025</f>
        <v>0.565</v>
      </c>
      <c r="CS34" s="428">
        <f>-(($BZ$5-0.05)*$CB$5)</f>
        <v>-0.36666666666666664</v>
      </c>
      <c r="CT34" s="446">
        <f>($BY$5*$CB$5)</f>
        <v>0.4</v>
      </c>
      <c r="CU34" s="428">
        <f>-($BZ$5*$CB$5)</f>
        <v>-0.4</v>
      </c>
      <c r="CW34" s="446">
        <f>$CM$19*$CI$5</f>
        <v>0.23333333333333334</v>
      </c>
      <c r="CX34" s="425">
        <f>$CR$22</f>
        <v>0.49</v>
      </c>
      <c r="CY34" s="446">
        <f>(($BZ$5+0.05)*$CB$5)</f>
        <v>0.4333333333333334</v>
      </c>
      <c r="CZ34" s="425">
        <f>$CR$21-0.025</f>
        <v>0.565</v>
      </c>
      <c r="DA34" s="446">
        <f>($BZ$5*$CB$5)</f>
        <v>0.4</v>
      </c>
      <c r="DB34" s="428">
        <f>($BY$5*$CB$5)</f>
        <v>0.4</v>
      </c>
    </row>
    <row r="35" spans="1:106" ht="15.75" customHeight="1" thickBot="1">
      <c r="A35" s="26"/>
      <c r="B35" s="26"/>
      <c r="C35" s="26"/>
      <c r="D35" s="26"/>
      <c r="E35" s="29"/>
      <c r="F35" s="244"/>
      <c r="G35" s="29"/>
      <c r="H35" s="29"/>
      <c r="I35" s="29"/>
      <c r="J35" s="29"/>
      <c r="K35" s="28"/>
      <c r="L35" s="542"/>
      <c r="M35" s="542"/>
      <c r="N35" s="542"/>
      <c r="O35" s="91"/>
      <c r="P35" s="245"/>
      <c r="Q35" s="27"/>
      <c r="R35" s="27"/>
      <c r="S35" s="27"/>
      <c r="T35" s="27"/>
      <c r="U35" s="27"/>
      <c r="V35" s="90"/>
      <c r="W35" s="90"/>
      <c r="X35" s="90"/>
      <c r="Y35" s="90"/>
      <c r="Z35" s="90"/>
      <c r="AA35" s="240"/>
      <c r="AB35" s="27"/>
      <c r="AC35" s="41"/>
      <c r="AD35" s="41"/>
      <c r="AE35" s="41"/>
      <c r="AF35" s="41"/>
      <c r="AG35" s="54"/>
      <c r="AH35" s="54"/>
      <c r="AI35" s="54"/>
      <c r="AJ35" s="54"/>
      <c r="AK35" s="54"/>
      <c r="AL35" s="54"/>
      <c r="AM35" s="54"/>
      <c r="AN35" s="54"/>
      <c r="AO35" s="54"/>
      <c r="AP35" s="26"/>
      <c r="AQ35" s="26"/>
      <c r="AR35" s="26"/>
      <c r="AS35" s="26"/>
      <c r="AT35" s="26"/>
      <c r="AU35" s="26"/>
      <c r="AV35" s="156"/>
      <c r="AW35" s="156"/>
      <c r="AX35" s="323"/>
      <c r="AY35" s="323"/>
      <c r="AZ35" s="323"/>
      <c r="BA35" s="323"/>
      <c r="BB35" s="323"/>
      <c r="BN35" s="321" t="s">
        <v>103</v>
      </c>
      <c r="BO35" s="467"/>
      <c r="BP35" s="467"/>
      <c r="BQ35" s="467" t="s">
        <v>176</v>
      </c>
      <c r="BR35" s="467">
        <f>IF(BR34&gt;0,1,IF(BR34=0,2,IF(BR34&lt;0,3)))</f>
        <v>1</v>
      </c>
      <c r="BS35" s="467">
        <f>IF(BS34&gt;0,1,IF(BS34=0,2,IF(BS34&lt;0,3)))</f>
        <v>3</v>
      </c>
      <c r="BT35" s="467"/>
      <c r="BU35" s="467"/>
      <c r="BV35" s="467"/>
      <c r="BW35" s="417"/>
      <c r="BY35" s="471" t="s">
        <v>127</v>
      </c>
      <c r="BZ35" s="431"/>
      <c r="CA35" s="472"/>
      <c r="CB35" s="323"/>
      <c r="CC35" s="473"/>
      <c r="CD35" s="446">
        <f>($BY$5*$CI$5)</f>
        <v>0.4</v>
      </c>
      <c r="CE35" s="428">
        <f>-(($CG$5+0.05)*$CI$5)</f>
        <v>-0.2</v>
      </c>
      <c r="CF35" s="323"/>
      <c r="CG35" s="417">
        <v>13</v>
      </c>
      <c r="CH35" s="323"/>
      <c r="CI35" s="417"/>
      <c r="CJ35" s="417"/>
      <c r="CK35" s="417"/>
      <c r="CL35" s="323"/>
      <c r="CM35" s="417"/>
      <c r="CN35" s="417"/>
      <c r="CO35" s="323"/>
      <c r="CP35" s="417"/>
      <c r="CQ35" s="431"/>
      <c r="CW35" s="431"/>
      <c r="CX35" s="431"/>
      <c r="DA35" s="431"/>
      <c r="DB35" s="431"/>
    </row>
    <row r="36" spans="1:106" ht="15.75" customHeight="1" thickBot="1">
      <c r="A36" s="26"/>
      <c r="B36" s="36" t="s">
        <v>162</v>
      </c>
      <c r="C36" s="26"/>
      <c r="D36" s="26"/>
      <c r="E36" s="29"/>
      <c r="F36" s="29"/>
      <c r="G36" s="29"/>
      <c r="H36" s="29"/>
      <c r="I36" s="65"/>
      <c r="J36" s="65"/>
      <c r="K36" s="28"/>
      <c r="L36" s="542"/>
      <c r="M36" s="542"/>
      <c r="N36" s="542"/>
      <c r="O36" s="91"/>
      <c r="P36" s="245"/>
      <c r="Q36" s="27"/>
      <c r="R36" s="27"/>
      <c r="S36" s="27"/>
      <c r="T36" s="27"/>
      <c r="U36" s="27"/>
      <c r="V36" s="90"/>
      <c r="W36" s="90"/>
      <c r="X36" s="90"/>
      <c r="Y36" s="90"/>
      <c r="Z36" s="90"/>
      <c r="AA36" s="240"/>
      <c r="AB36" s="27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26"/>
      <c r="AQ36" s="26"/>
      <c r="AR36" s="26"/>
      <c r="AS36" s="26"/>
      <c r="AT36" s="26"/>
      <c r="AU36" s="26"/>
      <c r="AV36" s="156"/>
      <c r="AW36" s="156"/>
      <c r="AX36" s="323"/>
      <c r="AY36" s="323"/>
      <c r="AZ36" s="323"/>
      <c r="BA36" s="323"/>
      <c r="BB36" s="323"/>
      <c r="BQ36" s="321" t="s">
        <v>178</v>
      </c>
      <c r="BR36" s="452">
        <f>IF(BR35=1,-BR34,IF(BR35=2,0,IF(BR35=3,ABS(BR34))))</f>
        <v>-0.125</v>
      </c>
      <c r="BS36" s="452">
        <f>IF(BS35=1,-BS34,IF(BS35=2,0,IF(BS35=3,ABS(BS34))))</f>
        <v>0.024999999999999967</v>
      </c>
      <c r="BU36" s="323"/>
      <c r="BV36" s="323"/>
      <c r="BW36" s="323"/>
      <c r="BX36" s="323"/>
      <c r="BY36" s="450" t="s">
        <v>109</v>
      </c>
      <c r="BZ36" s="474" t="s">
        <v>110</v>
      </c>
      <c r="CA36" s="475"/>
      <c r="CB36" s="473"/>
      <c r="CC36" s="323"/>
      <c r="CF36" s="323"/>
      <c r="CG36" s="417">
        <v>14</v>
      </c>
      <c r="CH36" s="323"/>
      <c r="CI36" s="417"/>
      <c r="CJ36" s="435" t="s">
        <v>109</v>
      </c>
      <c r="CK36" s="436" t="s">
        <v>110</v>
      </c>
      <c r="CL36" s="323"/>
      <c r="CM36" s="435" t="s">
        <v>109</v>
      </c>
      <c r="CN36" s="436" t="s">
        <v>110</v>
      </c>
      <c r="CO36" s="323"/>
      <c r="CP36" s="435"/>
      <c r="CQ36" s="416"/>
      <c r="CR36" s="476">
        <f>$CR$23</f>
        <v>0.54</v>
      </c>
      <c r="CS36" s="477">
        <f>$CM$19*$CI$5</f>
        <v>0.23333333333333334</v>
      </c>
      <c r="CT36" s="435">
        <f>$CR$22</f>
        <v>0.49</v>
      </c>
      <c r="CU36" s="436">
        <f>$CM$19*$CI$5</f>
        <v>0.23333333333333334</v>
      </c>
      <c r="CW36" s="435"/>
      <c r="CX36" s="416"/>
      <c r="CY36" s="478">
        <f>-($CM$19*$CI$5)</f>
        <v>-0.23333333333333334</v>
      </c>
      <c r="CZ36" s="479">
        <f>$CR$23</f>
        <v>0.54</v>
      </c>
      <c r="DA36" s="480">
        <f>-($CM$19*$CI$5)</f>
        <v>-0.23333333333333334</v>
      </c>
      <c r="DB36" s="416">
        <f>$CR$22</f>
        <v>0.49</v>
      </c>
    </row>
    <row r="37" spans="1:106" ht="15.75" customHeight="1" thickBot="1">
      <c r="A37" s="26"/>
      <c r="B37" s="26" t="s">
        <v>193</v>
      </c>
      <c r="C37" s="26"/>
      <c r="D37" s="26"/>
      <c r="E37" s="29"/>
      <c r="F37" s="29"/>
      <c r="G37" s="29"/>
      <c r="H37" s="29"/>
      <c r="I37" s="65"/>
      <c r="J37" s="65"/>
      <c r="K37" s="28"/>
      <c r="L37" s="542"/>
      <c r="M37" s="542"/>
      <c r="N37" s="542"/>
      <c r="O37" s="27"/>
      <c r="P37" s="240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40"/>
      <c r="AB37" s="27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26"/>
      <c r="AQ37" s="26"/>
      <c r="AR37" s="26"/>
      <c r="AS37" s="26"/>
      <c r="AT37" s="26"/>
      <c r="AU37" s="26"/>
      <c r="AV37" s="156"/>
      <c r="AW37" s="156"/>
      <c r="AX37" s="323"/>
      <c r="AY37" s="323"/>
      <c r="AZ37" s="323"/>
      <c r="BA37" s="323"/>
      <c r="BB37" s="323"/>
      <c r="BK37" s="430">
        <v>3</v>
      </c>
      <c r="BL37" s="430">
        <v>3</v>
      </c>
      <c r="BN37" s="321" t="s">
        <v>119</v>
      </c>
      <c r="BQ37" s="321" t="s">
        <v>179</v>
      </c>
      <c r="BR37" s="321">
        <f>($BR$14/30)*((BR36*100)+15)</f>
        <v>1718.75</v>
      </c>
      <c r="BS37" s="321">
        <f>($BR$14/30)*((BS36*100)+15)</f>
        <v>12031.249999999998</v>
      </c>
      <c r="BT37" s="321" t="s">
        <v>182</v>
      </c>
      <c r="BU37" s="323"/>
      <c r="BV37" s="323"/>
      <c r="BW37" s="323"/>
      <c r="BX37" s="323"/>
      <c r="BY37" s="439">
        <f>-(($BZ$17-0.025)*$CI$5)</f>
        <v>-0.35</v>
      </c>
      <c r="BZ37" s="421">
        <f>(($CG$5-L29-0.025)*$CI$5)</f>
        <v>0.1166666666666667</v>
      </c>
      <c r="CA37" s="475"/>
      <c r="CB37" s="473"/>
      <c r="CC37" s="323"/>
      <c r="CD37" s="417"/>
      <c r="CE37" s="417"/>
      <c r="CF37" s="323"/>
      <c r="CG37" s="417">
        <v>15</v>
      </c>
      <c r="CH37" s="323"/>
      <c r="CI37" s="417"/>
      <c r="CJ37" s="439">
        <f>($CM$21*$CI$5)</f>
        <v>0.27</v>
      </c>
      <c r="CK37" s="421">
        <f>$CM$19*$CI$5</f>
        <v>0.23333333333333334</v>
      </c>
      <c r="CL37" s="323"/>
      <c r="CM37" s="439">
        <f>($CM$21*$CI$5)</f>
        <v>0.27</v>
      </c>
      <c r="CN37" s="421">
        <f>-($CM$19*$CI$5)</f>
        <v>-0.23333333333333334</v>
      </c>
      <c r="CO37" s="323"/>
      <c r="CP37" s="437"/>
      <c r="CQ37" s="425"/>
      <c r="CR37" s="414"/>
      <c r="CS37" s="481"/>
      <c r="CT37" s="446">
        <f>($BY$5*$CB$5)</f>
        <v>0.4</v>
      </c>
      <c r="CU37" s="428">
        <f>$CM$19*$CI$5</f>
        <v>0.23333333333333334</v>
      </c>
      <c r="CW37" s="437"/>
      <c r="CX37" s="425"/>
      <c r="CY37" s="419"/>
      <c r="CZ37" s="482"/>
      <c r="DA37" s="427">
        <f>-($CM$19*$CI$5)</f>
        <v>-0.23333333333333334</v>
      </c>
      <c r="DB37" s="428">
        <f>($BY$5*$CB$5)</f>
        <v>0.4</v>
      </c>
    </row>
    <row r="38" spans="1:106" ht="15.75" customHeight="1" thickBot="1">
      <c r="A38" s="26"/>
      <c r="D38" s="38" t="s">
        <v>194</v>
      </c>
      <c r="E38" s="83" t="s">
        <v>3</v>
      </c>
      <c r="F38" s="555">
        <f>BS13</f>
        <v>20625</v>
      </c>
      <c r="G38" s="555"/>
      <c r="H38" s="555"/>
      <c r="I38" s="42" t="str">
        <f>IF(BS13&lt;L23,"&lt;",IF(BS13=L23,"=",it(BS13&gt;L23,"&gt;")))</f>
        <v>&lt;</v>
      </c>
      <c r="J38" s="555">
        <f>L23</f>
        <v>22000</v>
      </c>
      <c r="K38" s="555"/>
      <c r="L38" s="555"/>
      <c r="M38" s="542" t="str">
        <f>IF(CR5=1,"kg.",IF(CR5=2,"Ton."))</f>
        <v>kg.</v>
      </c>
      <c r="N38" s="542"/>
      <c r="O38" s="542" t="str">
        <f>IF(BS13&lt;L23,"Ok.",IF(BS13=L23,"Ok.",it(BS13&gt;L23,"Not Ok.")))</f>
        <v>Ok.</v>
      </c>
      <c r="P38" s="620"/>
      <c r="Q38" s="607" t="s">
        <v>134</v>
      </c>
      <c r="R38" s="608"/>
      <c r="S38" s="608"/>
      <c r="T38" s="608"/>
      <c r="U38" s="608"/>
      <c r="V38" s="608"/>
      <c r="W38" s="608"/>
      <c r="X38" s="608"/>
      <c r="Y38" s="608"/>
      <c r="Z38" s="608"/>
      <c r="AA38" s="609"/>
      <c r="AB38" s="27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26"/>
      <c r="AQ38" s="26"/>
      <c r="AR38" s="26"/>
      <c r="AS38" s="26"/>
      <c r="AT38" s="26"/>
      <c r="AU38" s="26"/>
      <c r="AV38" s="156"/>
      <c r="AW38" s="156"/>
      <c r="AX38" s="323"/>
      <c r="AY38" s="323"/>
      <c r="AZ38" s="323"/>
      <c r="BA38" s="323"/>
      <c r="BB38" s="323"/>
      <c r="BK38" s="323"/>
      <c r="BL38" s="417"/>
      <c r="BM38" s="417"/>
      <c r="BN38" s="417"/>
      <c r="BO38" s="483"/>
      <c r="BQ38" s="321" t="s">
        <v>177</v>
      </c>
      <c r="BR38" s="321">
        <f>IF(AND(BR35=1,BP34&gt;=15),0,IF(AND(BR35=1,BP34&lt;15),BR37,IF(BR35=2,($BR$14/2),IF(AND(BR35=3,BP34&lt;15),BR37,IF(AND(BR35=3,BP34&gt;15),$BR$14)))))</f>
        <v>1718.75</v>
      </c>
      <c r="BS38" s="321">
        <f>IF(AND(BS35=1,BT34&gt;=15),0,IF(AND(BS35=1,BT34&lt;15),BS37,IF(BS35=2,($BR$14/2),IF(AND(BS35=3,BT34&lt;15),BS37,IF(AND(BS35=3,BT34&gt;15),$BR$14)))))</f>
        <v>12031.249999999998</v>
      </c>
      <c r="BT38" s="321" t="s">
        <v>183</v>
      </c>
      <c r="BU38" s="323"/>
      <c r="BV38" s="323"/>
      <c r="BW38" s="323"/>
      <c r="BX38" s="323"/>
      <c r="BY38" s="451"/>
      <c r="BZ38" s="462"/>
      <c r="CA38" s="475"/>
      <c r="CB38" s="473"/>
      <c r="CC38" s="323"/>
      <c r="CD38" s="323"/>
      <c r="CE38" s="323"/>
      <c r="CF38" s="323"/>
      <c r="CG38" s="417">
        <v>16</v>
      </c>
      <c r="CH38" s="323"/>
      <c r="CI38" s="417"/>
      <c r="CJ38" s="439">
        <f>($CM$22*$CI$5)</f>
        <v>0.19666666666666668</v>
      </c>
      <c r="CK38" s="421">
        <f>$CM$19*$CI$5</f>
        <v>0.23333333333333334</v>
      </c>
      <c r="CL38" s="323"/>
      <c r="CM38" s="439">
        <f>($CM$22*$CI$5)</f>
        <v>0.19666666666666668</v>
      </c>
      <c r="CN38" s="421">
        <f>-($CM$19*$CI$5)</f>
        <v>-0.23333333333333334</v>
      </c>
      <c r="CO38" s="323"/>
      <c r="CP38" s="417"/>
      <c r="CQ38" s="431"/>
      <c r="CR38" s="451"/>
      <c r="CS38" s="421"/>
      <c r="CW38" s="417"/>
      <c r="CX38" s="417"/>
      <c r="CY38" s="478">
        <f>$CM$19*$CI$5</f>
        <v>0.23333333333333334</v>
      </c>
      <c r="CZ38" s="479">
        <f>$CR$23</f>
        <v>0.54</v>
      </c>
      <c r="DA38" s="431"/>
      <c r="DB38" s="431"/>
    </row>
    <row r="39" spans="1:106" ht="15.75" customHeight="1" thickBot="1">
      <c r="A39" s="26"/>
      <c r="B39" s="26" t="s">
        <v>196</v>
      </c>
      <c r="C39" s="26"/>
      <c r="D39" s="26"/>
      <c r="E39" s="29"/>
      <c r="F39" s="29"/>
      <c r="G39" s="29"/>
      <c r="H39" s="29"/>
      <c r="I39" s="65"/>
      <c r="J39" s="65"/>
      <c r="K39" s="28"/>
      <c r="L39" s="21"/>
      <c r="M39" s="21"/>
      <c r="N39" s="21"/>
      <c r="O39" s="91"/>
      <c r="P39" s="91"/>
      <c r="Q39" s="246" t="s">
        <v>157</v>
      </c>
      <c r="R39" s="247"/>
      <c r="S39" s="247"/>
      <c r="T39" s="144" t="s">
        <v>3</v>
      </c>
      <c r="U39" s="610" t="str">
        <f>BN16&amp;"X"&amp;BN16&amp;"X"&amp;L28&amp;" m."</f>
        <v>1.2X1.2X0.5 m.</v>
      </c>
      <c r="V39" s="610"/>
      <c r="W39" s="610"/>
      <c r="X39" s="610"/>
      <c r="Y39" s="610"/>
      <c r="Z39" s="610"/>
      <c r="AA39" s="611"/>
      <c r="AB39" s="27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26"/>
      <c r="AQ39" s="26"/>
      <c r="AR39" s="26"/>
      <c r="AS39" s="26"/>
      <c r="AT39" s="26"/>
      <c r="AU39" s="26"/>
      <c r="AV39" s="156"/>
      <c r="AW39" s="156"/>
      <c r="AX39" s="323"/>
      <c r="AY39" s="323"/>
      <c r="AZ39" s="323"/>
      <c r="BA39" s="323"/>
      <c r="BB39" s="323"/>
      <c r="BJ39" s="442"/>
      <c r="BK39" s="484">
        <v>1</v>
      </c>
      <c r="BL39" s="485" t="s">
        <v>155</v>
      </c>
      <c r="BM39" s="485">
        <v>0.9</v>
      </c>
      <c r="BN39" s="486">
        <f aca="true" t="shared" si="0" ref="BN39:BN45">(PI()*(BM39^2))/4</f>
        <v>0.6361725123519332</v>
      </c>
      <c r="BO39" s="487">
        <f aca="true" t="shared" si="1" ref="BO39:BO45">PI()*BM39</f>
        <v>2.827433388230814</v>
      </c>
      <c r="BQ39" s="321" t="s">
        <v>175</v>
      </c>
      <c r="BR39" s="441">
        <f>0.53*(SQRT(L12))</f>
        <v>6.97106161212193</v>
      </c>
      <c r="BT39" s="321" t="s">
        <v>184</v>
      </c>
      <c r="BU39" s="488">
        <f>1.615*(SQRT($L$12)/($BM$22))</f>
        <v>13.276255310821833</v>
      </c>
      <c r="BV39" s="489">
        <f>IF(BU39&gt;11,11,IF(BU39&lt;=11,BU39))</f>
        <v>11</v>
      </c>
      <c r="BW39" s="323"/>
      <c r="BX39" s="323"/>
      <c r="BY39" s="446">
        <f>(($BZ$17-0.025)*$CI$5)</f>
        <v>0.35</v>
      </c>
      <c r="BZ39" s="428">
        <f>(($CG$5-L29-0.025)*$CI$5)</f>
        <v>0.1166666666666667</v>
      </c>
      <c r="CA39" s="475"/>
      <c r="CB39" s="473"/>
      <c r="CC39" s="323"/>
      <c r="CD39" s="323"/>
      <c r="CE39" s="323"/>
      <c r="CF39" s="323"/>
      <c r="CG39" s="417">
        <v>17</v>
      </c>
      <c r="CH39" s="323"/>
      <c r="CI39" s="417"/>
      <c r="CJ39" s="440"/>
      <c r="CK39" s="420"/>
      <c r="CL39" s="323"/>
      <c r="CM39" s="440"/>
      <c r="CN39" s="420"/>
      <c r="CO39" s="323"/>
      <c r="CP39" s="435">
        <f>$CR$21</f>
        <v>0.59</v>
      </c>
      <c r="CQ39" s="436">
        <f>-($CM$19*$CI$5)</f>
        <v>-0.23333333333333334</v>
      </c>
      <c r="CT39" s="435">
        <f>$CR$22</f>
        <v>0.49</v>
      </c>
      <c r="CU39" s="436">
        <f>-($CM$19*$CI$5)</f>
        <v>-0.23333333333333334</v>
      </c>
      <c r="CW39" s="444">
        <f>-($CM$19*$CI$5)</f>
        <v>-0.23333333333333334</v>
      </c>
      <c r="CX39" s="416">
        <f>$CR$21</f>
        <v>0.59</v>
      </c>
      <c r="CZ39" s="481"/>
      <c r="DA39" s="480">
        <f>$CM$19*$CI$5</f>
        <v>0.23333333333333334</v>
      </c>
      <c r="DB39" s="416">
        <f>$CR$22</f>
        <v>0.49</v>
      </c>
    </row>
    <row r="40" spans="1:106" ht="15.75" customHeight="1" thickBot="1">
      <c r="A40" s="26"/>
      <c r="B40" s="26"/>
      <c r="C40" s="26"/>
      <c r="D40" s="26" t="s">
        <v>195</v>
      </c>
      <c r="E40" s="248" t="s">
        <v>3</v>
      </c>
      <c r="F40" s="536">
        <f>BR16</f>
        <v>19.600883373726358</v>
      </c>
      <c r="G40" s="536"/>
      <c r="H40" s="536"/>
      <c r="I40" s="28" t="str">
        <f>IF(BR16&lt;BR19,"&lt;",IF(BR16=BR19,"=",IF(BR16&gt;BR19,"&gt;")))</f>
        <v>&lt;</v>
      </c>
      <c r="J40" s="536">
        <f>BR19</f>
        <v>45</v>
      </c>
      <c r="K40" s="536"/>
      <c r="L40" s="536"/>
      <c r="M40" s="542" t="s">
        <v>62</v>
      </c>
      <c r="N40" s="542"/>
      <c r="O40" s="514" t="str">
        <f>IF(BR16&lt;BR19,"Ok.",IF(BR16=BR19,"Ok.",IF(BR16&gt;BR19,"Not Ok.")))</f>
        <v>Ok.</v>
      </c>
      <c r="P40" s="601"/>
      <c r="Q40" s="237" t="s">
        <v>135</v>
      </c>
      <c r="R40" s="27"/>
      <c r="S40" s="27"/>
      <c r="T40" s="28" t="s">
        <v>3</v>
      </c>
      <c r="U40" s="619" t="str">
        <f>BO21&amp;" mm. #"</f>
        <v>9-DB16 mm. #</v>
      </c>
      <c r="V40" s="604"/>
      <c r="W40" s="604"/>
      <c r="X40" s="604"/>
      <c r="Y40" s="604"/>
      <c r="Z40" s="604"/>
      <c r="AA40" s="605"/>
      <c r="AB40" s="26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26"/>
      <c r="AQ40" s="26"/>
      <c r="AR40" s="26"/>
      <c r="AS40" s="26"/>
      <c r="AT40" s="26"/>
      <c r="AU40" s="26"/>
      <c r="AV40" s="156"/>
      <c r="AW40" s="156"/>
      <c r="AX40" s="323"/>
      <c r="AY40" s="323"/>
      <c r="AZ40" s="323"/>
      <c r="BA40" s="323"/>
      <c r="BB40" s="323"/>
      <c r="BK40" s="490">
        <v>2</v>
      </c>
      <c r="BL40" s="417" t="s">
        <v>149</v>
      </c>
      <c r="BM40" s="417">
        <v>1.2</v>
      </c>
      <c r="BN40" s="244">
        <f t="shared" si="0"/>
        <v>1.1309733552923256</v>
      </c>
      <c r="BO40" s="491">
        <f t="shared" si="1"/>
        <v>3.7699111843077517</v>
      </c>
      <c r="BQ40" s="321" t="s">
        <v>174</v>
      </c>
      <c r="BR40" s="442">
        <f>(BR42)/((BR43)*$BR$19)</f>
        <v>3.3420138888888884</v>
      </c>
      <c r="BS40" s="442"/>
      <c r="BT40" s="321" t="s">
        <v>185</v>
      </c>
      <c r="BU40" s="488">
        <f>3.23*(SQRT($L$12)/($BM$22))</f>
        <v>26.552510621643666</v>
      </c>
      <c r="BV40" s="489">
        <f>IF(BU40&gt;35,35,IF(BU40&lt;=35,BU40))</f>
        <v>26.552510621643666</v>
      </c>
      <c r="BW40" s="323"/>
      <c r="BX40" s="323"/>
      <c r="BY40" s="244"/>
      <c r="BZ40" s="434"/>
      <c r="CA40" s="475"/>
      <c r="CB40" s="473"/>
      <c r="CC40" s="323"/>
      <c r="CD40" s="323"/>
      <c r="CE40" s="323"/>
      <c r="CF40" s="323"/>
      <c r="CG40" s="417">
        <v>18</v>
      </c>
      <c r="CH40" s="323"/>
      <c r="CI40" s="323"/>
      <c r="CJ40" s="439">
        <f>($CM$19*$CI$5)</f>
        <v>0.23333333333333334</v>
      </c>
      <c r="CK40" s="421">
        <f>($CM$21*$CI$5)</f>
        <v>0.27</v>
      </c>
      <c r="CL40" s="323"/>
      <c r="CM40" s="439">
        <f>($CM$19*$CI$5)</f>
        <v>0.23333333333333334</v>
      </c>
      <c r="CN40" s="421">
        <f>-($CM$21*$CI$5)</f>
        <v>-0.27</v>
      </c>
      <c r="CO40" s="323"/>
      <c r="CP40" s="437">
        <f>$CR$22</f>
        <v>0.49</v>
      </c>
      <c r="CQ40" s="428">
        <f>-($CM$19*$CI$5)</f>
        <v>-0.23333333333333334</v>
      </c>
      <c r="CR40" s="476">
        <f>$CR$23</f>
        <v>0.54</v>
      </c>
      <c r="CS40" s="477">
        <f>-($CM$19*$CI$5)</f>
        <v>-0.23333333333333334</v>
      </c>
      <c r="CT40" s="446">
        <f>($BY$5*$CB$5)</f>
        <v>0.4</v>
      </c>
      <c r="CU40" s="428">
        <f>-($CM$19*$CI$5)</f>
        <v>-0.23333333333333334</v>
      </c>
      <c r="CW40" s="446">
        <f>-($CM$19*$CI$5)</f>
        <v>-0.23333333333333334</v>
      </c>
      <c r="CX40" s="425">
        <f>$CR$22</f>
        <v>0.49</v>
      </c>
      <c r="CZ40" s="468"/>
      <c r="DA40" s="427">
        <f>$CM$19*$CI$5</f>
        <v>0.23333333333333334</v>
      </c>
      <c r="DB40" s="428">
        <f>($BY$5*$CB$5)</f>
        <v>0.4</v>
      </c>
    </row>
    <row r="41" spans="1:103" ht="15.75" customHeight="1" thickBot="1">
      <c r="A41" s="26"/>
      <c r="B41" s="38" t="s">
        <v>197</v>
      </c>
      <c r="P41" s="238"/>
      <c r="Q41" s="237" t="s">
        <v>136</v>
      </c>
      <c r="R41" s="27"/>
      <c r="S41" s="27"/>
      <c r="T41" s="28" t="s">
        <v>3</v>
      </c>
      <c r="U41" s="604" t="str">
        <f>F22</f>
        <v>4 I-0.22X0.22X21 m.</v>
      </c>
      <c r="V41" s="604"/>
      <c r="W41" s="604"/>
      <c r="X41" s="604"/>
      <c r="Y41" s="604"/>
      <c r="Z41" s="604"/>
      <c r="AA41" s="605"/>
      <c r="AB41" s="26"/>
      <c r="AC41" s="88"/>
      <c r="AD41" s="88"/>
      <c r="AE41" s="88"/>
      <c r="AF41" s="88"/>
      <c r="AG41" s="88"/>
      <c r="AH41" s="88"/>
      <c r="AI41" s="54"/>
      <c r="AJ41" s="54"/>
      <c r="AK41" s="54"/>
      <c r="AL41" s="54"/>
      <c r="AM41" s="54"/>
      <c r="AN41" s="54"/>
      <c r="AO41" s="54"/>
      <c r="AP41" s="26"/>
      <c r="AQ41" s="26"/>
      <c r="AR41" s="26"/>
      <c r="AS41" s="26"/>
      <c r="AT41" s="26"/>
      <c r="AU41" s="26"/>
      <c r="AV41" s="156"/>
      <c r="AW41" s="156"/>
      <c r="AX41" s="323"/>
      <c r="AY41" s="323"/>
      <c r="AZ41" s="323"/>
      <c r="BA41" s="323"/>
      <c r="BB41" s="323"/>
      <c r="BK41" s="490">
        <v>3</v>
      </c>
      <c r="BL41" s="417" t="s">
        <v>150</v>
      </c>
      <c r="BM41" s="417">
        <v>1.6</v>
      </c>
      <c r="BN41" s="244">
        <f t="shared" si="0"/>
        <v>2.0106192982974678</v>
      </c>
      <c r="BO41" s="491">
        <f t="shared" si="1"/>
        <v>5.026548245743669</v>
      </c>
      <c r="BR41" s="321">
        <f>MAX(BR38:BS38)</f>
        <v>12031.249999999998</v>
      </c>
      <c r="BS41" s="442"/>
      <c r="BU41" s="323">
        <f>IF(L9=2400,1,IF(L9&gt;2400,2))</f>
        <v>2</v>
      </c>
      <c r="BV41" s="323"/>
      <c r="BW41" s="323"/>
      <c r="BX41" s="323"/>
      <c r="BY41" s="244">
        <f>-(($BZ$17-0.025)*$CI$5)</f>
        <v>-0.35</v>
      </c>
      <c r="BZ41" s="244">
        <f>(($CG$5-L29-0.025)*$CI$5)</f>
        <v>0.1166666666666667</v>
      </c>
      <c r="CA41" s="475"/>
      <c r="CB41" s="473" t="s">
        <v>128</v>
      </c>
      <c r="CC41" s="323"/>
      <c r="CD41" s="323"/>
      <c r="CE41" s="323"/>
      <c r="CF41" s="323"/>
      <c r="CG41" s="417">
        <v>19</v>
      </c>
      <c r="CH41" s="323"/>
      <c r="CI41" s="323"/>
      <c r="CJ41" s="446">
        <f>($CM$19*$CI$5)</f>
        <v>0.23333333333333334</v>
      </c>
      <c r="CK41" s="428">
        <f>($CM$22*$CI$5)</f>
        <v>0.19666666666666668</v>
      </c>
      <c r="CL41" s="323"/>
      <c r="CM41" s="446">
        <f>($CM$19*$CI$5)</f>
        <v>0.23333333333333334</v>
      </c>
      <c r="CN41" s="428">
        <f>-($CM$22*$CI$5)</f>
        <v>-0.19666666666666668</v>
      </c>
      <c r="CO41" s="323"/>
      <c r="CP41" s="417"/>
      <c r="CQ41" s="431"/>
      <c r="CW41" s="417"/>
      <c r="CX41" s="417"/>
      <c r="CY41" s="323"/>
    </row>
    <row r="42" spans="1:103" ht="15.75" customHeight="1">
      <c r="A42" s="26"/>
      <c r="B42" s="36"/>
      <c r="C42" s="26"/>
      <c r="D42" s="26" t="s">
        <v>198</v>
      </c>
      <c r="E42" s="248" t="s">
        <v>3</v>
      </c>
      <c r="F42" s="536">
        <f>BS30</f>
        <v>0</v>
      </c>
      <c r="G42" s="536"/>
      <c r="H42" s="536"/>
      <c r="I42" s="28" t="str">
        <f>IF(F42&lt;J42,"&lt;",IF(F42=J42,"=",IF(F42&gt;J42,"&gt;")))</f>
        <v>&lt;</v>
      </c>
      <c r="J42" s="536">
        <f>BR28</f>
        <v>3.814354467010112</v>
      </c>
      <c r="K42" s="536"/>
      <c r="L42" s="536"/>
      <c r="M42" s="542" t="s">
        <v>51</v>
      </c>
      <c r="N42" s="542"/>
      <c r="O42" s="514" t="str">
        <f>IF(F42&lt;J42,"Ok.",IF(F42=J42,"Ok.",IF(F42&gt;J42,"Not Ok.")))</f>
        <v>Ok.</v>
      </c>
      <c r="P42" s="601"/>
      <c r="Q42" s="249" t="s">
        <v>145</v>
      </c>
      <c r="R42" s="250"/>
      <c r="S42" s="250"/>
      <c r="T42" s="150" t="s">
        <v>3</v>
      </c>
      <c r="U42" s="339" t="str">
        <f>L23&amp;" kg./Pile"</f>
        <v>22000 kg./Pile</v>
      </c>
      <c r="V42" s="339"/>
      <c r="W42" s="339"/>
      <c r="X42" s="339"/>
      <c r="Y42" s="339"/>
      <c r="Z42" s="339"/>
      <c r="AA42" s="340"/>
      <c r="AB42" s="237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26"/>
      <c r="AQ42" s="26"/>
      <c r="AR42" s="26"/>
      <c r="AS42" s="26"/>
      <c r="AT42" s="26"/>
      <c r="AU42" s="26"/>
      <c r="AV42" s="156"/>
      <c r="AW42" s="156"/>
      <c r="AX42" s="323"/>
      <c r="AY42" s="323"/>
      <c r="AZ42" s="323"/>
      <c r="BA42" s="323"/>
      <c r="BB42" s="323"/>
      <c r="BK42" s="490">
        <v>4</v>
      </c>
      <c r="BL42" s="417" t="s">
        <v>151</v>
      </c>
      <c r="BM42" s="417">
        <v>2</v>
      </c>
      <c r="BN42" s="244">
        <f t="shared" si="0"/>
        <v>3.141592653589793</v>
      </c>
      <c r="BO42" s="491">
        <f t="shared" si="1"/>
        <v>6.283185307179586</v>
      </c>
      <c r="BQ42" s="321" t="s">
        <v>247</v>
      </c>
      <c r="BR42" s="321">
        <f>4*BR41</f>
        <v>48124.99999999999</v>
      </c>
      <c r="BT42" s="321" t="s">
        <v>186</v>
      </c>
      <c r="BU42" s="488">
        <f>IF(BU41=1,BV39,IF(BU41=2,BV40))</f>
        <v>26.552510621643666</v>
      </c>
      <c r="BV42" s="323"/>
      <c r="BW42" s="323"/>
      <c r="BX42" s="323"/>
      <c r="BY42" s="244">
        <f>(($BZ$17-0.025)*$CI$5)</f>
        <v>0.35</v>
      </c>
      <c r="BZ42" s="244">
        <f>(($CG$5-L29-0.025)*$CI$5)</f>
        <v>0.1166666666666667</v>
      </c>
      <c r="CA42" s="323"/>
      <c r="CB42" s="449" t="s">
        <v>109</v>
      </c>
      <c r="CC42" s="416" t="s">
        <v>110</v>
      </c>
      <c r="CG42" s="431">
        <v>20</v>
      </c>
      <c r="CJ42" s="431"/>
      <c r="CK42" s="431"/>
      <c r="CP42" s="435">
        <f>$CR$21</f>
        <v>0.59</v>
      </c>
      <c r="CQ42" s="436">
        <f>-($BZ$5*$CB$5)</f>
        <v>-0.4</v>
      </c>
      <c r="CW42" s="444">
        <f>($BZ$5*$CB$5)</f>
        <v>0.4</v>
      </c>
      <c r="CX42" s="416">
        <f>$CR$21</f>
        <v>0.59</v>
      </c>
      <c r="CY42" s="323"/>
    </row>
    <row r="43" spans="1:103" ht="15.75" customHeight="1" thickBot="1">
      <c r="A43" s="26"/>
      <c r="B43" s="27" t="s">
        <v>199</v>
      </c>
      <c r="C43" s="26"/>
      <c r="D43" s="26"/>
      <c r="E43" s="26"/>
      <c r="F43" s="26"/>
      <c r="G43" s="26"/>
      <c r="H43" s="26"/>
      <c r="I43" s="27"/>
      <c r="J43" s="27"/>
      <c r="K43" s="28"/>
      <c r="L43" s="21"/>
      <c r="M43" s="21"/>
      <c r="N43" s="21"/>
      <c r="O43" s="27"/>
      <c r="P43" s="27"/>
      <c r="AB43" s="27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26"/>
      <c r="AQ43" s="26"/>
      <c r="AR43" s="26"/>
      <c r="AS43" s="26"/>
      <c r="AT43" s="26"/>
      <c r="AU43" s="26"/>
      <c r="AV43" s="156"/>
      <c r="AW43" s="156"/>
      <c r="AX43" s="323"/>
      <c r="AY43" s="323"/>
      <c r="AZ43" s="323"/>
      <c r="BA43" s="323"/>
      <c r="BB43" s="323"/>
      <c r="BK43" s="490">
        <v>5</v>
      </c>
      <c r="BL43" s="417" t="s">
        <v>152</v>
      </c>
      <c r="BM43" s="417">
        <v>2.5</v>
      </c>
      <c r="BN43" s="244">
        <f t="shared" si="0"/>
        <v>4.908738521234052</v>
      </c>
      <c r="BO43" s="491">
        <f t="shared" si="1"/>
        <v>7.853981633974483</v>
      </c>
      <c r="BQ43" s="321" t="s">
        <v>248</v>
      </c>
      <c r="BR43" s="321">
        <f>2*(((CD4*100)+BR19)+((CE4*100)+BR19))</f>
        <v>320</v>
      </c>
      <c r="BU43" s="323"/>
      <c r="BV43" s="323"/>
      <c r="BW43" s="323"/>
      <c r="BX43" s="323"/>
      <c r="BY43" s="417"/>
      <c r="BZ43" s="417"/>
      <c r="CA43" s="422"/>
      <c r="CB43" s="439">
        <f>-(($BZ$17-0.025)*$CI$5)</f>
        <v>-0.35</v>
      </c>
      <c r="CC43" s="421">
        <f>-(($CG$5-0.1)*$CI$5)</f>
        <v>-0.1</v>
      </c>
      <c r="CG43" s="431">
        <v>21</v>
      </c>
      <c r="CP43" s="437">
        <f>$CR$22</f>
        <v>0.49</v>
      </c>
      <c r="CQ43" s="428">
        <f>-($BZ$5*$CB$5)</f>
        <v>-0.4</v>
      </c>
      <c r="CW43" s="446">
        <f>($BZ$5*$CB$5)</f>
        <v>0.4</v>
      </c>
      <c r="CX43" s="425">
        <f>$CR$22</f>
        <v>0.49</v>
      </c>
      <c r="CY43" s="323"/>
    </row>
    <row r="44" spans="1:103" ht="15.75" customHeight="1" thickBot="1">
      <c r="A44" s="26"/>
      <c r="B44" s="27"/>
      <c r="C44" s="26"/>
      <c r="D44" s="26" t="s">
        <v>200</v>
      </c>
      <c r="E44" s="248" t="s">
        <v>3</v>
      </c>
      <c r="F44" s="536">
        <f>BR40</f>
        <v>3.3420138888888884</v>
      </c>
      <c r="G44" s="514"/>
      <c r="H44" s="514"/>
      <c r="I44" s="28" t="str">
        <f>IF(F44&lt;J44,"&lt;",IF(F44=J44,"=",IF(F44&gt;J44,"&gt;")))</f>
        <v>&lt;</v>
      </c>
      <c r="J44" s="536">
        <f>BR39</f>
        <v>6.97106161212193</v>
      </c>
      <c r="K44" s="536"/>
      <c r="L44" s="536"/>
      <c r="M44" s="542" t="s">
        <v>51</v>
      </c>
      <c r="N44" s="542"/>
      <c r="O44" s="514" t="str">
        <f>IF(F44&lt;J44,"Ok.",IF(F44=J44,"Ok.",IF(F44&gt;J44,"Not Ok.")))</f>
        <v>Ok.</v>
      </c>
      <c r="P44" s="514"/>
      <c r="AB44" s="27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26"/>
      <c r="AQ44" s="26"/>
      <c r="AR44" s="26"/>
      <c r="AS44" s="26"/>
      <c r="AT44" s="26"/>
      <c r="AU44" s="26"/>
      <c r="AV44" s="156"/>
      <c r="AW44" s="156"/>
      <c r="AX44" s="323"/>
      <c r="AY44" s="323"/>
      <c r="AZ44" s="323"/>
      <c r="BA44" s="323"/>
      <c r="BB44" s="323"/>
      <c r="BK44" s="490">
        <v>6</v>
      </c>
      <c r="BL44" s="417" t="s">
        <v>153</v>
      </c>
      <c r="BM44" s="417">
        <v>2.8</v>
      </c>
      <c r="BN44" s="244">
        <f t="shared" si="0"/>
        <v>6.157521601035993</v>
      </c>
      <c r="BO44" s="491">
        <f t="shared" si="1"/>
        <v>8.79645943005142</v>
      </c>
      <c r="BT44" s="321" t="s">
        <v>184</v>
      </c>
      <c r="BU44" s="488">
        <f>1.615*(SQRT($L$12)/($BM$27))</f>
        <v>13.276255310821833</v>
      </c>
      <c r="BV44" s="489">
        <f>IF(BU44&gt;11,11,IF(BU44&lt;=11,BU44))</f>
        <v>11</v>
      </c>
      <c r="BY44" s="323"/>
      <c r="BZ44" s="323"/>
      <c r="CA44" s="323"/>
      <c r="CB44" s="419"/>
      <c r="CC44" s="468"/>
      <c r="CG44" s="431">
        <v>22</v>
      </c>
      <c r="CW44" s="417"/>
      <c r="CX44" s="417"/>
      <c r="CY44" s="323"/>
    </row>
    <row r="45" spans="1:103" ht="15.75" customHeight="1" thickBot="1">
      <c r="A45" s="26"/>
      <c r="B45" s="27" t="s">
        <v>202</v>
      </c>
      <c r="C45" s="251"/>
      <c r="D45" s="251"/>
      <c r="E45" s="251"/>
      <c r="F45" s="251"/>
      <c r="G45" s="251"/>
      <c r="H45" s="26"/>
      <c r="I45" s="28"/>
      <c r="J45" s="28"/>
      <c r="K45" s="28"/>
      <c r="L45" s="21"/>
      <c r="M45" s="21"/>
      <c r="N45" s="21"/>
      <c r="O45" s="514"/>
      <c r="P45" s="514"/>
      <c r="AB45" s="27"/>
      <c r="AC45" s="593" t="s">
        <v>203</v>
      </c>
      <c r="AD45" s="594"/>
      <c r="AE45" s="594"/>
      <c r="AF45" s="595"/>
      <c r="AG45" s="54"/>
      <c r="AH45" s="54"/>
      <c r="AI45" s="54"/>
      <c r="AJ45" s="54"/>
      <c r="AK45" s="54"/>
      <c r="AL45" s="54"/>
      <c r="AM45" s="54"/>
      <c r="AN45" s="54"/>
      <c r="AO45" s="54"/>
      <c r="AP45" s="26"/>
      <c r="AQ45" s="26"/>
      <c r="AR45" s="26"/>
      <c r="AS45" s="26"/>
      <c r="AT45" s="26"/>
      <c r="AU45" s="26"/>
      <c r="AV45" s="156"/>
      <c r="AW45" s="156"/>
      <c r="AX45" s="323"/>
      <c r="AY45" s="323"/>
      <c r="AZ45" s="323"/>
      <c r="BA45" s="323"/>
      <c r="BB45" s="323"/>
      <c r="BK45" s="492">
        <v>7</v>
      </c>
      <c r="BL45" s="493" t="s">
        <v>154</v>
      </c>
      <c r="BM45" s="493">
        <v>3.2</v>
      </c>
      <c r="BN45" s="494">
        <f t="shared" si="0"/>
        <v>8.042477193189871</v>
      </c>
      <c r="BO45" s="495">
        <f t="shared" si="1"/>
        <v>10.053096491487338</v>
      </c>
      <c r="BT45" s="321" t="s">
        <v>185</v>
      </c>
      <c r="BU45" s="488">
        <f>3.23*(SQRT($L$12)/($BM$27))</f>
        <v>26.552510621643666</v>
      </c>
      <c r="BV45" s="489">
        <f>IF(BU45&gt;35,35,IF(BU45&lt;=35,BU45))</f>
        <v>26.552510621643666</v>
      </c>
      <c r="BY45" s="452"/>
      <c r="CB45" s="439">
        <f>IF($CG$22&lt;=1,$BZ$61,IF($CG$22&gt;1,$BZ$62))</f>
        <v>-0.2625</v>
      </c>
      <c r="CC45" s="421">
        <f>-(($CG$5-0.1)*$CI$5)</f>
        <v>-0.1</v>
      </c>
      <c r="CG45" s="431">
        <v>23</v>
      </c>
      <c r="CO45" s="321">
        <f>BZ5+0.1</f>
        <v>0.7</v>
      </c>
      <c r="CP45" s="450">
        <f>$CR$23</f>
        <v>0.54</v>
      </c>
      <c r="CQ45" s="496">
        <f>-($CO$45*$CI$5)</f>
        <v>-0.4666666666666667</v>
      </c>
      <c r="CW45" s="497">
        <f>-($CO$45*$CI$5)</f>
        <v>-0.4666666666666667</v>
      </c>
      <c r="CX45" s="474">
        <f>$CR$23</f>
        <v>0.54</v>
      </c>
      <c r="CY45" s="323"/>
    </row>
    <row r="46" spans="1:103" ht="15.75" customHeight="1">
      <c r="A46" s="94"/>
      <c r="C46" s="27" t="s">
        <v>205</v>
      </c>
      <c r="D46" s="94"/>
      <c r="E46" s="94" t="s">
        <v>3</v>
      </c>
      <c r="F46" s="599">
        <f>BO23</f>
        <v>18.09557368467721</v>
      </c>
      <c r="G46" s="599"/>
      <c r="H46" s="599"/>
      <c r="I46" s="28" t="str">
        <f>IF(F46&lt;J46,"&lt;",IF(F46=J46,"=",IF(F46&gt;J46,"&gt;")))</f>
        <v>&gt;</v>
      </c>
      <c r="J46" s="599">
        <f>BR53</f>
        <v>6.808561532858686</v>
      </c>
      <c r="K46" s="599"/>
      <c r="L46" s="599"/>
      <c r="M46" s="542" t="s">
        <v>204</v>
      </c>
      <c r="N46" s="542"/>
      <c r="O46" s="514" t="str">
        <f>IF(F46&gt;J46,"Ok.",IF(F46=J46,"Ok.",IF(F46&lt;J46,"Not Ok.")))</f>
        <v>Ok.</v>
      </c>
      <c r="P46" s="514"/>
      <c r="Q46" s="25"/>
      <c r="R46" s="25"/>
      <c r="S46" s="25"/>
      <c r="T46" s="28"/>
      <c r="U46" s="28"/>
      <c r="V46" s="28"/>
      <c r="W46" s="27"/>
      <c r="X46" s="27"/>
      <c r="Y46" s="27"/>
      <c r="Z46" s="27"/>
      <c r="AA46" s="27"/>
      <c r="AB46" s="27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26"/>
      <c r="AQ46" s="26"/>
      <c r="AR46" s="26"/>
      <c r="AS46" s="26"/>
      <c r="AT46" s="26"/>
      <c r="AU46" s="26"/>
      <c r="AV46" s="156"/>
      <c r="AW46" s="156"/>
      <c r="AX46" s="323"/>
      <c r="AY46" s="323"/>
      <c r="AZ46" s="323"/>
      <c r="BA46" s="323"/>
      <c r="BB46" s="323"/>
      <c r="BQ46" s="321" t="s">
        <v>141</v>
      </c>
      <c r="BR46" s="461">
        <f>(BR15/(L11*V11*(BR19/100)))</f>
        <v>6.808561532858686</v>
      </c>
      <c r="BS46" s="321">
        <f>BR46*BN16</f>
        <v>8.170273839430424</v>
      </c>
      <c r="BU46" s="323">
        <f>IF(L9=2400,1,IF(L9&gt;2400,2))</f>
        <v>2</v>
      </c>
      <c r="BV46" s="323"/>
      <c r="CB46" s="419"/>
      <c r="CC46" s="468"/>
      <c r="CG46" s="431">
        <v>24</v>
      </c>
      <c r="CP46" s="451">
        <f>$CR$23</f>
        <v>0.54</v>
      </c>
      <c r="CQ46" s="420">
        <f>-(($CM$19+($CM$15/2))*$CI$5)</f>
        <v>-0.3166666666666667</v>
      </c>
      <c r="CW46" s="440">
        <f>-(($CM$19+($CM$15/2))*$CI$5)</f>
        <v>-0.3166666666666667</v>
      </c>
      <c r="CX46" s="462">
        <f>$CR$23</f>
        <v>0.54</v>
      </c>
      <c r="CY46" s="323"/>
    </row>
    <row r="47" spans="1:103" ht="15.75" customHeight="1">
      <c r="A47" s="94"/>
      <c r="B47" s="38" t="s">
        <v>207</v>
      </c>
      <c r="C47" s="26"/>
      <c r="D47" s="26"/>
      <c r="E47" s="26"/>
      <c r="F47" s="26"/>
      <c r="G47" s="26"/>
      <c r="H47" s="26"/>
      <c r="I47" s="28"/>
      <c r="J47" s="28"/>
      <c r="K47" s="28"/>
      <c r="L47" s="21"/>
      <c r="M47" s="21"/>
      <c r="N47" s="21"/>
      <c r="O47" s="28"/>
      <c r="P47" s="28"/>
      <c r="Q47" s="25"/>
      <c r="R47" s="25"/>
      <c r="S47" s="25"/>
      <c r="T47" s="25"/>
      <c r="U47" s="28"/>
      <c r="V47" s="28"/>
      <c r="W47" s="27"/>
      <c r="X47" s="27"/>
      <c r="Y47" s="27"/>
      <c r="Z47" s="27"/>
      <c r="AA47" s="27"/>
      <c r="AB47" s="27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26"/>
      <c r="AQ47" s="26"/>
      <c r="AR47" s="26"/>
      <c r="AS47" s="26"/>
      <c r="AT47" s="26"/>
      <c r="AU47" s="26"/>
      <c r="AV47" s="156"/>
      <c r="AW47" s="156"/>
      <c r="AX47" s="323"/>
      <c r="AY47" s="323"/>
      <c r="AZ47" s="323"/>
      <c r="BA47" s="323"/>
      <c r="BB47" s="323"/>
      <c r="BQ47" s="321" t="s">
        <v>181</v>
      </c>
      <c r="BR47" s="461">
        <f>BR46*1.37</f>
        <v>9.3277293000164</v>
      </c>
      <c r="BS47" s="321">
        <f>BR47*BN16</f>
        <v>11.193275160019681</v>
      </c>
      <c r="BT47" s="321" t="s">
        <v>186</v>
      </c>
      <c r="BU47" s="488">
        <f>IF(BU46=1,BV44,IF(BU46=2,BV45))</f>
        <v>26.552510621643666</v>
      </c>
      <c r="BV47" s="323"/>
      <c r="CB47" s="439">
        <f>IF($CG$22&lt;=2,$BZ$61,IF($CG$22&gt;1,$BZ$63))</f>
        <v>-0.175</v>
      </c>
      <c r="CC47" s="421">
        <f>-(($CG$5-0.1)*$CI$5)</f>
        <v>-0.1</v>
      </c>
      <c r="CG47" s="431">
        <v>25</v>
      </c>
      <c r="CP47" s="451">
        <f>$CR$23</f>
        <v>0.54</v>
      </c>
      <c r="CQ47" s="420">
        <v>0</v>
      </c>
      <c r="CW47" s="440">
        <v>0</v>
      </c>
      <c r="CX47" s="462">
        <f>$CR$23</f>
        <v>0.54</v>
      </c>
      <c r="CY47" s="323"/>
    </row>
    <row r="48" spans="1:103" ht="15.75" customHeight="1">
      <c r="A48" s="26"/>
      <c r="B48" s="26"/>
      <c r="C48" s="78" t="s">
        <v>208</v>
      </c>
      <c r="D48" s="26"/>
      <c r="E48" s="26" t="s">
        <v>3</v>
      </c>
      <c r="F48" s="546">
        <f>BO24</f>
        <v>45.23893421169302</v>
      </c>
      <c r="G48" s="546"/>
      <c r="H48" s="546"/>
      <c r="I48" s="28" t="str">
        <f>IF(F48&lt;J48,"&lt;",IF(F48=J48,"=",IF(F48&gt;J48,"&gt;")))</f>
        <v>&gt;</v>
      </c>
      <c r="J48" s="599">
        <f>BR49</f>
        <v>19.231406108474108</v>
      </c>
      <c r="K48" s="600"/>
      <c r="L48" s="600"/>
      <c r="M48" s="600" t="s">
        <v>62</v>
      </c>
      <c r="N48" s="600"/>
      <c r="O48" s="514" t="str">
        <f>IF(F48&gt;J48,"Ok.",IF(F48=J48,"Ok.",IF(F48&lt;J48,"Not Ok.")))</f>
        <v>Ok.</v>
      </c>
      <c r="P48" s="514"/>
      <c r="Q48" s="65"/>
      <c r="R48" s="30"/>
      <c r="S48" s="30"/>
      <c r="T48" s="30"/>
      <c r="U48" s="30"/>
      <c r="V48" s="30"/>
      <c r="W48" s="27"/>
      <c r="X48" s="26"/>
      <c r="Y48" s="27"/>
      <c r="Z48" s="27"/>
      <c r="AA48" s="27"/>
      <c r="AB48" s="27"/>
      <c r="AC48" s="41"/>
      <c r="AD48" s="41"/>
      <c r="AE48" s="41"/>
      <c r="AF48" s="41"/>
      <c r="AG48" s="54"/>
      <c r="AH48" s="54"/>
      <c r="AI48" s="54"/>
      <c r="AJ48" s="54"/>
      <c r="AK48" s="54"/>
      <c r="AL48" s="54"/>
      <c r="AM48" s="54"/>
      <c r="AN48" s="54"/>
      <c r="AO48" s="54"/>
      <c r="AP48" s="26"/>
      <c r="AQ48" s="26"/>
      <c r="AR48" s="26"/>
      <c r="AS48" s="26"/>
      <c r="AT48" s="26"/>
      <c r="AU48" s="26"/>
      <c r="AV48" s="156"/>
      <c r="AW48" s="156"/>
      <c r="AX48" s="323"/>
      <c r="AY48" s="323"/>
      <c r="AZ48" s="323"/>
      <c r="BA48" s="323"/>
      <c r="BB48" s="323"/>
      <c r="BQ48" s="321" t="s">
        <v>243</v>
      </c>
      <c r="BR48" s="460">
        <f>(14/L9)*100*BR19</f>
        <v>21.000000000000004</v>
      </c>
      <c r="CB48" s="419"/>
      <c r="CC48" s="468"/>
      <c r="CP48" s="451">
        <f>$CR$23</f>
        <v>0.54</v>
      </c>
      <c r="CQ48" s="420">
        <f>(($CM$19+($CM$15/2))*$CI$5)</f>
        <v>0.3166666666666667</v>
      </c>
      <c r="CW48" s="440">
        <f>(($CM$19+($CM$15/2))*$CI$5)</f>
        <v>0.3166666666666667</v>
      </c>
      <c r="CX48" s="462">
        <f>$CR$23</f>
        <v>0.54</v>
      </c>
      <c r="CY48" s="323"/>
    </row>
    <row r="49" spans="17:103" ht="15.75" customHeight="1" thickBot="1">
      <c r="Q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26"/>
      <c r="AQ49" s="26"/>
      <c r="AR49" s="26"/>
      <c r="AS49" s="26"/>
      <c r="AT49" s="26"/>
      <c r="AU49" s="26"/>
      <c r="AV49" s="156"/>
      <c r="AW49" s="156"/>
      <c r="AX49" s="323"/>
      <c r="AY49" s="323"/>
      <c r="AZ49" s="323"/>
      <c r="BA49" s="323"/>
      <c r="BB49" s="323"/>
      <c r="BQ49" s="498" t="s">
        <v>253</v>
      </c>
      <c r="BR49" s="460">
        <f>BR14/(BU47*V11*BR19)</f>
        <v>19.231406108474108</v>
      </c>
      <c r="CB49" s="439">
        <f>IF($CG$22&lt;=3,$BZ$61,IF($CG$22&gt;1,$BZ$64))</f>
        <v>-0.0875</v>
      </c>
      <c r="CC49" s="421">
        <f>-(($CG$5-0.1)*$CI$5)</f>
        <v>-0.1</v>
      </c>
      <c r="CP49" s="453">
        <f>$CR$23</f>
        <v>0.54</v>
      </c>
      <c r="CQ49" s="499">
        <f>($CO$45*$CI$5)</f>
        <v>0.4666666666666667</v>
      </c>
      <c r="CW49" s="500">
        <f>($CO$45*$CI$5)</f>
        <v>0.4666666666666667</v>
      </c>
      <c r="CX49" s="501">
        <f>$CR$23</f>
        <v>0.54</v>
      </c>
      <c r="CY49" s="323"/>
    </row>
    <row r="50" spans="3:103" ht="15.75" customHeight="1">
      <c r="C50" s="78"/>
      <c r="E50" s="30"/>
      <c r="I50" s="28"/>
      <c r="J50" s="57"/>
      <c r="K50" s="30"/>
      <c r="L50" s="30"/>
      <c r="M50" s="30"/>
      <c r="N50" s="30"/>
      <c r="O50" s="27"/>
      <c r="P50" s="27"/>
      <c r="S50" s="567" t="s">
        <v>49</v>
      </c>
      <c r="T50" s="567"/>
      <c r="U50" s="567"/>
      <c r="V50" s="512" t="str">
        <f>Cover!D10</f>
        <v>สมมุติ</v>
      </c>
      <c r="W50" s="512"/>
      <c r="X50" s="512"/>
      <c r="Y50" s="512"/>
      <c r="Z50" s="512"/>
      <c r="AA50" s="512"/>
      <c r="AB50" s="32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26"/>
      <c r="AQ50" s="26"/>
      <c r="AR50" s="26"/>
      <c r="AS50" s="26"/>
      <c r="AT50" s="26"/>
      <c r="AU50" s="26"/>
      <c r="AV50" s="156"/>
      <c r="AW50" s="156"/>
      <c r="AX50" s="323"/>
      <c r="AY50" s="323"/>
      <c r="AZ50" s="323"/>
      <c r="BA50" s="323"/>
      <c r="BB50" s="323"/>
      <c r="BC50" s="323"/>
      <c r="BQ50" s="498" t="s">
        <v>254</v>
      </c>
      <c r="BR50" s="460">
        <f>BR14/(BU42*V11*BR19)</f>
        <v>19.231406108474108</v>
      </c>
      <c r="CB50" s="419"/>
      <c r="CC50" s="468"/>
      <c r="CY50" s="323"/>
    </row>
    <row r="51" spans="19:95" ht="15.75" customHeight="1">
      <c r="S51" s="567" t="s">
        <v>50</v>
      </c>
      <c r="T51" s="567"/>
      <c r="U51" s="567"/>
      <c r="V51" s="513" t="str">
        <f>Cover!H10</f>
        <v>สย.0000</v>
      </c>
      <c r="W51" s="513"/>
      <c r="X51" s="513"/>
      <c r="Y51" s="513"/>
      <c r="Z51" s="513"/>
      <c r="AA51" s="513"/>
      <c r="AB51" s="32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26"/>
      <c r="AQ51" s="26"/>
      <c r="AR51" s="26"/>
      <c r="AS51" s="26"/>
      <c r="AT51" s="26"/>
      <c r="AU51" s="26"/>
      <c r="AV51" s="156"/>
      <c r="AW51" s="156"/>
      <c r="AX51" s="323"/>
      <c r="AY51" s="323"/>
      <c r="AZ51" s="323"/>
      <c r="BA51" s="323"/>
      <c r="BB51" s="323"/>
      <c r="BC51" s="323"/>
      <c r="BO51" s="502"/>
      <c r="BP51" s="502"/>
      <c r="CB51" s="439">
        <f>IF($CG$22&lt;=4,$BZ$61,IF($CG$22&gt;1,$BZ$65))</f>
        <v>0</v>
      </c>
      <c r="CC51" s="421">
        <f>-(($CG$5-0.1)*$CI$5)</f>
        <v>-0.1</v>
      </c>
      <c r="CP51" s="431"/>
      <c r="CQ51" s="431"/>
    </row>
    <row r="52" spans="29:81" ht="15.75" customHeight="1"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156"/>
      <c r="AW52" s="156"/>
      <c r="AX52" s="323"/>
      <c r="AY52" s="323"/>
      <c r="AZ52" s="323"/>
      <c r="BA52" s="323"/>
      <c r="BB52" s="323"/>
      <c r="BC52" s="323"/>
      <c r="BR52" s="321">
        <f>IF(BR46&lt;=BR47,1,IF(BR46&gt;BR47,2))</f>
        <v>1</v>
      </c>
      <c r="CB52" s="419"/>
      <c r="CC52" s="468"/>
    </row>
    <row r="53" spans="29:81" ht="15.75" customHeight="1"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156"/>
      <c r="AW53" s="156"/>
      <c r="AX53" s="323"/>
      <c r="AY53" s="323"/>
      <c r="AZ53" s="323"/>
      <c r="BA53" s="323"/>
      <c r="BB53" s="323"/>
      <c r="BO53" s="502"/>
      <c r="BP53" s="502"/>
      <c r="BR53" s="321">
        <f>IF(BR52=1,BR46,IF(BR52=2,BR47))</f>
        <v>6.808561532858686</v>
      </c>
      <c r="CB53" s="439">
        <f>IF($CG$22&lt;=5,$BZ$61,IF($CG$22&gt;1,$BZ$66))</f>
        <v>0.0875</v>
      </c>
      <c r="CC53" s="421">
        <f>-(($CG$5-0.1)*$CI$5)</f>
        <v>-0.1</v>
      </c>
    </row>
    <row r="54" spans="29:81" ht="15.75" customHeight="1"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156"/>
      <c r="AW54" s="156"/>
      <c r="AX54" s="323"/>
      <c r="AY54" s="323"/>
      <c r="AZ54" s="323"/>
      <c r="BA54" s="323"/>
      <c r="BB54" s="323"/>
      <c r="BP54" s="426"/>
      <c r="BQ54" s="426"/>
      <c r="BR54" s="426"/>
      <c r="BS54" s="426"/>
      <c r="BT54" s="426"/>
      <c r="CB54" s="419"/>
      <c r="CC54" s="468"/>
    </row>
    <row r="55" spans="1:81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8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156"/>
      <c r="AW55" s="156"/>
      <c r="AX55" s="323"/>
      <c r="AY55" s="323"/>
      <c r="AZ55" s="323"/>
      <c r="BA55" s="323"/>
      <c r="BB55" s="323"/>
      <c r="CB55" s="439">
        <f>IF($CG$22&lt;=6,$BZ$61,IF($CG$22&gt;1,$BZ$67))</f>
        <v>0.175</v>
      </c>
      <c r="CC55" s="421">
        <f>-(($CG$5-0.1)*$CI$5)</f>
        <v>-0.1</v>
      </c>
    </row>
    <row r="56" spans="1:81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8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CB56" s="419"/>
      <c r="CC56" s="468"/>
    </row>
    <row r="57" spans="1:81" ht="15.75" customHeight="1">
      <c r="A57" s="26"/>
      <c r="B57" s="26"/>
      <c r="C57" s="33"/>
      <c r="D57" s="33"/>
      <c r="E57" s="33"/>
      <c r="F57" s="33"/>
      <c r="G57" s="2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7"/>
      <c r="AA57" s="34"/>
      <c r="AB57" s="27"/>
      <c r="CB57" s="439">
        <f>IF($CG$22&lt;=7,$BZ$61,IF($CG$22&gt;1,$BZ$68))</f>
        <v>0.2625</v>
      </c>
      <c r="CC57" s="421">
        <f>-(($CG$5-0.1)*$CI$5)</f>
        <v>-0.1</v>
      </c>
    </row>
    <row r="58" spans="1:81" ht="15.75" customHeight="1">
      <c r="A58" s="26"/>
      <c r="B58" s="35"/>
      <c r="C58" s="36"/>
      <c r="D58" s="35"/>
      <c r="E58" s="35"/>
      <c r="F58" s="35"/>
      <c r="G58" s="27"/>
      <c r="H58" s="27"/>
      <c r="I58" s="27"/>
      <c r="J58" s="27"/>
      <c r="K58" s="27"/>
      <c r="L58" s="27"/>
      <c r="M58" s="3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34"/>
      <c r="AB58" s="27"/>
      <c r="CB58" s="419"/>
      <c r="CC58" s="468"/>
    </row>
    <row r="59" spans="1:81" ht="15.75" customHeight="1" thickBot="1">
      <c r="A59" s="26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6"/>
      <c r="CB59" s="439">
        <f>IF($CG$22&lt;=8,$BZ$61,IF($CG$22&gt;1,$BZ$69))</f>
        <v>0.35</v>
      </c>
      <c r="CC59" s="421">
        <f>-(($CG$5-0.1)*$CI$5)</f>
        <v>-0.1</v>
      </c>
    </row>
    <row r="60" spans="1:106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  <c r="O60" s="27"/>
      <c r="P60" s="27"/>
      <c r="Q60" s="27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BZ60" s="503" t="s">
        <v>130</v>
      </c>
      <c r="CB60" s="419"/>
      <c r="CC60" s="468"/>
      <c r="CD60" s="414"/>
      <c r="CE60" s="504">
        <v>2</v>
      </c>
      <c r="CF60" s="415">
        <v>3</v>
      </c>
      <c r="CG60" s="415">
        <v>4</v>
      </c>
      <c r="CH60" s="415">
        <v>5</v>
      </c>
      <c r="CI60" s="415">
        <v>6</v>
      </c>
      <c r="CJ60" s="415">
        <v>7</v>
      </c>
      <c r="CK60" s="415">
        <v>8</v>
      </c>
      <c r="CL60" s="415">
        <v>9</v>
      </c>
      <c r="CM60" s="415">
        <v>10</v>
      </c>
      <c r="CN60" s="415">
        <v>11</v>
      </c>
      <c r="CO60" s="415">
        <v>12</v>
      </c>
      <c r="CP60" s="415">
        <v>13</v>
      </c>
      <c r="CQ60" s="415">
        <v>14</v>
      </c>
      <c r="CR60" s="415">
        <v>15</v>
      </c>
      <c r="CS60" s="415">
        <v>16</v>
      </c>
      <c r="CT60" s="415">
        <v>17</v>
      </c>
      <c r="CU60" s="415">
        <v>18</v>
      </c>
      <c r="CV60" s="415">
        <v>19</v>
      </c>
      <c r="CW60" s="415">
        <v>20</v>
      </c>
      <c r="CX60" s="415">
        <v>21</v>
      </c>
      <c r="CY60" s="415">
        <v>22</v>
      </c>
      <c r="CZ60" s="415">
        <v>23</v>
      </c>
      <c r="DA60" s="415">
        <v>24</v>
      </c>
      <c r="DB60" s="416">
        <v>25</v>
      </c>
    </row>
    <row r="61" spans="1:106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7"/>
      <c r="O61" s="27"/>
      <c r="P61" s="27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BZ61" s="505">
        <f>VLOOKUP(1,$CD$61:$DB$84,$CH$22,TRUE)</f>
        <v>0.35</v>
      </c>
      <c r="CB61" s="439">
        <f>IF($CG$22&lt;=9,$BZ$61,IF($CG$22&gt;1,$BZ$70))</f>
        <v>0.35</v>
      </c>
      <c r="CC61" s="421">
        <f>-(($CG$5-0.1)*$CI$5)</f>
        <v>-0.1</v>
      </c>
      <c r="CD61" s="419">
        <v>1</v>
      </c>
      <c r="CE61" s="244">
        <f aca="true" t="shared" si="2" ref="CE61:DB61">(($CA$17)*$CI$5)</f>
        <v>0.35</v>
      </c>
      <c r="CF61" s="244">
        <f t="shared" si="2"/>
        <v>0.35</v>
      </c>
      <c r="CG61" s="244">
        <f t="shared" si="2"/>
        <v>0.35</v>
      </c>
      <c r="CH61" s="244">
        <f t="shared" si="2"/>
        <v>0.35</v>
      </c>
      <c r="CI61" s="244">
        <f t="shared" si="2"/>
        <v>0.35</v>
      </c>
      <c r="CJ61" s="244">
        <f t="shared" si="2"/>
        <v>0.35</v>
      </c>
      <c r="CK61" s="244">
        <f t="shared" si="2"/>
        <v>0.35</v>
      </c>
      <c r="CL61" s="244">
        <f t="shared" si="2"/>
        <v>0.35</v>
      </c>
      <c r="CM61" s="244">
        <f t="shared" si="2"/>
        <v>0.35</v>
      </c>
      <c r="CN61" s="244">
        <f t="shared" si="2"/>
        <v>0.35</v>
      </c>
      <c r="CO61" s="244">
        <f t="shared" si="2"/>
        <v>0.35</v>
      </c>
      <c r="CP61" s="244">
        <f t="shared" si="2"/>
        <v>0.35</v>
      </c>
      <c r="CQ61" s="244">
        <f t="shared" si="2"/>
        <v>0.35</v>
      </c>
      <c r="CR61" s="244">
        <f t="shared" si="2"/>
        <v>0.35</v>
      </c>
      <c r="CS61" s="244">
        <f t="shared" si="2"/>
        <v>0.35</v>
      </c>
      <c r="CT61" s="244">
        <f t="shared" si="2"/>
        <v>0.35</v>
      </c>
      <c r="CU61" s="244">
        <f t="shared" si="2"/>
        <v>0.35</v>
      </c>
      <c r="CV61" s="244">
        <f t="shared" si="2"/>
        <v>0.35</v>
      </c>
      <c r="CW61" s="244">
        <f t="shared" si="2"/>
        <v>0.35</v>
      </c>
      <c r="CX61" s="244">
        <f t="shared" si="2"/>
        <v>0.35</v>
      </c>
      <c r="CY61" s="244">
        <f t="shared" si="2"/>
        <v>0.35</v>
      </c>
      <c r="CZ61" s="244">
        <f t="shared" si="2"/>
        <v>0.35</v>
      </c>
      <c r="DA61" s="244">
        <f t="shared" si="2"/>
        <v>0.35</v>
      </c>
      <c r="DB61" s="421">
        <f t="shared" si="2"/>
        <v>0.35</v>
      </c>
    </row>
    <row r="62" spans="78:106" ht="15.75" customHeight="1">
      <c r="BZ62" s="505">
        <f>VLOOKUP(2,$CD$61:$DB$84,$CH$22,TRUE)</f>
        <v>-0.2625</v>
      </c>
      <c r="CB62" s="419"/>
      <c r="CC62" s="468"/>
      <c r="CD62" s="419">
        <v>2</v>
      </c>
      <c r="CE62" s="323"/>
      <c r="CF62" s="244">
        <f>$CA$17-$CA$17</f>
        <v>0</v>
      </c>
      <c r="CG62" s="434">
        <f>-($CA$17-(($CA$17*2)/CG22))*CI5</f>
        <v>-0.2625</v>
      </c>
      <c r="CH62" s="434">
        <f>-($CA$17-(($CA$17*2)/CG22))*CI5</f>
        <v>-0.2625</v>
      </c>
      <c r="CI62" s="434">
        <f>-($CA$17-(($CA$17*2)/CG22))*CI5</f>
        <v>-0.2625</v>
      </c>
      <c r="CJ62" s="434">
        <f>-($CA$17-(($CA$17*2)/CG22))*CI5</f>
        <v>-0.2625</v>
      </c>
      <c r="CK62" s="488">
        <f aca="true" t="shared" si="3" ref="CK62:DB62">-($CA$17-(($CA$17*2)/$CG$22))*$CI$5</f>
        <v>-0.2625</v>
      </c>
      <c r="CL62" s="488">
        <f t="shared" si="3"/>
        <v>-0.2625</v>
      </c>
      <c r="CM62" s="488">
        <f t="shared" si="3"/>
        <v>-0.2625</v>
      </c>
      <c r="CN62" s="488">
        <f t="shared" si="3"/>
        <v>-0.2625</v>
      </c>
      <c r="CO62" s="488">
        <f t="shared" si="3"/>
        <v>-0.2625</v>
      </c>
      <c r="CP62" s="488">
        <f t="shared" si="3"/>
        <v>-0.2625</v>
      </c>
      <c r="CQ62" s="488">
        <f t="shared" si="3"/>
        <v>-0.2625</v>
      </c>
      <c r="CR62" s="488">
        <f t="shared" si="3"/>
        <v>-0.2625</v>
      </c>
      <c r="CS62" s="488">
        <f t="shared" si="3"/>
        <v>-0.2625</v>
      </c>
      <c r="CT62" s="488">
        <f t="shared" si="3"/>
        <v>-0.2625</v>
      </c>
      <c r="CU62" s="488">
        <f t="shared" si="3"/>
        <v>-0.2625</v>
      </c>
      <c r="CV62" s="488">
        <f t="shared" si="3"/>
        <v>-0.2625</v>
      </c>
      <c r="CW62" s="488">
        <f t="shared" si="3"/>
        <v>-0.2625</v>
      </c>
      <c r="CX62" s="488">
        <f t="shared" si="3"/>
        <v>-0.2625</v>
      </c>
      <c r="CY62" s="488">
        <f t="shared" si="3"/>
        <v>-0.2625</v>
      </c>
      <c r="CZ62" s="488">
        <f t="shared" si="3"/>
        <v>-0.2625</v>
      </c>
      <c r="DA62" s="488">
        <f t="shared" si="3"/>
        <v>-0.2625</v>
      </c>
      <c r="DB62" s="506">
        <f t="shared" si="3"/>
        <v>-0.2625</v>
      </c>
    </row>
    <row r="63" spans="8:106" ht="15.75" customHeight="1"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BZ63" s="505">
        <f>VLOOKUP(3,$CD$61:$DB$84,$CH$22,TRUE)</f>
        <v>-0.175</v>
      </c>
      <c r="CB63" s="439">
        <f>IF($CG$22&lt;=10,$BZ$61,IF($CG$22&gt;1,$BZ$71))</f>
        <v>0.35</v>
      </c>
      <c r="CC63" s="421">
        <f>-(($CG$5-0.1)*$CI$5)</f>
        <v>-0.1</v>
      </c>
      <c r="CD63" s="419">
        <v>3</v>
      </c>
      <c r="CE63" s="323"/>
      <c r="CF63" s="323"/>
      <c r="CG63" s="434">
        <f>($CA$17-(($CA$17*2)/CG22))*CI5</f>
        <v>0.2625</v>
      </c>
      <c r="CH63" s="434">
        <f>$CA$17-$CA$17</f>
        <v>0</v>
      </c>
      <c r="CI63" s="434">
        <f>-($CA$17-(($CA$17*2)/CG22)*2)*CI5</f>
        <v>-0.175</v>
      </c>
      <c r="CJ63" s="434">
        <f>-($CA$17-(($CA$17*2)/CG22)*2)*CI5</f>
        <v>-0.175</v>
      </c>
      <c r="CK63" s="488">
        <f aca="true" t="shared" si="4" ref="CK63:DB63">-($CA$17-(($CA$17*2)/$CG$22)*2)*$CI$5</f>
        <v>-0.175</v>
      </c>
      <c r="CL63" s="488">
        <f t="shared" si="4"/>
        <v>-0.175</v>
      </c>
      <c r="CM63" s="488">
        <f t="shared" si="4"/>
        <v>-0.175</v>
      </c>
      <c r="CN63" s="488">
        <f t="shared" si="4"/>
        <v>-0.175</v>
      </c>
      <c r="CO63" s="488">
        <f t="shared" si="4"/>
        <v>-0.175</v>
      </c>
      <c r="CP63" s="488">
        <f t="shared" si="4"/>
        <v>-0.175</v>
      </c>
      <c r="CQ63" s="488">
        <f t="shared" si="4"/>
        <v>-0.175</v>
      </c>
      <c r="CR63" s="488">
        <f t="shared" si="4"/>
        <v>-0.175</v>
      </c>
      <c r="CS63" s="488">
        <f t="shared" si="4"/>
        <v>-0.175</v>
      </c>
      <c r="CT63" s="488">
        <f t="shared" si="4"/>
        <v>-0.175</v>
      </c>
      <c r="CU63" s="488">
        <f t="shared" si="4"/>
        <v>-0.175</v>
      </c>
      <c r="CV63" s="488">
        <f t="shared" si="4"/>
        <v>-0.175</v>
      </c>
      <c r="CW63" s="488">
        <f t="shared" si="4"/>
        <v>-0.175</v>
      </c>
      <c r="CX63" s="488">
        <f t="shared" si="4"/>
        <v>-0.175</v>
      </c>
      <c r="CY63" s="488">
        <f t="shared" si="4"/>
        <v>-0.175</v>
      </c>
      <c r="CZ63" s="488">
        <f t="shared" si="4"/>
        <v>-0.175</v>
      </c>
      <c r="DA63" s="488">
        <f t="shared" si="4"/>
        <v>-0.175</v>
      </c>
      <c r="DB63" s="506">
        <f t="shared" si="4"/>
        <v>-0.175</v>
      </c>
    </row>
    <row r="64" spans="78:106" ht="15.75" customHeight="1">
      <c r="BZ64" s="505">
        <f>VLOOKUP(4,$CD$61:$DB$84,$CH$22,TRUE)</f>
        <v>-0.0875</v>
      </c>
      <c r="CA64" s="460"/>
      <c r="CB64" s="419"/>
      <c r="CC64" s="468"/>
      <c r="CD64" s="419">
        <v>4</v>
      </c>
      <c r="CE64" s="323"/>
      <c r="CF64" s="323"/>
      <c r="CG64" s="473"/>
      <c r="CH64" s="434">
        <f>($CA$17-(($CA$17*2)/CG22))*CI5</f>
        <v>0.2625</v>
      </c>
      <c r="CI64" s="434">
        <f>($CA$17-(($CA$17*2)/CG22)*2)*CI5</f>
        <v>0.175</v>
      </c>
      <c r="CJ64" s="434">
        <f>$CA$17-$CA$17</f>
        <v>0</v>
      </c>
      <c r="CK64" s="488">
        <f aca="true" t="shared" si="5" ref="CK64:DB64">-($CA$17-(($CA$17*2)/$CG$22)*3)*$CI$5</f>
        <v>-0.0875</v>
      </c>
      <c r="CL64" s="488">
        <f t="shared" si="5"/>
        <v>-0.0875</v>
      </c>
      <c r="CM64" s="488">
        <f t="shared" si="5"/>
        <v>-0.0875</v>
      </c>
      <c r="CN64" s="488">
        <f t="shared" si="5"/>
        <v>-0.0875</v>
      </c>
      <c r="CO64" s="488">
        <f t="shared" si="5"/>
        <v>-0.0875</v>
      </c>
      <c r="CP64" s="488">
        <f t="shared" si="5"/>
        <v>-0.0875</v>
      </c>
      <c r="CQ64" s="488">
        <f t="shared" si="5"/>
        <v>-0.0875</v>
      </c>
      <c r="CR64" s="488">
        <f t="shared" si="5"/>
        <v>-0.0875</v>
      </c>
      <c r="CS64" s="488">
        <f t="shared" si="5"/>
        <v>-0.0875</v>
      </c>
      <c r="CT64" s="488">
        <f t="shared" si="5"/>
        <v>-0.0875</v>
      </c>
      <c r="CU64" s="488">
        <f t="shared" si="5"/>
        <v>-0.0875</v>
      </c>
      <c r="CV64" s="488">
        <f t="shared" si="5"/>
        <v>-0.0875</v>
      </c>
      <c r="CW64" s="488">
        <f t="shared" si="5"/>
        <v>-0.0875</v>
      </c>
      <c r="CX64" s="488">
        <f t="shared" si="5"/>
        <v>-0.0875</v>
      </c>
      <c r="CY64" s="488">
        <f t="shared" si="5"/>
        <v>-0.0875</v>
      </c>
      <c r="CZ64" s="488">
        <f t="shared" si="5"/>
        <v>-0.0875</v>
      </c>
      <c r="DA64" s="488">
        <f t="shared" si="5"/>
        <v>-0.0875</v>
      </c>
      <c r="DB64" s="506">
        <f t="shared" si="5"/>
        <v>-0.0875</v>
      </c>
    </row>
    <row r="65" spans="78:106" ht="15.75" customHeight="1">
      <c r="BZ65" s="505">
        <f>VLOOKUP(5,$CD$61:$DB$84,$CH$22,TRUE)</f>
        <v>0</v>
      </c>
      <c r="CA65" s="460"/>
      <c r="CB65" s="439">
        <f>IF($CG$22&lt;=11,$BZ$61,IF($CG$22&gt;1,$BZ$72))</f>
        <v>0.35</v>
      </c>
      <c r="CC65" s="421">
        <f>-(($CG$5-0.1)*$CI$5)</f>
        <v>-0.1</v>
      </c>
      <c r="CD65" s="419">
        <v>5</v>
      </c>
      <c r="CE65" s="323"/>
      <c r="CF65" s="323"/>
      <c r="CG65" s="473"/>
      <c r="CH65" s="473"/>
      <c r="CI65" s="434">
        <f>($CA$17-(($CA$17*2)/CG22))*CI5</f>
        <v>0.2625</v>
      </c>
      <c r="CJ65" s="434">
        <f>($CA$17-(($CA$17*2)/CG22)*2)*CI5</f>
        <v>0.175</v>
      </c>
      <c r="CK65" s="488">
        <f>($CA$17-(($CA$17*2)/$CG$22)*3)*$CI$5</f>
        <v>0.0875</v>
      </c>
      <c r="CL65" s="434">
        <f>$CA$17-$CA$17</f>
        <v>0</v>
      </c>
      <c r="CM65" s="488">
        <f aca="true" t="shared" si="6" ref="CM65:DB65">-($CA$17-(($CA$17*2)/$CG$22)*4)*$CI$5</f>
        <v>0</v>
      </c>
      <c r="CN65" s="488">
        <f t="shared" si="6"/>
        <v>0</v>
      </c>
      <c r="CO65" s="488">
        <f t="shared" si="6"/>
        <v>0</v>
      </c>
      <c r="CP65" s="488">
        <f t="shared" si="6"/>
        <v>0</v>
      </c>
      <c r="CQ65" s="488">
        <f t="shared" si="6"/>
        <v>0</v>
      </c>
      <c r="CR65" s="488">
        <f t="shared" si="6"/>
        <v>0</v>
      </c>
      <c r="CS65" s="488">
        <f t="shared" si="6"/>
        <v>0</v>
      </c>
      <c r="CT65" s="488">
        <f t="shared" si="6"/>
        <v>0</v>
      </c>
      <c r="CU65" s="488">
        <f t="shared" si="6"/>
        <v>0</v>
      </c>
      <c r="CV65" s="488">
        <f t="shared" si="6"/>
        <v>0</v>
      </c>
      <c r="CW65" s="488">
        <f t="shared" si="6"/>
        <v>0</v>
      </c>
      <c r="CX65" s="488">
        <f t="shared" si="6"/>
        <v>0</v>
      </c>
      <c r="CY65" s="488">
        <f t="shared" si="6"/>
        <v>0</v>
      </c>
      <c r="CZ65" s="488">
        <f t="shared" si="6"/>
        <v>0</v>
      </c>
      <c r="DA65" s="488">
        <f t="shared" si="6"/>
        <v>0</v>
      </c>
      <c r="DB65" s="506">
        <f t="shared" si="6"/>
        <v>0</v>
      </c>
    </row>
    <row r="66" spans="78:106" ht="15.75" customHeight="1">
      <c r="BZ66" s="505">
        <f>VLOOKUP(6,$CD$61:$DB$84,$CH$22,TRUE)</f>
        <v>0.0875</v>
      </c>
      <c r="CA66" s="460"/>
      <c r="CB66" s="419"/>
      <c r="CC66" s="468"/>
      <c r="CD66" s="419">
        <v>6</v>
      </c>
      <c r="CE66" s="323"/>
      <c r="CF66" s="323"/>
      <c r="CG66" s="473"/>
      <c r="CH66" s="473"/>
      <c r="CI66" s="473"/>
      <c r="CJ66" s="434">
        <f>($CA$17-(($CA$17*2)/CG22))*CI5</f>
        <v>0.2625</v>
      </c>
      <c r="CK66" s="488">
        <f>($CA$17-(($CA$17*2)/$CG$22)*2)*$CI$5</f>
        <v>0.175</v>
      </c>
      <c r="CL66" s="488">
        <f>($CA$17-(($CA$17*2)/$CG$22)*3)*$CI$5</f>
        <v>0.0875</v>
      </c>
      <c r="CM66" s="488">
        <f>($CA$17-(($CA$17*2)/$CG$22)*4)*$CI$5</f>
        <v>0</v>
      </c>
      <c r="CN66" s="434">
        <f>$CA$17-$CA$17</f>
        <v>0</v>
      </c>
      <c r="CO66" s="488">
        <f aca="true" t="shared" si="7" ref="CO66:DB66">-($CA$17-(($CA$17*2)/$CG$22)*5)*$CI$5</f>
        <v>0.0875</v>
      </c>
      <c r="CP66" s="488">
        <f t="shared" si="7"/>
        <v>0.0875</v>
      </c>
      <c r="CQ66" s="488">
        <f t="shared" si="7"/>
        <v>0.0875</v>
      </c>
      <c r="CR66" s="488">
        <f t="shared" si="7"/>
        <v>0.0875</v>
      </c>
      <c r="CS66" s="488">
        <f t="shared" si="7"/>
        <v>0.0875</v>
      </c>
      <c r="CT66" s="488">
        <f t="shared" si="7"/>
        <v>0.0875</v>
      </c>
      <c r="CU66" s="488">
        <f t="shared" si="7"/>
        <v>0.0875</v>
      </c>
      <c r="CV66" s="488">
        <f t="shared" si="7"/>
        <v>0.0875</v>
      </c>
      <c r="CW66" s="488">
        <f t="shared" si="7"/>
        <v>0.0875</v>
      </c>
      <c r="CX66" s="488">
        <f t="shared" si="7"/>
        <v>0.0875</v>
      </c>
      <c r="CY66" s="488">
        <f t="shared" si="7"/>
        <v>0.0875</v>
      </c>
      <c r="CZ66" s="488">
        <f t="shared" si="7"/>
        <v>0.0875</v>
      </c>
      <c r="DA66" s="488">
        <f t="shared" si="7"/>
        <v>0.0875</v>
      </c>
      <c r="DB66" s="506">
        <f t="shared" si="7"/>
        <v>0.0875</v>
      </c>
    </row>
    <row r="67" spans="78:106" ht="15.75" customHeight="1">
      <c r="BZ67" s="505">
        <f>VLOOKUP(7,$CD$61:$DB$84,$CH$22,TRUE)</f>
        <v>0.175</v>
      </c>
      <c r="CA67" s="460"/>
      <c r="CB67" s="439">
        <f>IF($CG$22&lt;=12,$BZ$61,IF($CG$22&gt;1,$BZ$73))</f>
        <v>0.35</v>
      </c>
      <c r="CC67" s="421">
        <f>-(($CG$5-0.1)*$CI$5)</f>
        <v>-0.1</v>
      </c>
      <c r="CD67" s="419">
        <v>7</v>
      </c>
      <c r="CE67" s="323"/>
      <c r="CF67" s="323"/>
      <c r="CG67" s="323"/>
      <c r="CH67" s="323"/>
      <c r="CI67" s="323"/>
      <c r="CJ67" s="323"/>
      <c r="CK67" s="488">
        <f>($CA$17-(($CA$17*2)/$CG$22))*$CI$5</f>
        <v>0.2625</v>
      </c>
      <c r="CL67" s="488">
        <f>($CA$17-(($CA$17*2)/$CG$22)*2)*$CI$5</f>
        <v>0.175</v>
      </c>
      <c r="CM67" s="488">
        <f>($CA$17-(($CA$17*2)/$CG$22)*3)*$CI$5</f>
        <v>0.0875</v>
      </c>
      <c r="CN67" s="488">
        <f>($CA$17-(($CA$17*2)/$CG$22)*4)*$CI$5</f>
        <v>0</v>
      </c>
      <c r="CO67" s="488">
        <f>($CA$17-(($CA$17*2)/$CG$22)*5)*$CI$5</f>
        <v>-0.0875</v>
      </c>
      <c r="CP67" s="434">
        <f>$CA$17-$CA$17</f>
        <v>0</v>
      </c>
      <c r="CQ67" s="488">
        <f aca="true" t="shared" si="8" ref="CQ67:DB67">-($CA$17-(($CA$17*2)/$CG$22)*6)*$CI$5</f>
        <v>0.175</v>
      </c>
      <c r="CR67" s="488">
        <f t="shared" si="8"/>
        <v>0.175</v>
      </c>
      <c r="CS67" s="488">
        <f t="shared" si="8"/>
        <v>0.175</v>
      </c>
      <c r="CT67" s="488">
        <f t="shared" si="8"/>
        <v>0.175</v>
      </c>
      <c r="CU67" s="488">
        <f t="shared" si="8"/>
        <v>0.175</v>
      </c>
      <c r="CV67" s="488">
        <f t="shared" si="8"/>
        <v>0.175</v>
      </c>
      <c r="CW67" s="488">
        <f t="shared" si="8"/>
        <v>0.175</v>
      </c>
      <c r="CX67" s="488">
        <f t="shared" si="8"/>
        <v>0.175</v>
      </c>
      <c r="CY67" s="488">
        <f t="shared" si="8"/>
        <v>0.175</v>
      </c>
      <c r="CZ67" s="488">
        <f t="shared" si="8"/>
        <v>0.175</v>
      </c>
      <c r="DA67" s="488">
        <f t="shared" si="8"/>
        <v>0.175</v>
      </c>
      <c r="DB67" s="506">
        <f t="shared" si="8"/>
        <v>0.175</v>
      </c>
    </row>
    <row r="68" spans="78:106" ht="15.75" customHeight="1">
      <c r="BZ68" s="505">
        <f>VLOOKUP(8,$CD$61:$DB$84,$CH$22,TRUE)</f>
        <v>0.2625</v>
      </c>
      <c r="CB68" s="419"/>
      <c r="CC68" s="468"/>
      <c r="CD68" s="419">
        <v>8</v>
      </c>
      <c r="CE68" s="323"/>
      <c r="CF68" s="323"/>
      <c r="CG68" s="323"/>
      <c r="CH68" s="323"/>
      <c r="CI68" s="323"/>
      <c r="CJ68" s="323"/>
      <c r="CK68" s="323"/>
      <c r="CL68" s="488">
        <f>($CA$17-(($CA$17*2)/$CG$22))*$CI$5</f>
        <v>0.2625</v>
      </c>
      <c r="CM68" s="488">
        <f>($CA$17-(($CA$17*2)/$CG$22)*2)*$CI$5</f>
        <v>0.175</v>
      </c>
      <c r="CN68" s="488">
        <f>($CA$17-(($CA$17*2)/$CG$22)*3)*$CI$5</f>
        <v>0.0875</v>
      </c>
      <c r="CO68" s="488">
        <f>($CA$17-(($CA$17*2)/$CG$22)*4)*$CI$5</f>
        <v>0</v>
      </c>
      <c r="CP68" s="488">
        <f>($CA$17-(($CA$17*2)/$CG$22)*5)*$CI$5</f>
        <v>-0.0875</v>
      </c>
      <c r="CQ68" s="488">
        <f>($CA$17-(($CA$17*2)/$CG$22)*6)*$CI$5</f>
        <v>-0.175</v>
      </c>
      <c r="CR68" s="434">
        <f>$CA$17-$CA$17</f>
        <v>0</v>
      </c>
      <c r="CS68" s="488">
        <f aca="true" t="shared" si="9" ref="CS68:DB68">-($CA$17-(($CA$17*2)/$CG$22)*7)*$CI$5</f>
        <v>0.2625</v>
      </c>
      <c r="CT68" s="488">
        <f t="shared" si="9"/>
        <v>0.2625</v>
      </c>
      <c r="CU68" s="488">
        <f t="shared" si="9"/>
        <v>0.2625</v>
      </c>
      <c r="CV68" s="488">
        <f t="shared" si="9"/>
        <v>0.2625</v>
      </c>
      <c r="CW68" s="488">
        <f t="shared" si="9"/>
        <v>0.2625</v>
      </c>
      <c r="CX68" s="488">
        <f t="shared" si="9"/>
        <v>0.2625</v>
      </c>
      <c r="CY68" s="488">
        <f t="shared" si="9"/>
        <v>0.2625</v>
      </c>
      <c r="CZ68" s="488">
        <f t="shared" si="9"/>
        <v>0.2625</v>
      </c>
      <c r="DA68" s="488">
        <f t="shared" si="9"/>
        <v>0.2625</v>
      </c>
      <c r="DB68" s="506">
        <f t="shared" si="9"/>
        <v>0.2625</v>
      </c>
    </row>
    <row r="69" spans="78:106" ht="15.75" customHeight="1">
      <c r="BZ69" s="505">
        <f>VLOOKUP(9,$CD$61:$DB$84,$CH$22,TRUE)</f>
        <v>0</v>
      </c>
      <c r="CB69" s="439">
        <f>IF($CG$22&lt;=13,$BZ$61,IF($CG$22&gt;1,$BZ$74))</f>
        <v>0.35</v>
      </c>
      <c r="CC69" s="421">
        <f>-(($CG$5-0.1)*$CI$5)</f>
        <v>-0.1</v>
      </c>
      <c r="CD69" s="419">
        <v>9</v>
      </c>
      <c r="CE69" s="323"/>
      <c r="CF69" s="323"/>
      <c r="CG69" s="323"/>
      <c r="CH69" s="323"/>
      <c r="CI69" s="323"/>
      <c r="CJ69" s="323"/>
      <c r="CK69" s="323"/>
      <c r="CL69" s="323"/>
      <c r="CM69" s="488">
        <f>($CA$17-(($CA$17*2)/$CG$22))*$CI$5</f>
        <v>0.2625</v>
      </c>
      <c r="CN69" s="488">
        <f>($CA$17-(($CA$17*2)/$CG$22)*2)*$CI$5</f>
        <v>0.175</v>
      </c>
      <c r="CO69" s="488">
        <f>($CA$17-(($CA$17*2)/$CG$22)*3)*$CI$5</f>
        <v>0.0875</v>
      </c>
      <c r="CP69" s="488">
        <f>($CA$17-(($CA$17*2)/$CG$22)*4)*$CI$5</f>
        <v>0</v>
      </c>
      <c r="CQ69" s="488">
        <f>($CA$17-(($CA$17*2)/$CG$22)*5)*$CI$5</f>
        <v>-0.0875</v>
      </c>
      <c r="CR69" s="488">
        <f>($CA$17-(($CA$17*2)/$CG$22)*6)*$CI$5</f>
        <v>-0.175</v>
      </c>
      <c r="CS69" s="488">
        <f>($CA$17-(($CA$17*2)/$CG$22)*7)*$CI$5</f>
        <v>-0.2625</v>
      </c>
      <c r="CT69" s="434">
        <f>$CA$17-$CA$17</f>
        <v>0</v>
      </c>
      <c r="CU69" s="488">
        <f aca="true" t="shared" si="10" ref="CU69:DB69">-($CA$17-(($CA$17*2)/$CG$22)*8)*$CI$5</f>
        <v>0.35</v>
      </c>
      <c r="CV69" s="488">
        <f t="shared" si="10"/>
        <v>0.35</v>
      </c>
      <c r="CW69" s="488">
        <f t="shared" si="10"/>
        <v>0.35</v>
      </c>
      <c r="CX69" s="488">
        <f t="shared" si="10"/>
        <v>0.35</v>
      </c>
      <c r="CY69" s="488">
        <f t="shared" si="10"/>
        <v>0.35</v>
      </c>
      <c r="CZ69" s="488">
        <f t="shared" si="10"/>
        <v>0.35</v>
      </c>
      <c r="DA69" s="488">
        <f t="shared" si="10"/>
        <v>0.35</v>
      </c>
      <c r="DB69" s="506">
        <f t="shared" si="10"/>
        <v>0.35</v>
      </c>
    </row>
    <row r="70" spans="78:106" ht="15.75" customHeight="1">
      <c r="BZ70" s="505">
        <f>VLOOKUP(10,$CD$61:$DB$84,$CH$22,TRUE)</f>
        <v>0</v>
      </c>
      <c r="CB70" s="419"/>
      <c r="CC70" s="468"/>
      <c r="CD70" s="419">
        <v>10</v>
      </c>
      <c r="CE70" s="323"/>
      <c r="CF70" s="323"/>
      <c r="CG70" s="323"/>
      <c r="CH70" s="323"/>
      <c r="CI70" s="323"/>
      <c r="CJ70" s="323"/>
      <c r="CK70" s="323"/>
      <c r="CL70" s="323"/>
      <c r="CM70" s="323"/>
      <c r="CN70" s="488">
        <f>($CA$17-(($CA$17*2)/$CG$22))*$CI$5</f>
        <v>0.2625</v>
      </c>
      <c r="CO70" s="488">
        <f>($CA$17-(($CA$17*2)/$CG$22)*2)*$CI$5</f>
        <v>0.175</v>
      </c>
      <c r="CP70" s="488">
        <f>($CA$17-(($CA$17*2)/$CG$22)*3)*$CI$5</f>
        <v>0.0875</v>
      </c>
      <c r="CQ70" s="488">
        <f>($CA$17-(($CA$17*2)/$CG$22)*4)*$CI$5</f>
        <v>0</v>
      </c>
      <c r="CR70" s="488">
        <f>($CA$17-(($CA$17*2)/$CG$22)*5)*$CI$5</f>
        <v>-0.0875</v>
      </c>
      <c r="CS70" s="488">
        <f>($CA$17-(($CA$17*2)/$CG$22)*6)*$CI$5</f>
        <v>-0.175</v>
      </c>
      <c r="CT70" s="488">
        <f>($CA$17-(($CA$17*2)/$CG$22)*7)*$CI$5</f>
        <v>-0.2625</v>
      </c>
      <c r="CU70" s="488">
        <f>($CA$17-(($CA$17*2)/$CG$22)*8)*$CI$5</f>
        <v>-0.35</v>
      </c>
      <c r="CV70" s="434">
        <f>$CA$17-$CA$17</f>
        <v>0</v>
      </c>
      <c r="CW70" s="488">
        <f aca="true" t="shared" si="11" ref="CW70:DB70">-($CA$17-(($CA$17*2)/$CG$22)*9)*$CI$5</f>
        <v>0.43750000000000006</v>
      </c>
      <c r="CX70" s="488">
        <f t="shared" si="11"/>
        <v>0.43750000000000006</v>
      </c>
      <c r="CY70" s="488">
        <f t="shared" si="11"/>
        <v>0.43750000000000006</v>
      </c>
      <c r="CZ70" s="488">
        <f t="shared" si="11"/>
        <v>0.43750000000000006</v>
      </c>
      <c r="DA70" s="488">
        <f t="shared" si="11"/>
        <v>0.43750000000000006</v>
      </c>
      <c r="DB70" s="506">
        <f t="shared" si="11"/>
        <v>0.43750000000000006</v>
      </c>
    </row>
    <row r="71" spans="78:106" ht="15.75" customHeight="1">
      <c r="BZ71" s="505">
        <f>VLOOKUP(11,$CD$61:$DB$84,$CH$22,TRUE)</f>
        <v>0</v>
      </c>
      <c r="CB71" s="439">
        <f>IF($CG$22&lt;=14,$BZ$61,IF($CG$22&gt;1,$BZ$75))</f>
        <v>0.35</v>
      </c>
      <c r="CC71" s="421">
        <f>-(($CG$5-0.1)*$CI$5)</f>
        <v>-0.1</v>
      </c>
      <c r="CD71" s="419">
        <v>11</v>
      </c>
      <c r="CE71" s="323"/>
      <c r="CF71" s="323"/>
      <c r="CG71" s="323"/>
      <c r="CH71" s="323"/>
      <c r="CI71" s="323"/>
      <c r="CJ71" s="323"/>
      <c r="CK71" s="323"/>
      <c r="CL71" s="323"/>
      <c r="CM71" s="323"/>
      <c r="CN71" s="323"/>
      <c r="CO71" s="488">
        <f>($CA$17-(($CA$17*2)/$CG$22))*$CI$5</f>
        <v>0.2625</v>
      </c>
      <c r="CP71" s="488">
        <f>($CA$17-(($CA$17*2)/$CG$22)*2)*$CI$5</f>
        <v>0.175</v>
      </c>
      <c r="CQ71" s="488">
        <f>($CA$17-(($CA$17*2)/$CG$22)*3)*$CI$5</f>
        <v>0.0875</v>
      </c>
      <c r="CR71" s="488">
        <f>($CA$17-(($CA$17*2)/$CG$22)*4)*$CI$5</f>
        <v>0</v>
      </c>
      <c r="CS71" s="488">
        <f>($CA$17-(($CA$17*2)/$CG$22)*5)*$CI$5</f>
        <v>-0.0875</v>
      </c>
      <c r="CT71" s="488">
        <f>($CA$17-(($CA$17*2)/$CG$22)*6)*$CI$5</f>
        <v>-0.175</v>
      </c>
      <c r="CU71" s="488">
        <f>($CA$17-(($CA$17*2)/$CG$22)*7)*$CI$5</f>
        <v>-0.2625</v>
      </c>
      <c r="CV71" s="488">
        <f>($CA$17-(($CA$17*2)/$CG$22)*8)*$CI$5</f>
        <v>-0.35</v>
      </c>
      <c r="CW71" s="488">
        <f>($CA$17-(($CA$17*2)/$CG$22)*9)*$CI$5</f>
        <v>-0.43750000000000006</v>
      </c>
      <c r="CX71" s="434">
        <f>$CA$17-$CA$17</f>
        <v>0</v>
      </c>
      <c r="CY71" s="488">
        <f>-($CA$17-(($CA$17*2)/$CG$22)*10)*$CI$5</f>
        <v>0.525</v>
      </c>
      <c r="CZ71" s="488">
        <f>-($CA$17-(($CA$17*2)/$CG$22)*10)*$CI$5</f>
        <v>0.525</v>
      </c>
      <c r="DA71" s="488">
        <f>-($CA$17-(($CA$17*2)/$CG$22)*10)*$CI$5</f>
        <v>0.525</v>
      </c>
      <c r="DB71" s="506">
        <f>-($CA$17-(($CA$17*2)/$CG$22)*10)*$CI$5</f>
        <v>0.525</v>
      </c>
    </row>
    <row r="72" spans="78:106" ht="15.75" customHeight="1">
      <c r="BZ72" s="505">
        <f>VLOOKUP(12,$CD$61:$DB$84,$CH$22,TRUE)</f>
        <v>0</v>
      </c>
      <c r="CB72" s="419"/>
      <c r="CC72" s="468"/>
      <c r="CD72" s="419">
        <v>12</v>
      </c>
      <c r="CE72" s="323"/>
      <c r="CF72" s="323"/>
      <c r="CG72" s="323"/>
      <c r="CH72" s="323"/>
      <c r="CI72" s="323"/>
      <c r="CJ72" s="323"/>
      <c r="CK72" s="323"/>
      <c r="CL72" s="323"/>
      <c r="CM72" s="323"/>
      <c r="CN72" s="323"/>
      <c r="CO72" s="323"/>
      <c r="CP72" s="488">
        <f>($CA$17-(($CA$17*2)/$CG$22))*$CI$5</f>
        <v>0.2625</v>
      </c>
      <c r="CQ72" s="488">
        <f>($CA$17-(($CA$17*2)/$CG$22)*2)*$CI$5</f>
        <v>0.175</v>
      </c>
      <c r="CR72" s="488">
        <f>($CA$17-(($CA$17*2)/$CG$22)*3)*$CI$5</f>
        <v>0.0875</v>
      </c>
      <c r="CS72" s="488">
        <f>($CA$17-(($CA$17*2)/$CG$22)*4)*$CI$5</f>
        <v>0</v>
      </c>
      <c r="CT72" s="488">
        <f>($CA$17-(($CA$17*2)/$CG$22)*5)*$CI$5</f>
        <v>-0.0875</v>
      </c>
      <c r="CU72" s="488">
        <f>($CA$17-(($CA$17*2)/$CG$22)*6)*$CI$5</f>
        <v>-0.175</v>
      </c>
      <c r="CV72" s="488">
        <f>($CA$17-(($CA$17*2)/$CG$22)*7)*$CI$5</f>
        <v>-0.2625</v>
      </c>
      <c r="CW72" s="488">
        <f>($CA$17-(($CA$17*2)/$CG$22)*8)*$CI$5</f>
        <v>-0.35</v>
      </c>
      <c r="CX72" s="488">
        <f>($CA$17-(($CA$17*2)/$CG$22)*9)*$CI$5</f>
        <v>-0.43750000000000006</v>
      </c>
      <c r="CY72" s="488">
        <f>($CA$17-(($CA$17*2)/$CG$22)*10)*$CI$5</f>
        <v>-0.525</v>
      </c>
      <c r="CZ72" s="434">
        <f>$CA$17-$CA$17</f>
        <v>0</v>
      </c>
      <c r="DA72" s="488">
        <f>-($CA$17-(($CA$17*2)/$CG$22)*11)*$CI$5</f>
        <v>0.6124999999999999</v>
      </c>
      <c r="DB72" s="506">
        <f>-($CA$17-(($CA$17*2)/$CG$22)*11)*$CI$5</f>
        <v>0.6124999999999999</v>
      </c>
    </row>
    <row r="73" spans="78:106" ht="15.75" customHeight="1">
      <c r="BZ73" s="505">
        <f>VLOOKUP(13,$CD$61:$DB$84,$CH$22,TRUE)</f>
        <v>0</v>
      </c>
      <c r="CB73" s="439">
        <f>IF($CG$22&lt;=15,$BZ$61,IF($CG$22&gt;1,$BZ$76))</f>
        <v>0.35</v>
      </c>
      <c r="CC73" s="421">
        <f>-(($CG$5-0.1)*$CI$5)</f>
        <v>-0.1</v>
      </c>
      <c r="CD73" s="419">
        <v>13</v>
      </c>
      <c r="CE73" s="323"/>
      <c r="CF73" s="323"/>
      <c r="CG73" s="323"/>
      <c r="CH73" s="323"/>
      <c r="CI73" s="323"/>
      <c r="CJ73" s="323"/>
      <c r="CK73" s="323"/>
      <c r="CL73" s="323"/>
      <c r="CM73" s="323"/>
      <c r="CN73" s="323"/>
      <c r="CO73" s="323"/>
      <c r="CP73" s="323"/>
      <c r="CQ73" s="488">
        <f>($CA$17-(($CA$17*2)/$CG$22))*$CI$5</f>
        <v>0.2625</v>
      </c>
      <c r="CR73" s="488">
        <f>($CA$17-(($CA$17*2)/$CG$22)*2)*$CI$5</f>
        <v>0.175</v>
      </c>
      <c r="CS73" s="488">
        <f>($CA$17-(($CA$17*2)/$CG$22)*3)*$CI$5</f>
        <v>0.0875</v>
      </c>
      <c r="CT73" s="488">
        <f>($CA$17-(($CA$17*2)/$CG$22)*4)*$CI$5</f>
        <v>0</v>
      </c>
      <c r="CU73" s="488">
        <f>($CA$17-(($CA$17*2)/$CG$22)*5)*$CI$5</f>
        <v>-0.0875</v>
      </c>
      <c r="CV73" s="488">
        <f>($CA$17-(($CA$17*2)/$CG$22)*6)*$CI$5</f>
        <v>-0.175</v>
      </c>
      <c r="CW73" s="488">
        <f>($CA$17-(($CA$17*2)/$CG$22)*7)*$CI$5</f>
        <v>-0.2625</v>
      </c>
      <c r="CX73" s="488">
        <f>($CA$17-(($CA$17*2)/$CG$22)*8)*$CI$5</f>
        <v>-0.35</v>
      </c>
      <c r="CY73" s="488">
        <f>($CA$17-(($CA$17*2)/$CG$22)*9)*$CI$5</f>
        <v>-0.43750000000000006</v>
      </c>
      <c r="CZ73" s="488">
        <f>($CA$17-(($CA$17*2)/$CG$22)*10)*$CI$5</f>
        <v>-0.525</v>
      </c>
      <c r="DA73" s="488">
        <f>($CA$17-(($CA$17*2)/$CG$22)*11)*$CI$5</f>
        <v>-0.6124999999999999</v>
      </c>
      <c r="DB73" s="462">
        <f>$CA$17-$CA$17</f>
        <v>0</v>
      </c>
    </row>
    <row r="74" spans="78:106" ht="15.75" customHeight="1">
      <c r="BZ74" s="505">
        <f>VLOOKUP(14,$CD$61:$DB$84,$CH$22,TRUE)</f>
        <v>0</v>
      </c>
      <c r="CB74" s="419"/>
      <c r="CC74" s="468"/>
      <c r="CD74" s="419">
        <v>14</v>
      </c>
      <c r="CE74" s="323"/>
      <c r="CF74" s="323"/>
      <c r="CG74" s="323"/>
      <c r="CH74" s="323"/>
      <c r="CI74" s="323"/>
      <c r="CJ74" s="323"/>
      <c r="CK74" s="323"/>
      <c r="CL74" s="323"/>
      <c r="CM74" s="323"/>
      <c r="CN74" s="323"/>
      <c r="CO74" s="323"/>
      <c r="CP74" s="323"/>
      <c r="CQ74" s="323"/>
      <c r="CR74" s="488">
        <f>($CA$17-(($CA$17*2)/$CG$22))*$CI$5</f>
        <v>0.2625</v>
      </c>
      <c r="CS74" s="488">
        <f>($CA$17-(($CA$17*2)/$CG$22)*2)*$CI$5</f>
        <v>0.175</v>
      </c>
      <c r="CT74" s="488">
        <f>($CA$17-(($CA$17*2)/$CG$22)*3)*$CI$5</f>
        <v>0.0875</v>
      </c>
      <c r="CU74" s="488">
        <f>($CA$17-(($CA$17*2)/$CG$22)*4)*$CI$5</f>
        <v>0</v>
      </c>
      <c r="CV74" s="488">
        <f>($CA$17-(($CA$17*2)/$CG$22)*5)*$CI$5</f>
        <v>-0.0875</v>
      </c>
      <c r="CW74" s="488">
        <f>($CA$17-(($CA$17*2)/$CG$22)*6)*$CI$5</f>
        <v>-0.175</v>
      </c>
      <c r="CX74" s="488">
        <f>($CA$17-(($CA$17*2)/$CG$22)*7)*$CI$5</f>
        <v>-0.2625</v>
      </c>
      <c r="CY74" s="488">
        <f>($CA$17-(($CA$17*2)/$CG$22)*8)*$CI$5</f>
        <v>-0.35</v>
      </c>
      <c r="CZ74" s="488">
        <f>($CA$17-(($CA$17*2)/$CG$22)*9)*$CI$5</f>
        <v>-0.43750000000000006</v>
      </c>
      <c r="DA74" s="488">
        <f>($CA$17-(($CA$17*2)/$CG$22)*10)*$CI$5</f>
        <v>-0.525</v>
      </c>
      <c r="DB74" s="506">
        <f>($CA$17-(($CA$17*2)/$CG$22)*11)*$CI$5</f>
        <v>-0.6124999999999999</v>
      </c>
    </row>
    <row r="75" spans="78:106" ht="15.75" customHeight="1">
      <c r="BZ75" s="505">
        <f>VLOOKUP(15,$CD$61:$DB$84,$CH$22,TRUE)</f>
        <v>0</v>
      </c>
      <c r="CB75" s="439">
        <f>IF($CG$22&lt;=16,$BZ$61,IF($CG$22&gt;1,$BZ$77))</f>
        <v>0.35</v>
      </c>
      <c r="CC75" s="421">
        <f>-(($CG$5-0.1)*$CI$5)</f>
        <v>-0.1</v>
      </c>
      <c r="CD75" s="419">
        <v>15</v>
      </c>
      <c r="CE75" s="323"/>
      <c r="CF75" s="323"/>
      <c r="CG75" s="323"/>
      <c r="CH75" s="323"/>
      <c r="CI75" s="323"/>
      <c r="CJ75" s="323"/>
      <c r="CK75" s="323"/>
      <c r="CL75" s="323"/>
      <c r="CM75" s="323"/>
      <c r="CN75" s="323"/>
      <c r="CO75" s="323"/>
      <c r="CP75" s="323"/>
      <c r="CQ75" s="323"/>
      <c r="CR75" s="323"/>
      <c r="CS75" s="488">
        <f>($CA$17-(($CA$17*2)/$CG$22))*$CI$5</f>
        <v>0.2625</v>
      </c>
      <c r="CT75" s="488">
        <f>($CA$17-(($CA$17*2)/$CG$22)*2)*$CI$5</f>
        <v>0.175</v>
      </c>
      <c r="CU75" s="488">
        <f>($CA$17-(($CA$17*2)/$CG$22)*3)*$CI$5</f>
        <v>0.0875</v>
      </c>
      <c r="CV75" s="488">
        <f>($CA$17-(($CA$17*2)/$CG$22)*4)*$CI$5</f>
        <v>0</v>
      </c>
      <c r="CW75" s="488">
        <f>($CA$17-(($CA$17*2)/$CG$22)*5)*$CI$5</f>
        <v>-0.0875</v>
      </c>
      <c r="CX75" s="488">
        <f>($CA$17-(($CA$17*2)/$CG$22)*6)*$CI$5</f>
        <v>-0.175</v>
      </c>
      <c r="CY75" s="488">
        <f>($CA$17-(($CA$17*2)/$CG$22)*7)*$CI$5</f>
        <v>-0.2625</v>
      </c>
      <c r="CZ75" s="488">
        <f>($CA$17-(($CA$17*2)/$CG$22)*8)*$CI$5</f>
        <v>-0.35</v>
      </c>
      <c r="DA75" s="488">
        <f>($CA$17-(($CA$17*2)/$CG$22)*9)*$CI$5</f>
        <v>-0.43750000000000006</v>
      </c>
      <c r="DB75" s="506">
        <f>($CA$17-(($CA$17*2)/$CG$22)*10)*$CI$5</f>
        <v>-0.525</v>
      </c>
    </row>
    <row r="76" spans="78:106" ht="15.75" customHeight="1">
      <c r="BZ76" s="505">
        <f>VLOOKUP(16,$CD$61:$DB$84,$CH$22,TRUE)</f>
        <v>0</v>
      </c>
      <c r="CB76" s="419"/>
      <c r="CC76" s="468"/>
      <c r="CD76" s="419">
        <v>16</v>
      </c>
      <c r="CE76" s="323"/>
      <c r="CF76" s="323"/>
      <c r="CG76" s="323"/>
      <c r="CH76" s="323"/>
      <c r="CI76" s="323"/>
      <c r="CJ76" s="323"/>
      <c r="CK76" s="323"/>
      <c r="CL76" s="323"/>
      <c r="CM76" s="323"/>
      <c r="CN76" s="323"/>
      <c r="CO76" s="323"/>
      <c r="CP76" s="323"/>
      <c r="CQ76" s="323"/>
      <c r="CR76" s="323"/>
      <c r="CS76" s="323"/>
      <c r="CT76" s="488">
        <f>($CA$17-(($CA$17*2)/$CG$22))*$CI$5</f>
        <v>0.2625</v>
      </c>
      <c r="CU76" s="488">
        <f>($CA$17-(($CA$17*2)/$CG$22)*2)*$CI$5</f>
        <v>0.175</v>
      </c>
      <c r="CV76" s="488">
        <f>($CA$17-(($CA$17*2)/$CG$22)*3)*$CI$5</f>
        <v>0.0875</v>
      </c>
      <c r="CW76" s="488">
        <f>($CA$17-(($CA$17*2)/$CG$22)*4)*$CI$5</f>
        <v>0</v>
      </c>
      <c r="CX76" s="488">
        <f>($CA$17-(($CA$17*2)/$CG$22)*5)*$CI$5</f>
        <v>-0.0875</v>
      </c>
      <c r="CY76" s="488">
        <f>($CA$17-(($CA$17*2)/$CG$22)*6)*$CI$5</f>
        <v>-0.175</v>
      </c>
      <c r="CZ76" s="488">
        <f>($CA$17-(($CA$17*2)/$CG$22)*7)*$CI$5</f>
        <v>-0.2625</v>
      </c>
      <c r="DA76" s="488">
        <f>($CA$17-(($CA$17*2)/$CG$22)*8)*$CI$5</f>
        <v>-0.35</v>
      </c>
      <c r="DB76" s="506">
        <f>($CA$17-(($CA$17*2)/$CG$22)*9)*$CI$5</f>
        <v>-0.43750000000000006</v>
      </c>
    </row>
    <row r="77" spans="78:106" ht="15.75" customHeight="1">
      <c r="BZ77" s="505">
        <f>VLOOKUP(17,$CD$61:$DB$84,$CH$22,TRUE)</f>
        <v>0</v>
      </c>
      <c r="CB77" s="439">
        <f>IF($CG$22&lt;=17,$BZ$61,IF($CG$22&gt;1,$BZ$78))</f>
        <v>0.35</v>
      </c>
      <c r="CC77" s="421">
        <f>-(($CG$5-0.1)*$CI$5)</f>
        <v>-0.1</v>
      </c>
      <c r="CD77" s="419">
        <v>17</v>
      </c>
      <c r="CE77" s="323"/>
      <c r="CF77" s="323"/>
      <c r="CG77" s="323"/>
      <c r="CH77" s="323"/>
      <c r="CI77" s="323"/>
      <c r="CJ77" s="323"/>
      <c r="CK77" s="323"/>
      <c r="CL77" s="323"/>
      <c r="CM77" s="323"/>
      <c r="CN77" s="323"/>
      <c r="CO77" s="323"/>
      <c r="CP77" s="323"/>
      <c r="CQ77" s="323"/>
      <c r="CR77" s="323"/>
      <c r="CS77" s="323"/>
      <c r="CT77" s="323"/>
      <c r="CU77" s="488">
        <f>($CA$17-(($CA$17*2)/$CG$22))*$CI$5</f>
        <v>0.2625</v>
      </c>
      <c r="CV77" s="488">
        <f>($CA$17-(($CA$17*2)/$CG$22)*2)*$CI$5</f>
        <v>0.175</v>
      </c>
      <c r="CW77" s="488">
        <f>($CA$17-(($CA$17*2)/$CG$22)*3)*$CI$5</f>
        <v>0.0875</v>
      </c>
      <c r="CX77" s="488">
        <f>($CA$17-(($CA$17*2)/$CG$22)*4)*$CI$5</f>
        <v>0</v>
      </c>
      <c r="CY77" s="488">
        <f>($CA$17-(($CA$17*2)/$CG$22)*5)*$CI$5</f>
        <v>-0.0875</v>
      </c>
      <c r="CZ77" s="488">
        <f>($CA$17-(($CA$17*2)/$CG$22)*6)*$CI$5</f>
        <v>-0.175</v>
      </c>
      <c r="DA77" s="488">
        <f>($CA$17-(($CA$17*2)/$CG$22)*7)*$CI$5</f>
        <v>-0.2625</v>
      </c>
      <c r="DB77" s="506">
        <f>($CA$17-(($CA$17*2)/$CG$22)*8)*$CI$5</f>
        <v>-0.35</v>
      </c>
    </row>
    <row r="78" spans="78:106" ht="15.75" customHeight="1">
      <c r="BZ78" s="505">
        <f>VLOOKUP(18,$CD$61:$DB$84,$CH$22,TRUE)</f>
        <v>0</v>
      </c>
      <c r="CB78" s="419"/>
      <c r="CC78" s="468"/>
      <c r="CD78" s="419">
        <v>18</v>
      </c>
      <c r="CE78" s="323"/>
      <c r="CF78" s="323"/>
      <c r="CG78" s="323"/>
      <c r="CH78" s="323"/>
      <c r="CI78" s="323"/>
      <c r="CJ78" s="323"/>
      <c r="CK78" s="323"/>
      <c r="CL78" s="323"/>
      <c r="CM78" s="323"/>
      <c r="CN78" s="323"/>
      <c r="CO78" s="323"/>
      <c r="CP78" s="323"/>
      <c r="CQ78" s="323"/>
      <c r="CR78" s="323"/>
      <c r="CS78" s="323"/>
      <c r="CT78" s="323"/>
      <c r="CU78" s="323"/>
      <c r="CV78" s="488">
        <f>($CA$17-(($CA$17*2)/$CG$22))*$CI$5</f>
        <v>0.2625</v>
      </c>
      <c r="CW78" s="488">
        <f>($CA$17-(($CA$17*2)/$CG$22)*2)*$CI$5</f>
        <v>0.175</v>
      </c>
      <c r="CX78" s="488">
        <f>($CA$17-(($CA$17*2)/$CG$22)*3)*$CI$5</f>
        <v>0.0875</v>
      </c>
      <c r="CY78" s="488">
        <f>($CA$17-(($CA$17*2)/$CG$22)*4)*$CI$5</f>
        <v>0</v>
      </c>
      <c r="CZ78" s="488">
        <f>($CA$17-(($CA$17*2)/$CG$22)*5)*$CI$5</f>
        <v>-0.0875</v>
      </c>
      <c r="DA78" s="488">
        <f>($CA$17-(($CA$17*2)/$CG$22)*6)*$CI$5</f>
        <v>-0.175</v>
      </c>
      <c r="DB78" s="506">
        <f>($CA$17-(($CA$17*2)/$CG$22)*7)*$CI$5</f>
        <v>-0.2625</v>
      </c>
    </row>
    <row r="79" spans="78:106" ht="15.75" customHeight="1">
      <c r="BZ79" s="505">
        <f>VLOOKUP(19,$CD$61:$DB$84,$CH$22,TRUE)</f>
        <v>0</v>
      </c>
      <c r="CB79" s="439">
        <f>IF($CG$22&lt;=18,$BZ$61,IF($CG$22&gt;1,$BZ$79))</f>
        <v>0.35</v>
      </c>
      <c r="CC79" s="421">
        <f>-(($CG$5-0.1)*$CI$5)</f>
        <v>-0.1</v>
      </c>
      <c r="CD79" s="419">
        <v>19</v>
      </c>
      <c r="CE79" s="323"/>
      <c r="CF79" s="323"/>
      <c r="CG79" s="323"/>
      <c r="CH79" s="323"/>
      <c r="CI79" s="323"/>
      <c r="CJ79" s="323"/>
      <c r="CK79" s="323"/>
      <c r="CL79" s="323"/>
      <c r="CM79" s="323"/>
      <c r="CN79" s="323"/>
      <c r="CO79" s="323"/>
      <c r="CP79" s="323"/>
      <c r="CQ79" s="323"/>
      <c r="CR79" s="323"/>
      <c r="CS79" s="323"/>
      <c r="CT79" s="323"/>
      <c r="CU79" s="323"/>
      <c r="CV79" s="323"/>
      <c r="CW79" s="488">
        <f>($CA$17-(($CA$17*2)/$CG$22))*$CI$5</f>
        <v>0.2625</v>
      </c>
      <c r="CX79" s="488">
        <f>($CA$17-(($CA$17*2)/$CG$22)*2)*$CI$5</f>
        <v>0.175</v>
      </c>
      <c r="CY79" s="488">
        <f>($CA$17-(($CA$17*2)/$CG$22)*3)*$CI$5</f>
        <v>0.0875</v>
      </c>
      <c r="CZ79" s="488">
        <f>($CA$17-(($CA$17*2)/$CG$22)*4)*$CI$5</f>
        <v>0</v>
      </c>
      <c r="DA79" s="488">
        <f>($CA$17-(($CA$17*2)/$CG$22)*5)*$CI$5</f>
        <v>-0.0875</v>
      </c>
      <c r="DB79" s="506">
        <f>($CA$17-(($CA$17*2)/$CG$22)*6)*$CI$5</f>
        <v>-0.175</v>
      </c>
    </row>
    <row r="80" spans="78:106" ht="15.75" customHeight="1">
      <c r="BZ80" s="505">
        <f>VLOOKUP(20,$CD$61:$DB$84,$CH$22,TRUE)</f>
        <v>0</v>
      </c>
      <c r="CB80" s="419"/>
      <c r="CC80" s="468"/>
      <c r="CD80" s="419">
        <v>20</v>
      </c>
      <c r="CE80" s="323"/>
      <c r="CF80" s="323"/>
      <c r="CG80" s="323"/>
      <c r="CH80" s="323"/>
      <c r="CI80" s="323"/>
      <c r="CJ80" s="323"/>
      <c r="CK80" s="323"/>
      <c r="CL80" s="323"/>
      <c r="CM80" s="323"/>
      <c r="CN80" s="323"/>
      <c r="CO80" s="323"/>
      <c r="CP80" s="323"/>
      <c r="CQ80" s="323"/>
      <c r="CR80" s="323"/>
      <c r="CS80" s="323"/>
      <c r="CT80" s="323"/>
      <c r="CU80" s="323"/>
      <c r="CV80" s="323"/>
      <c r="CW80" s="323"/>
      <c r="CX80" s="488">
        <f>($CA$17-(($CA$17*2)/$CG$22))*$CI$5</f>
        <v>0.2625</v>
      </c>
      <c r="CY80" s="488">
        <f>($CA$17-(($CA$17*2)/$CG$22)*2)*$CI$5</f>
        <v>0.175</v>
      </c>
      <c r="CZ80" s="488">
        <f>($CA$17-(($CA$17*2)/$CG$22)*3)*$CI$5</f>
        <v>0.0875</v>
      </c>
      <c r="DA80" s="488">
        <f>($CA$17-(($CA$17*2)/$CG$22)*4)*$CI$5</f>
        <v>0</v>
      </c>
      <c r="DB80" s="506">
        <f>($CA$17-(($CA$17*2)/$CG$22)*5)*$CI$5</f>
        <v>-0.0875</v>
      </c>
    </row>
    <row r="81" spans="78:106" ht="15.75" customHeight="1">
      <c r="BZ81" s="505">
        <f>VLOOKUP(21,$CD$61:$DB$84,$CH$22,TRUE)</f>
        <v>0</v>
      </c>
      <c r="CB81" s="439">
        <f>IF($CG$22&lt;=19,$BZ$61,IF($CG$22&gt;1,$BZ$80))</f>
        <v>0.35</v>
      </c>
      <c r="CC81" s="421">
        <f>-(($CG$5-0.1)*$CI$5)</f>
        <v>-0.1</v>
      </c>
      <c r="CD81" s="419">
        <v>21</v>
      </c>
      <c r="CE81" s="323"/>
      <c r="CF81" s="323"/>
      <c r="CG81" s="323"/>
      <c r="CH81" s="323"/>
      <c r="CI81" s="323"/>
      <c r="CJ81" s="323"/>
      <c r="CK81" s="323"/>
      <c r="CL81" s="323"/>
      <c r="CM81" s="323"/>
      <c r="CN81" s="323"/>
      <c r="CO81" s="323"/>
      <c r="CP81" s="323"/>
      <c r="CQ81" s="323"/>
      <c r="CR81" s="323"/>
      <c r="CS81" s="323"/>
      <c r="CT81" s="323"/>
      <c r="CU81" s="323"/>
      <c r="CV81" s="323"/>
      <c r="CW81" s="323"/>
      <c r="CX81" s="323"/>
      <c r="CY81" s="488">
        <f>($CA$17-(($CA$17*2)/$CG$22))*$CI$5</f>
        <v>0.2625</v>
      </c>
      <c r="CZ81" s="488">
        <f>($CA$17-(($CA$17*2)/$CG$22)*2)*$CI$5</f>
        <v>0.175</v>
      </c>
      <c r="DA81" s="488">
        <f>($CA$17-(($CA$17*2)/$CG$22)*3)*$CI$5</f>
        <v>0.0875</v>
      </c>
      <c r="DB81" s="506">
        <f>($CA$17-(($CA$17*2)/$CG$22)*4)*$CI$5</f>
        <v>0</v>
      </c>
    </row>
    <row r="82" spans="78:106" ht="15.75" customHeight="1">
      <c r="BZ82" s="505">
        <f>VLOOKUP(22,$CD$61:$DB$84,$CH$22,TRUE)</f>
        <v>0</v>
      </c>
      <c r="CB82" s="419"/>
      <c r="CC82" s="468"/>
      <c r="CD82" s="419">
        <v>22</v>
      </c>
      <c r="CE82" s="323"/>
      <c r="CF82" s="323"/>
      <c r="CG82" s="323"/>
      <c r="CH82" s="323"/>
      <c r="CI82" s="323"/>
      <c r="CJ82" s="323"/>
      <c r="CK82" s="323"/>
      <c r="CL82" s="323"/>
      <c r="CM82" s="323"/>
      <c r="CN82" s="323"/>
      <c r="CO82" s="323"/>
      <c r="CP82" s="323"/>
      <c r="CQ82" s="323"/>
      <c r="CR82" s="323"/>
      <c r="CS82" s="323"/>
      <c r="CT82" s="323"/>
      <c r="CU82" s="323"/>
      <c r="CV82" s="323"/>
      <c r="CW82" s="323"/>
      <c r="CX82" s="323"/>
      <c r="CY82" s="323"/>
      <c r="CZ82" s="488">
        <f>($CA$17-(($CA$17*2)/$CG$22))*$CI$5</f>
        <v>0.2625</v>
      </c>
      <c r="DA82" s="488">
        <f>($CA$17-(($CA$17*2)/$CG$22)*2)*$CI$5</f>
        <v>0.175</v>
      </c>
      <c r="DB82" s="506">
        <f>($CA$17-(($CA$17*2)/$CG$22)*3)*$CI$5</f>
        <v>0.0875</v>
      </c>
    </row>
    <row r="83" spans="78:106" ht="15.75" customHeight="1">
      <c r="BZ83" s="505">
        <f>VLOOKUP(23,$CD$61:$DB$84,$CH$22,TRUE)</f>
        <v>0</v>
      </c>
      <c r="CB83" s="439">
        <f>IF($CG$22&lt;=20,$BZ$61,IF($CG$22&gt;1,$BZ$81))</f>
        <v>0.35</v>
      </c>
      <c r="CC83" s="421">
        <f>-(($CG$5-0.1)*$CI$5)</f>
        <v>-0.1</v>
      </c>
      <c r="CD83" s="419">
        <v>23</v>
      </c>
      <c r="CE83" s="323"/>
      <c r="CF83" s="323"/>
      <c r="CG83" s="323"/>
      <c r="CH83" s="323"/>
      <c r="CI83" s="323"/>
      <c r="CJ83" s="323"/>
      <c r="CK83" s="323"/>
      <c r="CL83" s="323"/>
      <c r="CM83" s="323"/>
      <c r="CN83" s="323"/>
      <c r="CO83" s="323"/>
      <c r="CP83" s="323"/>
      <c r="CQ83" s="323"/>
      <c r="CR83" s="323"/>
      <c r="CS83" s="323"/>
      <c r="CT83" s="323"/>
      <c r="CU83" s="323"/>
      <c r="CV83" s="323"/>
      <c r="CW83" s="323"/>
      <c r="CX83" s="323"/>
      <c r="CY83" s="323"/>
      <c r="CZ83" s="323"/>
      <c r="DA83" s="488">
        <f>($CA$17-(($CA$17*2)/$CG$22))*$CI$5</f>
        <v>0.2625</v>
      </c>
      <c r="DB83" s="506">
        <f>($CA$17-(($CA$17*2)/$CG$22)*2)*$CI$5</f>
        <v>0.175</v>
      </c>
    </row>
    <row r="84" spans="78:106" ht="15.75" customHeight="1" thickBot="1">
      <c r="BZ84" s="507">
        <f>VLOOKUP(24,$CD$61:$DB$84,$CH$22,TRUE)</f>
        <v>0</v>
      </c>
      <c r="CB84" s="419"/>
      <c r="CC84" s="468"/>
      <c r="CD84" s="419">
        <v>24</v>
      </c>
      <c r="CE84" s="323"/>
      <c r="CF84" s="323"/>
      <c r="CG84" s="323"/>
      <c r="CH84" s="323"/>
      <c r="CI84" s="323"/>
      <c r="CJ84" s="323"/>
      <c r="CK84" s="323"/>
      <c r="CL84" s="323"/>
      <c r="CM84" s="323"/>
      <c r="CN84" s="323"/>
      <c r="CO84" s="323"/>
      <c r="CP84" s="323"/>
      <c r="CQ84" s="323"/>
      <c r="CR84" s="323"/>
      <c r="CS84" s="323"/>
      <c r="CT84" s="323"/>
      <c r="CU84" s="323"/>
      <c r="CV84" s="323"/>
      <c r="CW84" s="323"/>
      <c r="CX84" s="323"/>
      <c r="CY84" s="323"/>
      <c r="CZ84" s="323"/>
      <c r="DA84" s="323"/>
      <c r="DB84" s="508">
        <f>($CA$17-(($CA$17*2)/$CG$22))*$CI$5</f>
        <v>0.2625</v>
      </c>
    </row>
    <row r="85" spans="80:106" ht="15.75" customHeight="1">
      <c r="CB85" s="439">
        <f>IF($CG$22&lt;=21,$BZ$61,IF($CG$22&gt;1,$BZ$82))</f>
        <v>0.35</v>
      </c>
      <c r="CC85" s="421">
        <f>-(($CG$5-0.1)*$CI$5)</f>
        <v>-0.1</v>
      </c>
      <c r="CD85" s="504"/>
      <c r="CE85" s="504"/>
      <c r="CF85" s="504"/>
      <c r="CG85" s="504"/>
      <c r="CH85" s="504"/>
      <c r="CI85" s="504"/>
      <c r="CJ85" s="504"/>
      <c r="CK85" s="504"/>
      <c r="CL85" s="504"/>
      <c r="CM85" s="504"/>
      <c r="CN85" s="504"/>
      <c r="CO85" s="504"/>
      <c r="CP85" s="504"/>
      <c r="CQ85" s="504"/>
      <c r="CR85" s="504"/>
      <c r="CS85" s="504"/>
      <c r="CT85" s="504"/>
      <c r="CU85" s="504"/>
      <c r="CV85" s="504"/>
      <c r="CW85" s="504"/>
      <c r="CX85" s="504"/>
      <c r="CY85" s="504"/>
      <c r="CZ85" s="504"/>
      <c r="DA85" s="504"/>
      <c r="DB85" s="504"/>
    </row>
    <row r="86" spans="80:81" ht="15.75" customHeight="1">
      <c r="CB86" s="419"/>
      <c r="CC86" s="468"/>
    </row>
    <row r="87" spans="80:81" ht="15.75" customHeight="1">
      <c r="CB87" s="439">
        <f>IF($CG$22&lt;=22,$BZ$61,IF($CG$22&gt;1,$BZ$83))</f>
        <v>0.35</v>
      </c>
      <c r="CC87" s="421">
        <f>-(($CG$5-0.1)*$CI$5)</f>
        <v>-0.1</v>
      </c>
    </row>
    <row r="88" spans="80:81" ht="15.75" customHeight="1">
      <c r="CB88" s="419"/>
      <c r="CC88" s="468"/>
    </row>
    <row r="89" spans="80:81" ht="15.75" customHeight="1">
      <c r="CB89" s="439">
        <f>IF($CG$22&lt;=23,$BZ$61,IF($CG$22&gt;1,$BZ$84))</f>
        <v>0.35</v>
      </c>
      <c r="CC89" s="421">
        <f>-(($CG$5-0.1)*$CI$5)</f>
        <v>-0.1</v>
      </c>
    </row>
    <row r="90" spans="80:81" ht="15.75" customHeight="1">
      <c r="CB90" s="419"/>
      <c r="CC90" s="468"/>
    </row>
    <row r="91" spans="80:81" ht="15.75" customHeight="1" thickBot="1">
      <c r="CB91" s="446">
        <f>(($BZ$17-0.025)*$CI$5)</f>
        <v>0.35</v>
      </c>
      <c r="CC91" s="428">
        <f>-(($CG$5-0.1)*$CI$5)</f>
        <v>-0.1</v>
      </c>
    </row>
    <row r="92" spans="79:81" ht="15.75" customHeight="1">
      <c r="CA92" s="323"/>
      <c r="CC92" s="504"/>
    </row>
    <row r="98" ht="15.75" customHeight="1">
      <c r="CF98" s="323"/>
    </row>
  </sheetData>
  <sheetProtection password="DA3E" sheet="1" objects="1" scenarios="1"/>
  <mergeCells count="80">
    <mergeCell ref="AC9:AE9"/>
    <mergeCell ref="AC10:AE10"/>
    <mergeCell ref="F48:H48"/>
    <mergeCell ref="O48:P48"/>
    <mergeCell ref="M48:N48"/>
    <mergeCell ref="J48:L48"/>
    <mergeCell ref="AC45:AF45"/>
    <mergeCell ref="O45:P45"/>
    <mergeCell ref="F46:H46"/>
    <mergeCell ref="J46:L46"/>
    <mergeCell ref="M46:N46"/>
    <mergeCell ref="O46:P46"/>
    <mergeCell ref="F40:H40"/>
    <mergeCell ref="O42:P42"/>
    <mergeCell ref="M42:N42"/>
    <mergeCell ref="J42:L42"/>
    <mergeCell ref="F42:H42"/>
    <mergeCell ref="F44:H44"/>
    <mergeCell ref="O44:P44"/>
    <mergeCell ref="M44:N44"/>
    <mergeCell ref="L35:N35"/>
    <mergeCell ref="AC14:AH14"/>
    <mergeCell ref="AC19:AK19"/>
    <mergeCell ref="AC23:AG23"/>
    <mergeCell ref="Q14:AA14"/>
    <mergeCell ref="L28:N28"/>
    <mergeCell ref="L29:N29"/>
    <mergeCell ref="L32:N32"/>
    <mergeCell ref="L33:N33"/>
    <mergeCell ref="AC24:AG24"/>
    <mergeCell ref="AC25:AK25"/>
    <mergeCell ref="L27:N27"/>
    <mergeCell ref="L26:N26"/>
    <mergeCell ref="L24:N24"/>
    <mergeCell ref="L13:N13"/>
    <mergeCell ref="L14:N14"/>
    <mergeCell ref="L15:N15"/>
    <mergeCell ref="L16:N16"/>
    <mergeCell ref="L11:N11"/>
    <mergeCell ref="L12:N12"/>
    <mergeCell ref="V11:Y11"/>
    <mergeCell ref="V12:Y12"/>
    <mergeCell ref="L9:N9"/>
    <mergeCell ref="L10:N10"/>
    <mergeCell ref="V9:Y9"/>
    <mergeCell ref="V10:Y10"/>
    <mergeCell ref="B7:AA7"/>
    <mergeCell ref="E5:T5"/>
    <mergeCell ref="Y3:AA3"/>
    <mergeCell ref="Y4:AA4"/>
    <mergeCell ref="E4:T4"/>
    <mergeCell ref="E3:T3"/>
    <mergeCell ref="U4:X4"/>
    <mergeCell ref="U3:X3"/>
    <mergeCell ref="V51:AA51"/>
    <mergeCell ref="V50:AA50"/>
    <mergeCell ref="S51:U51"/>
    <mergeCell ref="S50:U50"/>
    <mergeCell ref="L17:N17"/>
    <mergeCell ref="L18:N18"/>
    <mergeCell ref="L25:N25"/>
    <mergeCell ref="L22:N22"/>
    <mergeCell ref="L19:N19"/>
    <mergeCell ref="L20:N20"/>
    <mergeCell ref="L21:N21"/>
    <mergeCell ref="L23:N23"/>
    <mergeCell ref="U41:AA41"/>
    <mergeCell ref="U40:AA40"/>
    <mergeCell ref="L36:N36"/>
    <mergeCell ref="L37:N37"/>
    <mergeCell ref="M38:N38"/>
    <mergeCell ref="Q38:AA38"/>
    <mergeCell ref="U39:AA39"/>
    <mergeCell ref="O38:P38"/>
    <mergeCell ref="J44:L44"/>
    <mergeCell ref="F38:H38"/>
    <mergeCell ref="J38:L38"/>
    <mergeCell ref="O40:P40"/>
    <mergeCell ref="M40:N40"/>
    <mergeCell ref="J40:L40"/>
  </mergeCells>
  <conditionalFormatting sqref="F48:H48">
    <cfRule type="cellIs" priority="1" dxfId="1" operator="greaterThanOrEqual" stopIfTrue="1">
      <formula>$J$50</formula>
    </cfRule>
    <cfRule type="cellIs" priority="2" dxfId="0" operator="lessThan" stopIfTrue="1">
      <formula>$J$50</formula>
    </cfRule>
  </conditionalFormatting>
  <conditionalFormatting sqref="O47:P47">
    <cfRule type="expression" priority="3" dxfId="1" stopIfTrue="1">
      <formula>IF($F$46&gt;=#REF!,1)</formula>
    </cfRule>
    <cfRule type="expression" priority="4" dxfId="0" stopIfTrue="1">
      <formula>IF($F$46&lt;#REF!,2)</formula>
    </cfRule>
  </conditionalFormatting>
  <conditionalFormatting sqref="O48:P48">
    <cfRule type="expression" priority="5" dxfId="1" stopIfTrue="1">
      <formula>IF($F$48&gt;=$J$48,1)</formula>
    </cfRule>
    <cfRule type="expression" priority="6" dxfId="0" stopIfTrue="1">
      <formula>IF($F$48&lt;$J$48,2)</formula>
    </cfRule>
  </conditionalFormatting>
  <conditionalFormatting sqref="O39:P39 O36:P36">
    <cfRule type="cellIs" priority="7" dxfId="0" operator="lessThan" stopIfTrue="1">
      <formula>$E$35</formula>
    </cfRule>
  </conditionalFormatting>
  <conditionalFormatting sqref="V34:Z34">
    <cfRule type="expression" priority="8" dxfId="0" stopIfTrue="1">
      <formula>IF($CP$26&gt;$CB$36,1)</formula>
    </cfRule>
  </conditionalFormatting>
  <conditionalFormatting sqref="V35:Z35">
    <cfRule type="expression" priority="9" dxfId="0" stopIfTrue="1">
      <formula>IF($CE$37&gt;$CB$37,1)</formula>
    </cfRule>
  </conditionalFormatting>
  <conditionalFormatting sqref="V36:Z36">
    <cfRule type="expression" priority="10" dxfId="0" stopIfTrue="1">
      <formula>IF($CE$38&gt;$CB$38,1)</formula>
    </cfRule>
  </conditionalFormatting>
  <conditionalFormatting sqref="T48:V48">
    <cfRule type="expression" priority="11" dxfId="0" stopIfTrue="1">
      <formula>IF($L$47&gt;$Q$48,1)</formula>
    </cfRule>
  </conditionalFormatting>
  <conditionalFormatting sqref="T46 U46:V47">
    <cfRule type="expression" priority="12" dxfId="0" stopIfTrue="1">
      <formula>IF($L$44&lt;#REF!,1)</formula>
    </cfRule>
  </conditionalFormatting>
  <conditionalFormatting sqref="Q34:U34">
    <cfRule type="expression" priority="13" dxfId="0" stopIfTrue="1">
      <formula>IF($E$36&gt;=$N$36,1)</formula>
    </cfRule>
  </conditionalFormatting>
  <conditionalFormatting sqref="O34:P34">
    <cfRule type="cellIs" priority="14" dxfId="0" operator="lessThan" stopIfTrue="1">
      <formula>$E$36</formula>
    </cfRule>
  </conditionalFormatting>
  <conditionalFormatting sqref="Q35:U35 Q39 U39">
    <cfRule type="expression" priority="15" dxfId="0" stopIfTrue="1">
      <formula>IF($E$37&gt;$N$37,1)</formula>
    </cfRule>
  </conditionalFormatting>
  <conditionalFormatting sqref="Q36:U36">
    <cfRule type="expression" priority="16" dxfId="0" stopIfTrue="1">
      <formula>IF($E$35&gt;$N$35,1)</formula>
    </cfRule>
  </conditionalFormatting>
  <conditionalFormatting sqref="O35:P35">
    <cfRule type="cellIs" priority="17" dxfId="1" operator="greaterThanOrEqual" stopIfTrue="1">
      <formula>$L$33</formula>
    </cfRule>
    <cfRule type="cellIs" priority="18" dxfId="0" operator="lessThan" stopIfTrue="1">
      <formula>$L$33</formula>
    </cfRule>
  </conditionalFormatting>
  <conditionalFormatting sqref="F40:H40">
    <cfRule type="cellIs" priority="19" dxfId="0" operator="greaterThan" stopIfTrue="1">
      <formula>$J$40</formula>
    </cfRule>
    <cfRule type="cellIs" priority="20" dxfId="1" operator="lessThanOrEqual" stopIfTrue="1">
      <formula>$J$40</formula>
    </cfRule>
  </conditionalFormatting>
  <conditionalFormatting sqref="F38:H38">
    <cfRule type="cellIs" priority="21" dxfId="0" operator="greaterThan" stopIfTrue="1">
      <formula>$J$38</formula>
    </cfRule>
    <cfRule type="cellIs" priority="22" dxfId="1" operator="lessThanOrEqual" stopIfTrue="1">
      <formula>$J$38</formula>
    </cfRule>
  </conditionalFormatting>
  <conditionalFormatting sqref="F42:H42">
    <cfRule type="cellIs" priority="23" dxfId="0" operator="greaterThan" stopIfTrue="1">
      <formula>$J$42</formula>
    </cfRule>
    <cfRule type="cellIs" priority="24" dxfId="1" operator="lessThanOrEqual" stopIfTrue="1">
      <formula>$J$42</formula>
    </cfRule>
  </conditionalFormatting>
  <conditionalFormatting sqref="F44:H44">
    <cfRule type="cellIs" priority="25" dxfId="0" operator="greaterThan" stopIfTrue="1">
      <formula>$J$44</formula>
    </cfRule>
    <cfRule type="cellIs" priority="26" dxfId="1" operator="lessThanOrEqual" stopIfTrue="1">
      <formula>$J$44</formula>
    </cfRule>
  </conditionalFormatting>
  <conditionalFormatting sqref="O38:P38">
    <cfRule type="expression" priority="27" dxfId="0" stopIfTrue="1">
      <formula>IF($F$38&gt;$J$38,1)</formula>
    </cfRule>
    <cfRule type="expression" priority="28" dxfId="1" stopIfTrue="1">
      <formula>IF($F$38&lt;=$J$38,2)</formula>
    </cfRule>
  </conditionalFormatting>
  <conditionalFormatting sqref="O40:P40">
    <cfRule type="expression" priority="29" dxfId="0" stopIfTrue="1">
      <formula>IF($F$40&gt;$J$40,1)</formula>
    </cfRule>
    <cfRule type="expression" priority="30" dxfId="1" stopIfTrue="1">
      <formula>IF($F$40&lt;=$J$40,2)</formula>
    </cfRule>
  </conditionalFormatting>
  <conditionalFormatting sqref="O42:P42">
    <cfRule type="expression" priority="31" dxfId="0" stopIfTrue="1">
      <formula>IF($F$42&gt;$J$42,1)</formula>
    </cfRule>
    <cfRule type="expression" priority="32" dxfId="1" stopIfTrue="1">
      <formula>IF($F$42&lt;=$J$42,2)</formula>
    </cfRule>
  </conditionalFormatting>
  <conditionalFormatting sqref="O44:P45">
    <cfRule type="cellIs" priority="33" dxfId="0" operator="greaterThan" stopIfTrue="1">
      <formula>IF($F$44&gt;$J$44,1)</formula>
    </cfRule>
    <cfRule type="expression" priority="34" dxfId="1" stopIfTrue="1">
      <formula>IF($F$44&lt;=$J$44,2)</formula>
    </cfRule>
  </conditionalFormatting>
  <conditionalFormatting sqref="O50:P50">
    <cfRule type="expression" priority="35" dxfId="1" stopIfTrue="1">
      <formula>IF($F$48&gt;=$J$50,1)</formula>
    </cfRule>
    <cfRule type="expression" priority="36" dxfId="0" stopIfTrue="1">
      <formula>IF($F$48&lt;$J$50,2)</formula>
    </cfRule>
  </conditionalFormatting>
  <conditionalFormatting sqref="N58">
    <cfRule type="cellIs" priority="37" dxfId="1" operator="greaterThanOrEqual" stopIfTrue="1">
      <formula>$J$48</formula>
    </cfRule>
    <cfRule type="cellIs" priority="38" dxfId="0" operator="lessThan" stopIfTrue="1">
      <formula>$J$48</formula>
    </cfRule>
  </conditionalFormatting>
  <conditionalFormatting sqref="O46:P46">
    <cfRule type="expression" priority="39" dxfId="1" stopIfTrue="1">
      <formula>IF($F$46&gt;=$J$46,1)</formula>
    </cfRule>
    <cfRule type="expression" priority="40" dxfId="0" stopIfTrue="1">
      <formula>IF($F$46&lt;$J$46,2)</formula>
    </cfRule>
  </conditionalFormatting>
  <conditionalFormatting sqref="F46:H46">
    <cfRule type="cellIs" priority="41" dxfId="1" operator="greaterThanOrEqual" stopIfTrue="1">
      <formula>$F$46</formula>
    </cfRule>
    <cfRule type="cellIs" priority="42" dxfId="0" operator="lessThan" stopIfTrue="1">
      <formula>$F$46</formula>
    </cfRule>
  </conditionalFormatting>
  <dataValidations count="2">
    <dataValidation type="list" allowBlank="1" showInputMessage="1" showErrorMessage="1" sqref="L9:N9">
      <formula1>"2400,3000,4000,5000"</formula1>
    </dataValidation>
    <dataValidation type="list" allowBlank="1" showInputMessage="1" sqref="L12:N12">
      <formula1>"173,210,240,280,320,380"</formula1>
    </dataValidation>
  </dataValidations>
  <printOptions/>
  <pageMargins left="0.35433070866141736" right="0.1968503937007874" top="0.3937007874015748" bottom="0.1968503937007874" header="0.5118110236220472" footer="0.5118110236220472"/>
  <pageSetup orientation="portrait" paperSize="9" scale="99" r:id="rId3"/>
  <rowBreaks count="1" manualBreakCount="1">
    <brk id="54" max="84" man="1"/>
  </rowBreaks>
  <colBreaks count="1" manualBreakCount="1">
    <brk id="28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CasperX</cp:lastModifiedBy>
  <cp:lastPrinted>2010-01-21T16:55:08Z</cp:lastPrinted>
  <dcterms:created xsi:type="dcterms:W3CDTF">2008-11-21T07:11:45Z</dcterms:created>
  <dcterms:modified xsi:type="dcterms:W3CDTF">2010-04-11T23:50:15Z</dcterms:modified>
  <cp:category/>
  <cp:version/>
  <cp:contentType/>
  <cp:contentStatus/>
</cp:coreProperties>
</file>