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งานระบบไฟฟ้า!$A$1:$M$69</definedName>
    <definedName name="_xlnm.Print_Area" localSheetId="4">งานระบบประปา!$A$1:$M$93</definedName>
    <definedName name="_xlnm.Print_Area" localSheetId="2">'งานสถาปัตยกรรม '!$A$1:$M$159</definedName>
    <definedName name="_xlnm.Print_Area" localSheetId="1">หมวดงานโครงสร้าง!$A$1:$M$57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F14" i="1" l="1"/>
  <c r="F12" i="1"/>
  <c r="F10" i="1"/>
  <c r="F8" i="1"/>
  <c r="K55" i="7"/>
  <c r="I55" i="7"/>
  <c r="L55" i="7" s="1"/>
  <c r="K54" i="7"/>
  <c r="I54" i="7"/>
  <c r="L54" i="7" s="1"/>
  <c r="K53" i="7"/>
  <c r="I53" i="7"/>
  <c r="L53" i="7" s="1"/>
  <c r="E53" i="7"/>
  <c r="K52" i="7"/>
  <c r="I52" i="7"/>
  <c r="L52" i="7" s="1"/>
  <c r="K47" i="7"/>
  <c r="I47" i="7"/>
  <c r="L47" i="7" s="1"/>
  <c r="K46" i="7"/>
  <c r="I46" i="7"/>
  <c r="L46" i="7" s="1"/>
  <c r="K45" i="7"/>
  <c r="I45" i="7"/>
  <c r="L45" i="7" s="1"/>
  <c r="K44" i="7"/>
  <c r="I44" i="7"/>
  <c r="L44" i="7" s="1"/>
  <c r="E44" i="7"/>
  <c r="K43" i="7"/>
  <c r="I43" i="7"/>
  <c r="L43" i="7" s="1"/>
  <c r="K41" i="7"/>
  <c r="I41" i="7"/>
  <c r="L41" i="7" s="1"/>
  <c r="K40" i="7"/>
  <c r="I40" i="7"/>
  <c r="L40" i="7" s="1"/>
  <c r="K39" i="7"/>
  <c r="I39" i="7"/>
  <c r="L39" i="7" s="1"/>
  <c r="K38" i="7"/>
  <c r="I38" i="7"/>
  <c r="L38" i="7" s="1"/>
  <c r="K37" i="7"/>
  <c r="I37" i="7"/>
  <c r="L37" i="7" s="1"/>
  <c r="I35" i="7"/>
  <c r="L35" i="7" s="1"/>
  <c r="G35" i="7"/>
  <c r="K35" i="7" s="1"/>
  <c r="K34" i="7"/>
  <c r="I34" i="7"/>
  <c r="L34" i="7" s="1"/>
  <c r="K33" i="7"/>
  <c r="I33" i="7"/>
  <c r="L33" i="7" s="1"/>
  <c r="K32" i="7"/>
  <c r="I32" i="7"/>
  <c r="L32" i="7" s="1"/>
  <c r="K31" i="7"/>
  <c r="I31" i="7"/>
  <c r="L31" i="7" s="1"/>
  <c r="K30" i="7"/>
  <c r="I30" i="7"/>
  <c r="L30" i="7" s="1"/>
  <c r="K29" i="7"/>
  <c r="I29" i="7"/>
  <c r="L29" i="7" s="1"/>
  <c r="K28" i="7"/>
  <c r="I28" i="7"/>
  <c r="L28" i="7" s="1"/>
  <c r="K24" i="7"/>
  <c r="I24" i="7"/>
  <c r="L24" i="7" s="1"/>
  <c r="K23" i="7"/>
  <c r="I23" i="7"/>
  <c r="L23" i="7" s="1"/>
  <c r="K22" i="7"/>
  <c r="I22" i="7"/>
  <c r="L22" i="7" s="1"/>
  <c r="G20" i="7"/>
  <c r="K20" i="7" s="1"/>
  <c r="K19" i="7"/>
  <c r="I19" i="7"/>
  <c r="L19" i="7" s="1"/>
  <c r="K18" i="7"/>
  <c r="I18" i="7"/>
  <c r="L18" i="7" s="1"/>
  <c r="K17" i="7"/>
  <c r="I17" i="7"/>
  <c r="L17" i="7" s="1"/>
  <c r="K16" i="7"/>
  <c r="I16" i="7"/>
  <c r="L16" i="7" s="1"/>
  <c r="K15" i="7"/>
  <c r="I15" i="7"/>
  <c r="L15" i="7" s="1"/>
  <c r="K14" i="7"/>
  <c r="I14" i="7"/>
  <c r="L14" i="7" s="1"/>
  <c r="K13" i="7"/>
  <c r="I13" i="7"/>
  <c r="L13" i="7" s="1"/>
  <c r="K12" i="7"/>
  <c r="I12" i="7"/>
  <c r="L12" i="7" s="1"/>
  <c r="K11" i="7"/>
  <c r="L11" i="7" s="1"/>
  <c r="I11" i="7"/>
  <c r="K10" i="7"/>
  <c r="I10" i="7"/>
  <c r="L10" i="7" s="1"/>
  <c r="K57" i="7" l="1"/>
  <c r="I20" i="7"/>
  <c r="L20" i="7" s="1"/>
  <c r="L57" i="7" s="1"/>
  <c r="D8" i="1" s="1"/>
  <c r="I57" i="7"/>
  <c r="D14" i="1"/>
  <c r="D12" i="1"/>
  <c r="D10" i="1"/>
  <c r="P12" i="7"/>
  <c r="P11" i="7"/>
  <c r="A5" i="7"/>
  <c r="A4" i="7"/>
  <c r="M3" i="7"/>
  <c r="A3" i="7"/>
  <c r="K84" i="6"/>
  <c r="I84" i="6"/>
  <c r="L84" i="6" s="1"/>
  <c r="H84" i="6"/>
  <c r="K83" i="6"/>
  <c r="I83" i="6"/>
  <c r="L83" i="6" s="1"/>
  <c r="K82" i="6"/>
  <c r="L82" i="6" s="1"/>
  <c r="I82" i="6"/>
  <c r="L81" i="6"/>
  <c r="K81" i="6"/>
  <c r="I81" i="6"/>
  <c r="K80" i="6"/>
  <c r="L80" i="6" s="1"/>
  <c r="H80" i="6"/>
  <c r="I80" i="6" s="1"/>
  <c r="K79" i="6"/>
  <c r="H79" i="6"/>
  <c r="I79" i="6" s="1"/>
  <c r="K78" i="6"/>
  <c r="K92" i="6" s="1"/>
  <c r="C78" i="6"/>
  <c r="I78" i="6" s="1"/>
  <c r="J73" i="6"/>
  <c r="K73" i="6" s="1"/>
  <c r="I73" i="6"/>
  <c r="K72" i="6"/>
  <c r="I72" i="6"/>
  <c r="I76" i="6" s="1"/>
  <c r="I12" i="6" s="1"/>
  <c r="C72" i="6"/>
  <c r="I60" i="6"/>
  <c r="C60" i="6"/>
  <c r="K60" i="6" s="1"/>
  <c r="C56" i="6"/>
  <c r="K56" i="6" s="1"/>
  <c r="C55" i="6"/>
  <c r="K55" i="6" s="1"/>
  <c r="C54" i="6"/>
  <c r="K54" i="6" s="1"/>
  <c r="C53" i="6"/>
  <c r="K53" i="6" s="1"/>
  <c r="K52" i="6"/>
  <c r="L52" i="6" s="1"/>
  <c r="C52" i="6"/>
  <c r="L51" i="6"/>
  <c r="K51" i="6"/>
  <c r="I51" i="6"/>
  <c r="K50" i="6"/>
  <c r="H50" i="6"/>
  <c r="I50" i="6" s="1"/>
  <c r="L50" i="6" s="1"/>
  <c r="K48" i="6"/>
  <c r="L48" i="6" s="1"/>
  <c r="I48" i="6"/>
  <c r="J47" i="6"/>
  <c r="K47" i="6" s="1"/>
  <c r="L47" i="6" s="1"/>
  <c r="I47" i="6"/>
  <c r="K45" i="6"/>
  <c r="H45" i="6"/>
  <c r="C45" i="6"/>
  <c r="I45" i="6" s="1"/>
  <c r="H44" i="6"/>
  <c r="C44" i="6"/>
  <c r="K44" i="6" s="1"/>
  <c r="I38" i="6"/>
  <c r="C38" i="6"/>
  <c r="K38" i="6" s="1"/>
  <c r="L38" i="6" s="1"/>
  <c r="I37" i="6"/>
  <c r="C37" i="6"/>
  <c r="K37" i="6" s="1"/>
  <c r="L37" i="6" s="1"/>
  <c r="I36" i="6"/>
  <c r="C36" i="6"/>
  <c r="K36" i="6" s="1"/>
  <c r="L36" i="6" s="1"/>
  <c r="I35" i="6"/>
  <c r="C35" i="6"/>
  <c r="K35" i="6" s="1"/>
  <c r="L35" i="6" s="1"/>
  <c r="L34" i="6"/>
  <c r="K34" i="6"/>
  <c r="I34" i="6"/>
  <c r="K33" i="6"/>
  <c r="H33" i="6"/>
  <c r="I33" i="6" s="1"/>
  <c r="L33" i="6" s="1"/>
  <c r="K32" i="6"/>
  <c r="I32" i="6"/>
  <c r="L32" i="6" s="1"/>
  <c r="K30" i="6"/>
  <c r="J30" i="6"/>
  <c r="I30" i="6"/>
  <c r="L30" i="6" s="1"/>
  <c r="K29" i="6"/>
  <c r="J29" i="6"/>
  <c r="I29" i="6"/>
  <c r="L29" i="6" s="1"/>
  <c r="K28" i="6"/>
  <c r="C28" i="6"/>
  <c r="I28" i="6" s="1"/>
  <c r="L28" i="6" s="1"/>
  <c r="K27" i="6"/>
  <c r="C27" i="6"/>
  <c r="I27" i="6" s="1"/>
  <c r="L27" i="6" s="1"/>
  <c r="K26" i="6"/>
  <c r="I26" i="6"/>
  <c r="L26" i="6" s="1"/>
  <c r="I25" i="6"/>
  <c r="C25" i="6"/>
  <c r="K25" i="6" s="1"/>
  <c r="K22" i="6"/>
  <c r="H22" i="6"/>
  <c r="C22" i="6"/>
  <c r="I22" i="6" s="1"/>
  <c r="L22" i="6" s="1"/>
  <c r="H21" i="6"/>
  <c r="C21" i="6"/>
  <c r="K21" i="6" s="1"/>
  <c r="K20" i="6"/>
  <c r="H20" i="6"/>
  <c r="C20" i="6"/>
  <c r="I20" i="6" s="1"/>
  <c r="B13" i="6"/>
  <c r="A13" i="6"/>
  <c r="B12" i="6"/>
  <c r="A12" i="6"/>
  <c r="B11" i="6"/>
  <c r="A11" i="6"/>
  <c r="B10" i="6"/>
  <c r="A10" i="6"/>
  <c r="B9" i="6"/>
  <c r="A9" i="6"/>
  <c r="L79" i="6" l="1"/>
  <c r="L20" i="6"/>
  <c r="I92" i="6"/>
  <c r="K76" i="6"/>
  <c r="K12" i="6" s="1"/>
  <c r="L73" i="6"/>
  <c r="H31" i="6"/>
  <c r="L44" i="6"/>
  <c r="L45" i="6"/>
  <c r="L60" i="6"/>
  <c r="K13" i="6"/>
  <c r="I53" i="6"/>
  <c r="L53" i="6" s="1"/>
  <c r="I54" i="6"/>
  <c r="L54" i="6" s="1"/>
  <c r="I55" i="6"/>
  <c r="L55" i="6" s="1"/>
  <c r="I56" i="6"/>
  <c r="L56" i="6" s="1"/>
  <c r="L78" i="6"/>
  <c r="L92" i="6" s="1"/>
  <c r="I21" i="6"/>
  <c r="L21" i="6" s="1"/>
  <c r="L25" i="6"/>
  <c r="I44" i="6"/>
  <c r="L72" i="6"/>
  <c r="L76" i="6" s="1"/>
  <c r="L12" i="6" s="1"/>
  <c r="H61" i="6"/>
  <c r="U77" i="3"/>
  <c r="R77" i="3"/>
  <c r="H46" i="6" l="1"/>
  <c r="J31" i="6"/>
  <c r="K31" i="6" s="1"/>
  <c r="I31" i="6"/>
  <c r="I13" i="6"/>
  <c r="L13" i="6"/>
  <c r="I61" i="6"/>
  <c r="J61" i="6"/>
  <c r="K61" i="6" s="1"/>
  <c r="K69" i="6" s="1"/>
  <c r="H23" i="6"/>
  <c r="Q23" i="3"/>
  <c r="R74" i="3" s="1"/>
  <c r="U74" i="3"/>
  <c r="T72" i="3"/>
  <c r="Q72" i="3"/>
  <c r="O72" i="3"/>
  <c r="O68" i="3"/>
  <c r="S68" i="3" s="1"/>
  <c r="T68" i="3" s="1"/>
  <c r="P66" i="3"/>
  <c r="Q66" i="3" s="1"/>
  <c r="O66" i="3"/>
  <c r="S66" i="3" s="1"/>
  <c r="T66" i="3" s="1"/>
  <c r="O63" i="3"/>
  <c r="S63" i="3" s="1"/>
  <c r="T63" i="3" s="1"/>
  <c r="O56" i="3"/>
  <c r="S56" i="3" s="1"/>
  <c r="T56" i="3" s="1"/>
  <c r="U42" i="3"/>
  <c r="Q42" i="3"/>
  <c r="N42" i="3"/>
  <c r="T42" i="3"/>
  <c r="P42" i="3"/>
  <c r="T37" i="3"/>
  <c r="S37" i="3"/>
  <c r="P37" i="3"/>
  <c r="O37" i="3"/>
  <c r="T36" i="3"/>
  <c r="S36" i="3"/>
  <c r="P36" i="3"/>
  <c r="O36" i="3"/>
  <c r="O70" i="3"/>
  <c r="S70" i="3" s="1"/>
  <c r="T70" i="3" s="1"/>
  <c r="S69" i="3"/>
  <c r="T69" i="3" s="1"/>
  <c r="P69" i="3"/>
  <c r="Q69" i="3" s="1"/>
  <c r="O69" i="3"/>
  <c r="O62" i="3"/>
  <c r="P62" i="3" s="1"/>
  <c r="Q62" i="3" s="1"/>
  <c r="S57" i="3"/>
  <c r="T57" i="3" s="1"/>
  <c r="P57" i="3"/>
  <c r="Q57" i="3" s="1"/>
  <c r="O57" i="3"/>
  <c r="T38" i="3"/>
  <c r="S38" i="3"/>
  <c r="P38" i="3"/>
  <c r="O38" i="3"/>
  <c r="U23" i="3"/>
  <c r="T23" i="3"/>
  <c r="P23" i="3"/>
  <c r="I41" i="3"/>
  <c r="L41" i="3" s="1"/>
  <c r="I40" i="3"/>
  <c r="L40" i="3" s="1"/>
  <c r="I39" i="3"/>
  <c r="L39" i="3" s="1"/>
  <c r="D16" i="1"/>
  <c r="L43" i="3"/>
  <c r="L51" i="3"/>
  <c r="L53" i="3"/>
  <c r="L54" i="3"/>
  <c r="L73" i="3"/>
  <c r="L74" i="3"/>
  <c r="L90" i="3"/>
  <c r="L91" i="3"/>
  <c r="L106" i="3"/>
  <c r="L107" i="3"/>
  <c r="L120" i="3"/>
  <c r="L122" i="3"/>
  <c r="L123" i="3"/>
  <c r="L124" i="3"/>
  <c r="L128" i="3"/>
  <c r="L132" i="3"/>
  <c r="L133" i="3"/>
  <c r="L137" i="3"/>
  <c r="L141" i="3"/>
  <c r="L143" i="3"/>
  <c r="L144" i="3"/>
  <c r="A4" i="6"/>
  <c r="M3" i="6"/>
  <c r="A3" i="6"/>
  <c r="A4" i="5"/>
  <c r="M3" i="5"/>
  <c r="A3" i="5"/>
  <c r="A4" i="3"/>
  <c r="M3" i="3"/>
  <c r="A3" i="3"/>
  <c r="L17" i="3"/>
  <c r="I156" i="3"/>
  <c r="L156" i="3" s="1"/>
  <c r="I155" i="3"/>
  <c r="L155" i="3" s="1"/>
  <c r="I154" i="3"/>
  <c r="L154" i="3" s="1"/>
  <c r="I153" i="3"/>
  <c r="L153" i="3" s="1"/>
  <c r="I152" i="3"/>
  <c r="L152" i="3" s="1"/>
  <c r="I151" i="3"/>
  <c r="L151" i="3" s="1"/>
  <c r="I150" i="3"/>
  <c r="L150" i="3" s="1"/>
  <c r="I149" i="3"/>
  <c r="L149" i="3" s="1"/>
  <c r="I148" i="3"/>
  <c r="L148" i="3" s="1"/>
  <c r="E148" i="3"/>
  <c r="I147" i="3"/>
  <c r="L147" i="3" s="1"/>
  <c r="I146" i="3"/>
  <c r="I145" i="3"/>
  <c r="L145" i="3" s="1"/>
  <c r="I140" i="3"/>
  <c r="L140" i="3" s="1"/>
  <c r="E140" i="3"/>
  <c r="I139" i="3"/>
  <c r="L139" i="3" s="1"/>
  <c r="I138" i="3"/>
  <c r="L138" i="3" s="1"/>
  <c r="I136" i="3"/>
  <c r="L136" i="3" s="1"/>
  <c r="E136" i="3"/>
  <c r="I135" i="3"/>
  <c r="L135" i="3" s="1"/>
  <c r="E135" i="3"/>
  <c r="I134" i="3"/>
  <c r="E134" i="3"/>
  <c r="I130" i="3"/>
  <c r="L130" i="3" s="1"/>
  <c r="I129" i="3"/>
  <c r="L129" i="3" s="1"/>
  <c r="I127" i="3"/>
  <c r="L127" i="3" s="1"/>
  <c r="I126" i="3"/>
  <c r="L126" i="3" s="1"/>
  <c r="I125" i="3"/>
  <c r="L125" i="3" s="1"/>
  <c r="I119" i="3"/>
  <c r="L119" i="3" s="1"/>
  <c r="I118" i="3"/>
  <c r="L118" i="3" s="1"/>
  <c r="I117" i="3"/>
  <c r="L117" i="3" s="1"/>
  <c r="I116" i="3"/>
  <c r="L116" i="3" s="1"/>
  <c r="I115" i="3"/>
  <c r="L115" i="3" s="1"/>
  <c r="I114" i="3"/>
  <c r="L114" i="3" s="1"/>
  <c r="I113" i="3"/>
  <c r="L113" i="3" s="1"/>
  <c r="I112" i="3"/>
  <c r="L112" i="3" s="1"/>
  <c r="I111" i="3"/>
  <c r="L111" i="3" s="1"/>
  <c r="I110" i="3"/>
  <c r="L110" i="3" s="1"/>
  <c r="I109" i="3"/>
  <c r="L109" i="3" s="1"/>
  <c r="I108" i="3"/>
  <c r="L108" i="3" s="1"/>
  <c r="I105" i="3"/>
  <c r="L105" i="3" s="1"/>
  <c r="I104" i="3"/>
  <c r="L104" i="3" s="1"/>
  <c r="I103" i="3"/>
  <c r="L103" i="3" s="1"/>
  <c r="I102" i="3"/>
  <c r="L102" i="3" s="1"/>
  <c r="I101" i="3"/>
  <c r="L101" i="3" s="1"/>
  <c r="I100" i="3"/>
  <c r="L100" i="3" s="1"/>
  <c r="I99" i="3"/>
  <c r="L99" i="3" s="1"/>
  <c r="I98" i="3"/>
  <c r="L98" i="3" s="1"/>
  <c r="I97" i="3"/>
  <c r="L97" i="3" s="1"/>
  <c r="I96" i="3"/>
  <c r="L96" i="3" s="1"/>
  <c r="I95" i="3"/>
  <c r="L95" i="3" s="1"/>
  <c r="I94" i="3"/>
  <c r="L94" i="3" s="1"/>
  <c r="I93" i="3"/>
  <c r="L93" i="3" s="1"/>
  <c r="I92" i="3"/>
  <c r="L92" i="3" s="1"/>
  <c r="I89" i="3"/>
  <c r="L89" i="3" s="1"/>
  <c r="I88" i="3"/>
  <c r="L88" i="3" s="1"/>
  <c r="I87" i="3"/>
  <c r="L87" i="3" s="1"/>
  <c r="I86" i="3"/>
  <c r="L86" i="3" s="1"/>
  <c r="I85" i="3"/>
  <c r="L85" i="3" s="1"/>
  <c r="I84" i="3"/>
  <c r="L84" i="3" s="1"/>
  <c r="I83" i="3"/>
  <c r="L83" i="3" s="1"/>
  <c r="I82" i="3"/>
  <c r="L82" i="3" s="1"/>
  <c r="I81" i="3"/>
  <c r="L81" i="3" s="1"/>
  <c r="I80" i="3"/>
  <c r="L80" i="3" s="1"/>
  <c r="I79" i="3"/>
  <c r="L79" i="3" s="1"/>
  <c r="I78" i="3"/>
  <c r="L78" i="3" s="1"/>
  <c r="I77" i="3"/>
  <c r="L77" i="3" s="1"/>
  <c r="I76" i="3"/>
  <c r="L76" i="3" s="1"/>
  <c r="I75" i="3"/>
  <c r="I71" i="3"/>
  <c r="L71" i="3" s="1"/>
  <c r="I70" i="3"/>
  <c r="L70" i="3" s="1"/>
  <c r="I69" i="3"/>
  <c r="L69" i="3" s="1"/>
  <c r="I68" i="3"/>
  <c r="L68" i="3" s="1"/>
  <c r="I67" i="3"/>
  <c r="L67" i="3" s="1"/>
  <c r="I66" i="3"/>
  <c r="L66" i="3" s="1"/>
  <c r="I65" i="3"/>
  <c r="L65" i="3" s="1"/>
  <c r="I64" i="3"/>
  <c r="L64" i="3" s="1"/>
  <c r="I63" i="3"/>
  <c r="L63" i="3" s="1"/>
  <c r="E63" i="3"/>
  <c r="I62" i="3"/>
  <c r="L62" i="3" s="1"/>
  <c r="E62" i="3"/>
  <c r="I61" i="3"/>
  <c r="L61" i="3" s="1"/>
  <c r="E61" i="3"/>
  <c r="I60" i="3"/>
  <c r="L60" i="3" s="1"/>
  <c r="I59" i="3"/>
  <c r="L59" i="3" s="1"/>
  <c r="I58" i="3"/>
  <c r="L58" i="3" s="1"/>
  <c r="I57" i="3"/>
  <c r="L57" i="3" s="1"/>
  <c r="I56" i="3"/>
  <c r="L56" i="3" s="1"/>
  <c r="I55" i="3"/>
  <c r="L55" i="3" s="1"/>
  <c r="K50" i="3"/>
  <c r="I50" i="3"/>
  <c r="E50" i="3"/>
  <c r="K49" i="3"/>
  <c r="I49" i="3"/>
  <c r="E49" i="3"/>
  <c r="K48" i="3"/>
  <c r="I48" i="3"/>
  <c r="E48" i="3"/>
  <c r="K47" i="3"/>
  <c r="I47" i="3"/>
  <c r="E47" i="3"/>
  <c r="K46" i="3"/>
  <c r="I46" i="3"/>
  <c r="E46" i="3"/>
  <c r="K45" i="3"/>
  <c r="I45" i="3"/>
  <c r="K44" i="3"/>
  <c r="I44" i="3"/>
  <c r="I38" i="3"/>
  <c r="L38" i="3" s="1"/>
  <c r="I37" i="3"/>
  <c r="L37" i="3" s="1"/>
  <c r="I36" i="3"/>
  <c r="L36" i="3" s="1"/>
  <c r="F35" i="3"/>
  <c r="E35" i="3"/>
  <c r="K32" i="3"/>
  <c r="I32" i="3"/>
  <c r="K31" i="3"/>
  <c r="I31" i="3"/>
  <c r="K30" i="3"/>
  <c r="I30" i="3"/>
  <c r="K29" i="3"/>
  <c r="I29" i="3"/>
  <c r="K28" i="3"/>
  <c r="I28" i="3"/>
  <c r="K27" i="3"/>
  <c r="I27" i="3"/>
  <c r="K26" i="3"/>
  <c r="I26" i="3"/>
  <c r="E26" i="3"/>
  <c r="K25" i="3"/>
  <c r="I25" i="3"/>
  <c r="E25" i="3"/>
  <c r="K24" i="3"/>
  <c r="I24" i="3"/>
  <c r="E24" i="3"/>
  <c r="K23" i="3"/>
  <c r="I23" i="3"/>
  <c r="E23" i="3"/>
  <c r="K22" i="3"/>
  <c r="I22" i="3"/>
  <c r="E22" i="3"/>
  <c r="K21" i="3"/>
  <c r="I21" i="3"/>
  <c r="E21" i="3"/>
  <c r="K20" i="3"/>
  <c r="I20" i="3"/>
  <c r="E20" i="3"/>
  <c r="E44" i="3" s="1"/>
  <c r="F19" i="3"/>
  <c r="K16" i="3"/>
  <c r="I16" i="3"/>
  <c r="K15" i="3"/>
  <c r="I15" i="3"/>
  <c r="E15" i="3"/>
  <c r="K14" i="3"/>
  <c r="I14" i="3"/>
  <c r="E14" i="3"/>
  <c r="E16" i="3" s="1"/>
  <c r="K13" i="3"/>
  <c r="I13" i="3"/>
  <c r="I12" i="3"/>
  <c r="L12" i="3" s="1"/>
  <c r="K11" i="3"/>
  <c r="I11" i="3"/>
  <c r="K10" i="3"/>
  <c r="I10" i="3"/>
  <c r="F9" i="3"/>
  <c r="L61" i="6" l="1"/>
  <c r="L69" i="6" s="1"/>
  <c r="I69" i="6"/>
  <c r="J23" i="6"/>
  <c r="K23" i="6" s="1"/>
  <c r="K41" i="6" s="1"/>
  <c r="K9" i="6" s="1"/>
  <c r="I23" i="6"/>
  <c r="J46" i="6"/>
  <c r="K46" i="6" s="1"/>
  <c r="I46" i="6"/>
  <c r="I57" i="6" s="1"/>
  <c r="I10" i="6" s="1"/>
  <c r="K11" i="6"/>
  <c r="L31" i="6"/>
  <c r="R72" i="3"/>
  <c r="R75" i="3" s="1"/>
  <c r="R76" i="3" s="1"/>
  <c r="U72" i="3"/>
  <c r="U75" i="3" s="1"/>
  <c r="U76" i="3" s="1"/>
  <c r="P68" i="3"/>
  <c r="Q68" i="3" s="1"/>
  <c r="P63" i="3"/>
  <c r="Q63" i="3" s="1"/>
  <c r="P56" i="3"/>
  <c r="Q56" i="3" s="1"/>
  <c r="S62" i="3"/>
  <c r="T62" i="3" s="1"/>
  <c r="P70" i="3"/>
  <c r="Q70" i="3" s="1"/>
  <c r="L46" i="3"/>
  <c r="L50" i="3"/>
  <c r="L29" i="3"/>
  <c r="K33" i="3"/>
  <c r="L48" i="3"/>
  <c r="L21" i="3"/>
  <c r="L25" i="3"/>
  <c r="L23" i="3"/>
  <c r="L45" i="3"/>
  <c r="L49" i="3"/>
  <c r="I142" i="3"/>
  <c r="L13" i="3"/>
  <c r="L24" i="3"/>
  <c r="L11" i="3"/>
  <c r="L15" i="3"/>
  <c r="L22" i="3"/>
  <c r="L26" i="3"/>
  <c r="L28" i="3"/>
  <c r="L30" i="3"/>
  <c r="L32" i="3"/>
  <c r="L44" i="3"/>
  <c r="L47" i="3"/>
  <c r="L27" i="3"/>
  <c r="L16" i="3"/>
  <c r="L14" i="3"/>
  <c r="L72" i="3"/>
  <c r="L42" i="3"/>
  <c r="L134" i="3"/>
  <c r="L142" i="3" s="1"/>
  <c r="E9" i="3"/>
  <c r="I33" i="3"/>
  <c r="E45" i="3"/>
  <c r="K18" i="3"/>
  <c r="K52" i="3"/>
  <c r="I131" i="3"/>
  <c r="I158" i="3"/>
  <c r="I18" i="3"/>
  <c r="I42" i="3"/>
  <c r="I52" i="3"/>
  <c r="I72" i="3"/>
  <c r="I121" i="3"/>
  <c r="L20" i="3"/>
  <c r="L146" i="3"/>
  <c r="L158" i="3" s="1"/>
  <c r="L131" i="3"/>
  <c r="L75" i="3"/>
  <c r="L121" i="3" s="1"/>
  <c r="L31" i="3"/>
  <c r="L10" i="3"/>
  <c r="E19" i="3"/>
  <c r="L11" i="6" l="1"/>
  <c r="L93" i="6"/>
  <c r="L23" i="6"/>
  <c r="L41" i="6" s="1"/>
  <c r="L9" i="6" s="1"/>
  <c r="I41" i="6"/>
  <c r="I9" i="6" s="1"/>
  <c r="I11" i="6"/>
  <c r="I93" i="6"/>
  <c r="L46" i="6"/>
  <c r="L57" i="6" s="1"/>
  <c r="L10" i="6" s="1"/>
  <c r="K57" i="6"/>
  <c r="L52" i="3"/>
  <c r="L33" i="3"/>
  <c r="L18" i="3"/>
  <c r="L159" i="3" s="1"/>
  <c r="K159" i="3"/>
  <c r="I159" i="3"/>
  <c r="K10" i="6" l="1"/>
  <c r="K17" i="6" s="1"/>
  <c r="K93" i="6"/>
  <c r="I17" i="6"/>
  <c r="L17" i="6"/>
  <c r="D18" i="1" l="1"/>
  <c r="D19" i="1" l="1"/>
  <c r="D20" i="1" s="1"/>
  <c r="D21" i="1" s="1"/>
  <c r="D24" i="1" s="1"/>
</calcChain>
</file>

<file path=xl/sharedStrings.xml><?xml version="1.0" encoding="utf-8"?>
<sst xmlns="http://schemas.openxmlformats.org/spreadsheetml/2006/main" count="831" uniqueCount="480">
  <si>
    <t>B-4.6</t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</si>
  <si>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</si>
  <si>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</si>
  <si>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</si>
  <si>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</si>
  <si>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</si>
  <si>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</si>
  <si>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</si>
  <si>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</si>
  <si>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</si>
  <si>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</si>
  <si>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</si>
  <si>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</si>
  <si>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</si>
  <si>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</si>
  <si>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</si>
  <si>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</si>
  <si>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</si>
  <si>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</si>
  <si>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</si>
  <si>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</si>
  <si>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</si>
  <si>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</si>
  <si>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</si>
  <si>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</si>
  <si>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</si>
  <si>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</si>
  <si>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</si>
  <si>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</si>
  <si>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</si>
  <si>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</si>
  <si>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</si>
  <si>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</si>
  <si>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</si>
  <si>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</si>
  <si>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</si>
  <si>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</si>
  <si>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</si>
  <si>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</si>
  <si>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</si>
  <si>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</si>
  <si>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</si>
  <si>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</si>
  <si>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</si>
  <si>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</si>
  <si>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</si>
  <si>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</si>
  <si>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</si>
  <si>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</si>
  <si>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</si>
  <si>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</si>
  <si>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</si>
  <si>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</si>
  <si>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</si>
  <si>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</si>
  <si>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</si>
  <si>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</si>
  <si>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</si>
  <si>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</si>
  <si>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</si>
  <si>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</si>
  <si>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</si>
  <si>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</si>
  <si>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</si>
  <si>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</si>
  <si>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</si>
  <si>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</si>
  <si>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</si>
  <si>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</si>
  <si>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</si>
  <si>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</si>
  <si>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</si>
  <si>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</si>
  <si>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</si>
  <si>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</si>
  <si>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</si>
  <si>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</si>
  <si>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</si>
  <si>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</si>
  <si>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</si>
  <si>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</si>
  <si>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</si>
  <si>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</si>
  <si>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</si>
  <si>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</si>
  <si>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</si>
  <si>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</si>
  <si>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</si>
  <si>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</si>
  <si>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</si>
  <si>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</si>
  <si>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</si>
  <si>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</si>
  <si>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</si>
  <si>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</si>
  <si>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</si>
  <si>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</si>
  <si>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</si>
  <si>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</si>
  <si>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</si>
  <si>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</si>
  <si>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</si>
  <si>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</si>
  <si>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</si>
  <si>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</si>
  <si>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</si>
  <si>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</si>
  <si>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</si>
  <si>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</si>
  <si>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</si>
  <si>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</si>
  <si>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</si>
  <si>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</si>
  <si>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</si>
  <si>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</si>
  <si>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</si>
  <si>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</si>
  <si>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</si>
  <si>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</si>
  <si>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</si>
  <si>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</si>
  <si>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</si>
  <si>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</si>
  <si>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</si>
  <si>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</si>
  <si>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</si>
  <si>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</si>
  <si>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</si>
  <si>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</si>
  <si>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</si>
  <si>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</si>
  <si>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</si>
  <si>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</si>
  <si>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</si>
  <si>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</si>
  <si>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</si>
  <si>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</si>
  <si>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</si>
  <si>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</si>
  <si>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</si>
  <si>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</si>
  <si>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</si>
  <si>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</si>
  <si>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</si>
  <si>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</si>
  <si>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</si>
  <si>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</si>
  <si>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</si>
  <si>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</si>
  <si>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</si>
  <si>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</si>
  <si>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</si>
  <si>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</si>
  <si>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</si>
  <si>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</si>
  <si>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</si>
  <si>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</si>
  <si>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</si>
  <si>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</si>
  <si>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</si>
  <si>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</si>
  <si>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</si>
  <si>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</si>
  <si>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</si>
  <si>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</si>
  <si>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</si>
  <si>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</si>
  <si>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</si>
  <si>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</si>
  <si>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</si>
  <si>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</si>
  <si>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</si>
  <si>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</si>
  <si>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</si>
  <si>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</si>
  <si>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</si>
  <si>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</si>
  <si>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</si>
  <si>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</si>
  <si>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</si>
  <si>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อุปกรณ์อื่นๆ</t>
  </si>
  <si>
    <t xml:space="preserve"> - RB 9 มม. SR 24 (เสริมพิเศษหลังคาน @ 0.20 ม.)</t>
  </si>
  <si>
    <t xml:space="preserve">ไม้แบบ </t>
  </si>
  <si>
    <t>F5 - ซีเมนต์ขัดเรียบ (ที่จอดรถ)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</si>
  <si>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</si>
  <si>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</si>
  <si>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</si>
  <si>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</si>
  <si>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</si>
  <si>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</si>
  <si>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</si>
  <si>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</si>
  <si>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น1</t>
  </si>
  <si>
    <t>น2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</si>
  <si>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</si>
  <si>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</si>
  <si>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</si>
  <si>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</si>
  <si>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 xml:space="preserve">งานขุดดิน </t>
  </si>
  <si>
    <t xml:space="preserve">F1 - ปูกระเบื้อง ขนาด 24"x24"                         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</si>
  <si>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</si>
  <si>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</si>
  <si>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</si>
  <si>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</si>
  <si>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</si>
  <si>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</si>
  <si>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</si>
  <si>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</si>
  <si>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</si>
  <si>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</si>
  <si>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</si>
  <si>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</si>
  <si>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</si>
  <si>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</si>
  <si>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</si>
  <si>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</si>
  <si>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</si>
  <si>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</si>
  <si>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</si>
  <si>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</si>
  <si>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</si>
  <si>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</si>
  <si>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</si>
  <si>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</si>
  <si>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</si>
  <si>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</si>
  <si>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</si>
  <si>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</si>
  <si>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</si>
  <si>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</si>
  <si>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</si>
  <si>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</si>
  <si>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กระเบื้องหลังคา</t>
  </si>
  <si>
    <t>จับเซี้ยมเสา</t>
  </si>
  <si>
    <t>แผงบังแดด 3</t>
  </si>
  <si>
    <t>แผงบังแดด 4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</si>
  <si>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</si>
  <si>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</si>
  <si>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</si>
  <si>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</si>
  <si>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C1</t>
  </si>
  <si>
    <t>แผงย่อย, เซอร์กิตเบรกเกอร์ และมิเตอร์ไฟฟ้า</t>
  </si>
  <si>
    <t xml:space="preserve">  -  ตู้ไฟฟ้า CONSUMER UNIT (CU) 14 วงจร</t>
  </si>
  <si>
    <t xml:space="preserve">  -  Molded Case Circuit Breaker (MCCB) 2P,100AT/100AF ,Ics 10 KA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</si>
  <si>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</si>
  <si>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</si>
  <si>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</si>
  <si>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</si>
  <si>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</si>
  <si>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</si>
  <si>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 -  IEC01 (THW) 35 SQ.MM. (MAIN FEEDER)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</si>
  <si>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</si>
  <si>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</si>
  <si>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</si>
  <si>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</si>
  <si>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</si>
  <si>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</si>
  <si>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</si>
  <si>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</si>
  <si>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</si>
  <si>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</si>
  <si>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</si>
  <si>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</si>
  <si>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2 นิ้ว uPVC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</si>
  <si>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</si>
  <si>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</si>
  <si>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</si>
  <si>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</si>
  <si>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</si>
  <si>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</si>
  <si>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</si>
  <si>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</si>
  <si>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</si>
  <si>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</si>
  <si>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</si>
  <si>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</si>
  <si>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</si>
  <si>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</si>
  <si>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</si>
  <si>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</si>
  <si>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</si>
  <si>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</si>
  <si>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</si>
  <si>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</si>
  <si>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</si>
  <si>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</si>
  <si>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</si>
  <si>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</si>
  <si>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</si>
  <si>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</si>
  <si>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</si>
  <si>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</si>
  <si>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</si>
  <si>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</si>
  <si>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</si>
  <si>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</si>
  <si>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</si>
  <si>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</si>
  <si>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</si>
  <si>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</si>
  <si>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</si>
  <si>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</si>
  <si>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</si>
  <si>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</si>
  <si>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</si>
  <si>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</si>
  <si>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</si>
  <si>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</si>
  <si>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</si>
  <si>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</si>
  <si>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</si>
  <si>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</si>
  <si>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</si>
  <si>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</si>
  <si>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</si>
  <si>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</si>
  <si>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</si>
  <si>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</si>
  <si>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</si>
  <si>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</si>
  <si>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</si>
  <si>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</si>
  <si>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</si>
  <si>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</si>
  <si>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</si>
  <si>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</si>
  <si>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</si>
  <si>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</si>
  <si>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</si>
  <si>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</si>
  <si>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</si>
  <si>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</si>
  <si>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</si>
  <si>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</si>
  <si>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</si>
  <si>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</si>
  <si>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</si>
  <si>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</si>
  <si>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</si>
  <si>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</si>
  <si>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</si>
  <si>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 xml:space="preserve">  -  สวิตช์ไฟฟ้า 2 ทาง</t>
  </si>
  <si>
    <t xml:space="preserve"> งานบันได</t>
  </si>
  <si>
    <t>ST1 (บันไดหลัก)</t>
  </si>
  <si>
    <t xml:space="preserve"> - ลูกนอนบันได </t>
  </si>
  <si>
    <t>(ชิ้น)</t>
  </si>
  <si>
    <t xml:space="preserve"> - ชานพักบันได</t>
  </si>
  <si>
    <t xml:space="preserve">    - บัวเชิงผนังไม้สำเร็จรูป 1/2"x4"</t>
  </si>
  <si>
    <t xml:space="preserve">  - ค่าแรงติดตั้งไม้บันได</t>
  </si>
  <si>
    <t xml:space="preserve">     - งานเก็บงานปูนฉาบและสีใต้บันได</t>
  </si>
  <si>
    <t xml:space="preserve">     - ปรับปูนทรายขั้นบันได</t>
  </si>
  <si>
    <t xml:space="preserve">  - ราวบันได</t>
  </si>
  <si>
    <t>B-9</t>
  </si>
  <si>
    <t>B-9.1</t>
  </si>
  <si>
    <t>รวมหมวดงาน B-9</t>
  </si>
  <si>
    <t xml:space="preserve">F2 - พื้น คสล. ผิวลามิเนต </t>
  </si>
  <si>
    <t xml:space="preserve">     - ขัดมันเรียบพื้นลามิเนต</t>
  </si>
  <si>
    <t>ซีเมนต์ขัดมันเรียบผสมน้ำยากันซึม (กันสาด)</t>
  </si>
  <si>
    <t>ผนังอิฐมวลเบา 2 ชั้น</t>
  </si>
  <si>
    <t>B-2.9</t>
  </si>
  <si>
    <t>B-2.10</t>
  </si>
  <si>
    <t>B-4.8</t>
  </si>
  <si>
    <t>B-5.2.3</t>
  </si>
  <si>
    <t>น3</t>
  </si>
  <si>
    <t>B-6.1.13</t>
  </si>
  <si>
    <t>B-6.1.14</t>
  </si>
  <si>
    <t xml:space="preserve"> รวมหมวดงาน B-6</t>
  </si>
  <si>
    <t>แผงบังแดด 5</t>
  </si>
  <si>
    <t>แผงบังแดด 6</t>
  </si>
  <si>
    <t>แผงบังแดด 7</t>
  </si>
  <si>
    <t>แผงบังแดด 8</t>
  </si>
  <si>
    <t>แผงบังแดด 9</t>
  </si>
  <si>
    <t>แผงบังแดด 10</t>
  </si>
  <si>
    <t>แผงบังแดด 11</t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</si>
  <si>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 (ตามระบุในแบบ GG-0.03)</t>
    </r>
  </si>
  <si>
    <t>B-2.11</t>
  </si>
  <si>
    <t>B-5.1.7</t>
  </si>
  <si>
    <t>ป7</t>
  </si>
  <si>
    <t>B-5.1.8</t>
  </si>
  <si>
    <t>ป8</t>
  </si>
  <si>
    <t>B-5.1.9</t>
  </si>
  <si>
    <t>ป9</t>
  </si>
  <si>
    <t>แผงบังแดด 12</t>
  </si>
  <si>
    <t>ผนังปิดผิวด้วยแผ่นสมาร์ทบอร์ด รุ่นเซาะร่อง 4 นิ้ว</t>
  </si>
  <si>
    <t>B-5.2.4</t>
  </si>
  <si>
    <t>น4</t>
  </si>
  <si>
    <t>B-1.6</t>
  </si>
  <si>
    <t>B-2.6</t>
  </si>
  <si>
    <t>เสาเอ็น+ทับหลัง  0.10x0.20 m.</t>
  </si>
  <si>
    <t>B-5.2.5</t>
  </si>
  <si>
    <t>น5</t>
  </si>
  <si>
    <t>ห้องน้ำ1 (ค่าแรงอยู่ในงานสุขาภิบาลแล้ว)</t>
  </si>
  <si>
    <t>B-6.2</t>
  </si>
  <si>
    <t>ห้องน้ำ 2 (ค่าแรงอยู่ในงานสุขาภิบาลแล้ว)</t>
  </si>
  <si>
    <t>B-6.2.1</t>
  </si>
  <si>
    <t>B-6.2.2</t>
  </si>
  <si>
    <t>B-6.2.3</t>
  </si>
  <si>
    <t>B-6.2.4</t>
  </si>
  <si>
    <t>B-6.2.5</t>
  </si>
  <si>
    <t>B-6.2.6</t>
  </si>
  <si>
    <t>B-6.2.7</t>
  </si>
  <si>
    <t>B-6.2.8</t>
  </si>
  <si>
    <t>B-6.2.9</t>
  </si>
  <si>
    <t>B-6.2.10</t>
  </si>
  <si>
    <t>B-6.2.11</t>
  </si>
  <si>
    <t>B-6.2.12</t>
  </si>
  <si>
    <t>B-6.2.13</t>
  </si>
  <si>
    <t>B-6.2.14</t>
  </si>
  <si>
    <t>B-6.3</t>
  </si>
  <si>
    <t>ห้องน้ำ 3 (ค่าแรงอยู่ในงานสุขาภิบาลแล้ว)</t>
  </si>
  <si>
    <t>B-6.3.1</t>
  </si>
  <si>
    <t>B-6.3.2</t>
  </si>
  <si>
    <t>B-6.3.3</t>
  </si>
  <si>
    <t>B-6.3.4</t>
  </si>
  <si>
    <t>B-6.3.5</t>
  </si>
  <si>
    <t>B-6.3.7</t>
  </si>
  <si>
    <t>B-6.3.9</t>
  </si>
  <si>
    <t>B-6.3.10</t>
  </si>
  <si>
    <t>B-6.3.11</t>
  </si>
  <si>
    <t>B-6.3.12</t>
  </si>
  <si>
    <t>B-6.3.13</t>
  </si>
  <si>
    <t>B-6.3.14</t>
  </si>
  <si>
    <t>B-7.1.3</t>
  </si>
  <si>
    <t>หลังคาเหล็กชุบสังกะสี รีดลอน เคลือบสี</t>
  </si>
  <si>
    <t xml:space="preserve"> ความหนารวม 0.5 มม. แบบไม่มีคลิปล็อค</t>
  </si>
  <si>
    <t>B-7.1.2</t>
  </si>
  <si>
    <t xml:space="preserve">แผงบังแดด </t>
  </si>
  <si>
    <t>B-9.1.1</t>
  </si>
  <si>
    <t>B-9.1.2</t>
  </si>
  <si>
    <t>B-9.1.3</t>
  </si>
  <si>
    <t>B-9.1.4</t>
  </si>
  <si>
    <t>B-9.1.5</t>
  </si>
  <si>
    <t>B-9.1.6</t>
  </si>
  <si>
    <t>B-9.1.7</t>
  </si>
  <si>
    <t>B-9.1.8</t>
  </si>
  <si>
    <t>B-9.1.9</t>
  </si>
  <si>
    <t>B-9.1.10</t>
  </si>
  <si>
    <t>B-9.1.11</t>
  </si>
  <si>
    <t>B-9.1.12</t>
  </si>
  <si>
    <t>แบบบ้าน : ดีดีรักษ์กัน 1</t>
  </si>
  <si>
    <t>B-3.4</t>
  </si>
  <si>
    <t>B-3.5</t>
  </si>
  <si>
    <t>B-3.6</t>
  </si>
  <si>
    <t>C5 - ฝ้าเพดานยิบซั่มบอร์ด หนา 9 มม. ชนิดธรรมดา โครงเคร่าเหล็กชุบสังกะสี  @ 0.60x0.60m.</t>
  </si>
  <si>
    <t xml:space="preserve">C6 - ฝ้าเพดานยิปซั่มบอร์ดทนความชื้น หนา 9 มม. ฉาบเรียบโครงเคร่าเหล็กชุบสังกะสี @ 0.60x0.60m. </t>
  </si>
  <si>
    <t>C4 - ฉาบปูนเรียบใต้ท้องพื้น</t>
  </si>
  <si>
    <t xml:space="preserve">  -  FITTING &amp; ACCESSORIES งานติดตั้งสายไฟและงานเดินท่อ(10%)</t>
  </si>
  <si>
    <t xml:space="preserve">  -  โคมไฟเพดานหลอด T8 FLUORESCENT 18W/ชนิดขั้วหลอด G13  (กันแมลง)</t>
  </si>
  <si>
    <t xml:space="preserve">  -  ค่าขอมิเตอร์ไฟฟ้าขนาด 1P-30(100A) และหมายเลขโทรศัพท์ (BY OWNER)</t>
  </si>
  <si>
    <t xml:space="preserve"> หมวดงานระบบไฟฟ้า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</si>
  <si>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</si>
  <si>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</si>
  <si>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</si>
  <si>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</si>
  <si>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</si>
  <si>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</si>
  <si>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คอนกรีตหยาบ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</si>
  <si>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</si>
  <si>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</si>
  <si>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</si>
  <si>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</si>
  <si>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</si>
  <si>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 xml:space="preserve"> - ขนาด1 1/2 นิ้ว </t>
  </si>
  <si>
    <t>RD</t>
  </si>
  <si>
    <t>ถังดักไขมันสำเร็จรูป ชนิดติดตั้งใต้อ่างล้างจาน</t>
  </si>
  <si>
    <t>บ่อดักกลิ่น</t>
  </si>
  <si>
    <t>ค่าแรงประกอบไม้แบบ</t>
  </si>
  <si>
    <t>ไม้คร่าวยึดแบบหล่อ ขนาด 1.5 x 3 นิ้ว</t>
  </si>
  <si>
    <t>งานโครงสร้าง คสล. (คาน,เสา,พื้น+บันได+หนวดกุ้ง)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</si>
  <si>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</si>
  <si>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</si>
  <si>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</si>
  <si>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</si>
  <si>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</si>
  <si>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>งานโครงสร้างชั้น หลังคา</t>
  </si>
  <si>
    <t>A-3-1</t>
  </si>
  <si>
    <t xml:space="preserve">    Rectangular Tube 150 x 50 x 3.2 mm.</t>
  </si>
  <si>
    <t xml:space="preserve">    Rectangular Tube 75 x 38 x 3.2 mm.</t>
  </si>
  <si>
    <t>Light Lip Channel 150 x 50 x 20 x 3.2 mm.</t>
  </si>
  <si>
    <t>สีกันสนิม ของ TOA หรือเทียบเท่า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</si>
</sst>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42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1"/>
      <color theme="3"/>
      <name val="Arial Narrow"/>
      <family val="2"/>
    </font>
    <font>
      <sz val="11"/>
      <color rgb="FFFF0000"/>
      <name val="Arial Narrow"/>
      <family val="2"/>
    </font>
    <font>
      <sz val="11"/>
      <color theme="3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57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164" fontId="41" fillId="0" borderId="0" applyFont="0" applyFill="0" applyBorder="0" applyAlignment="0" applyProtection="0"/>
  </cellStyleXfs>
  <cellXfs count="576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0" fontId="9" fillId="0" borderId="0" xfId="0" applyFont="1" applyFill="1" applyBorder="1" applyAlignment="1">
      <alignment vertical="center"/>
    </xf>
    <xf numFmtId="0" fontId="11" fillId="24" borderId="0" xfId="0" applyFont="1" applyFill="1" applyBorder="1" applyAlignment="1">
      <alignment vertical="center"/>
    </xf>
    <xf numFmtId="0" fontId="11" fillId="24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30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1" xfId="52" applyFont="1" applyFill="1" applyBorder="1" applyAlignment="1" applyProtection="1">
      <alignment vertical="center"/>
      <protection locked="0"/>
    </xf>
    <xf numFmtId="43" fontId="10" fillId="27" borderId="32" xfId="0" applyNumberFormat="1" applyFont="1" applyFill="1" applyBorder="1" applyAlignment="1" applyProtection="1">
      <alignment vertical="center"/>
      <protection locked="0"/>
    </xf>
    <xf numFmtId="0" fontId="10" fillId="27" borderId="25" xfId="0" applyFont="1" applyFill="1" applyBorder="1" applyAlignment="1">
      <alignment horizontal="center" vertical="center"/>
    </xf>
    <xf numFmtId="0" fontId="10" fillId="27" borderId="26" xfId="0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  <protection locked="0"/>
    </xf>
    <xf numFmtId="164" fontId="10" fillId="27" borderId="26" xfId="52" applyFont="1" applyFill="1" applyBorder="1" applyAlignment="1" applyProtection="1">
      <alignment vertical="center"/>
      <protection locked="0"/>
    </xf>
    <xf numFmtId="43" fontId="10" fillId="27" borderId="27" xfId="0" applyNumberFormat="1" applyFont="1" applyFill="1" applyBorder="1" applyAlignment="1" applyProtection="1">
      <alignment vertical="center"/>
      <protection locked="0"/>
    </xf>
    <xf numFmtId="0" fontId="10" fillId="27" borderId="33" xfId="0" applyFont="1" applyFill="1" applyBorder="1" applyAlignment="1" applyProtection="1">
      <alignment horizontal="center" vertical="center"/>
      <protection locked="0"/>
    </xf>
    <xf numFmtId="0" fontId="10" fillId="27" borderId="31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0" fontId="10" fillId="27" borderId="26" xfId="0" applyFont="1" applyFill="1" applyBorder="1" applyAlignment="1" applyProtection="1">
      <alignment horizontal="center" vertical="center"/>
      <protection locked="0"/>
    </xf>
    <xf numFmtId="0" fontId="11" fillId="27" borderId="31" xfId="0" applyFont="1" applyFill="1" applyBorder="1" applyAlignment="1" applyProtection="1">
      <alignment horizontal="center" vertical="center"/>
      <protection locked="0"/>
    </xf>
    <xf numFmtId="10" fontId="14" fillId="27" borderId="31" xfId="54" applyNumberFormat="1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horizontal="center" vertical="center"/>
      <protection locked="0"/>
    </xf>
    <xf numFmtId="164" fontId="11" fillId="27" borderId="31" xfId="52" applyFont="1" applyFill="1" applyBorder="1" applyAlignment="1" applyProtection="1">
      <alignment vertical="center"/>
      <protection locked="0"/>
    </xf>
    <xf numFmtId="0" fontId="11" fillId="27" borderId="33" xfId="0" applyFont="1" applyFill="1" applyBorder="1" applyAlignment="1" applyProtection="1">
      <alignment horizontal="center" vertical="center"/>
      <protection locked="0"/>
    </xf>
    <xf numFmtId="0" fontId="10" fillId="27" borderId="34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5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6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7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8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9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0" fillId="26" borderId="43" xfId="0" applyFont="1" applyFill="1" applyBorder="1" applyAlignment="1">
      <alignment horizontal="center" vertical="center"/>
    </xf>
    <xf numFmtId="0" fontId="11" fillId="26" borderId="36" xfId="0" applyFont="1" applyFill="1" applyBorder="1" applyAlignment="1">
      <alignment horizontal="center" vertical="center"/>
    </xf>
    <xf numFmtId="164" fontId="10" fillId="26" borderId="37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 applyProtection="1">
      <alignment horizontal="center" vertical="center"/>
    </xf>
    <xf numFmtId="10" fontId="13" fillId="25" borderId="44" xfId="54" applyNumberFormat="1" applyFont="1" applyFill="1" applyBorder="1" applyAlignment="1" applyProtection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  <protection locked="0"/>
    </xf>
    <xf numFmtId="164" fontId="10" fillId="25" borderId="44" xfId="52" applyFont="1" applyFill="1" applyBorder="1" applyAlignment="1" applyProtection="1">
      <alignment vertical="center"/>
      <protection locked="0"/>
    </xf>
    <xf numFmtId="164" fontId="10" fillId="25" borderId="44" xfId="52" applyFont="1" applyFill="1" applyBorder="1" applyAlignment="1" applyProtection="1">
      <alignment vertical="center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6" xfId="0" applyNumberFormat="1" applyFont="1" applyFill="1" applyBorder="1" applyAlignment="1" applyProtection="1">
      <alignment vertical="center"/>
      <protection locked="0"/>
    </xf>
    <xf numFmtId="0" fontId="10" fillId="25" borderId="47" xfId="0" applyFont="1" applyFill="1" applyBorder="1" applyAlignment="1">
      <alignment horizontal="center" vertical="center"/>
    </xf>
    <xf numFmtId="0" fontId="12" fillId="25" borderId="48" xfId="0" applyFont="1" applyFill="1" applyBorder="1" applyAlignment="1" applyProtection="1">
      <alignment horizontal="left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0" fontId="10" fillId="0" borderId="49" xfId="0" applyFont="1" applyFill="1" applyBorder="1" applyAlignment="1" applyProtection="1">
      <alignment horizontal="left" vertical="center"/>
    </xf>
    <xf numFmtId="0" fontId="11" fillId="0" borderId="49" xfId="0" applyFont="1" applyFill="1" applyBorder="1" applyAlignment="1" applyProtection="1">
      <alignment horizontal="center" vertical="center"/>
    </xf>
    <xf numFmtId="43" fontId="10" fillId="25" borderId="37" xfId="0" applyNumberFormat="1" applyFont="1" applyFill="1" applyBorder="1" applyAlignment="1" applyProtection="1">
      <alignment vertical="center"/>
      <protection locked="0"/>
    </xf>
    <xf numFmtId="0" fontId="10" fillId="25" borderId="44" xfId="0" applyFont="1" applyFill="1" applyBorder="1" applyAlignment="1">
      <alignment horizontal="center" vertical="center"/>
    </xf>
    <xf numFmtId="0" fontId="10" fillId="25" borderId="44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43" fontId="11" fillId="25" borderId="52" xfId="0" applyNumberFormat="1" applyFont="1" applyFill="1" applyBorder="1" applyAlignment="1" applyProtection="1">
      <alignment vertical="center"/>
      <protection locked="0"/>
    </xf>
    <xf numFmtId="165" fontId="11" fillId="25" borderId="53" xfId="0" applyNumberFormat="1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center" vertical="center"/>
    </xf>
    <xf numFmtId="10" fontId="14" fillId="25" borderId="49" xfId="54" applyNumberFormat="1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</xf>
    <xf numFmtId="164" fontId="11" fillId="25" borderId="49" xfId="52" applyFont="1" applyFill="1" applyBorder="1" applyAlignment="1" applyProtection="1">
      <alignment horizontal="center" vertical="center"/>
      <protection locked="0"/>
    </xf>
    <xf numFmtId="164" fontId="11" fillId="25" borderId="49" xfId="52" applyFont="1" applyFill="1" applyBorder="1" applyAlignment="1" applyProtection="1">
      <alignment vertical="center"/>
      <protection locked="0"/>
    </xf>
    <xf numFmtId="164" fontId="11" fillId="25" borderId="49" xfId="52" applyFont="1" applyFill="1" applyBorder="1" applyAlignment="1" applyProtection="1">
      <alignment vertical="center"/>
    </xf>
    <xf numFmtId="43" fontId="11" fillId="25" borderId="46" xfId="0" applyNumberFormat="1" applyFont="1" applyFill="1" applyBorder="1" applyAlignment="1" applyProtection="1">
      <alignment vertical="center"/>
      <protection locked="0"/>
    </xf>
    <xf numFmtId="0" fontId="11" fillId="25" borderId="54" xfId="0" applyFont="1" applyFill="1" applyBorder="1" applyAlignment="1" applyProtection="1">
      <alignment horizontal="left" vertical="center"/>
    </xf>
    <xf numFmtId="0" fontId="11" fillId="25" borderId="54" xfId="0" applyFont="1" applyFill="1" applyBorder="1" applyAlignment="1" applyProtection="1">
      <alignment horizontal="center" vertical="center"/>
    </xf>
    <xf numFmtId="10" fontId="14" fillId="25" borderId="54" xfId="54" applyNumberFormat="1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</xf>
    <xf numFmtId="164" fontId="11" fillId="25" borderId="54" xfId="52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 applyProtection="1">
      <alignment vertical="center"/>
      <protection locked="0"/>
    </xf>
    <xf numFmtId="164" fontId="11" fillId="25" borderId="54" xfId="52" applyFont="1" applyFill="1" applyBorder="1" applyAlignment="1" applyProtection="1">
      <alignment vertical="center"/>
    </xf>
    <xf numFmtId="43" fontId="11" fillId="25" borderId="55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9" xfId="52" applyFont="1" applyFill="1" applyBorder="1" applyAlignment="1" applyProtection="1">
      <alignment vertical="center"/>
      <protection locked="0"/>
    </xf>
    <xf numFmtId="164" fontId="11" fillId="25" borderId="56" xfId="52" applyFont="1" applyFill="1" applyBorder="1" applyAlignment="1" applyProtection="1">
      <alignment horizontal="center" vertical="center"/>
      <protection locked="0"/>
    </xf>
    <xf numFmtId="164" fontId="11" fillId="25" borderId="56" xfId="52" applyFont="1" applyFill="1" applyBorder="1" applyAlignment="1" applyProtection="1">
      <alignment vertical="center"/>
      <protection locked="0"/>
    </xf>
    <xf numFmtId="43" fontId="10" fillId="25" borderId="52" xfId="0" applyNumberFormat="1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6" xfId="0" applyNumberFormat="1" applyFont="1" applyFill="1" applyBorder="1" applyAlignment="1">
      <alignment horizontal="left" vertical="center"/>
    </xf>
    <xf numFmtId="164" fontId="11" fillId="25" borderId="36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7" xfId="0" applyFont="1" applyFill="1" applyBorder="1" applyAlignment="1">
      <alignment vertical="center"/>
    </xf>
    <xf numFmtId="0" fontId="10" fillId="25" borderId="58" xfId="0" applyFont="1" applyFill="1" applyBorder="1" applyAlignment="1">
      <alignment horizontal="center" vertical="center"/>
    </xf>
    <xf numFmtId="164" fontId="10" fillId="25" borderId="44" xfId="52" applyFont="1" applyFill="1" applyBorder="1" applyAlignment="1" applyProtection="1">
      <alignment horizontal="center" vertical="center"/>
    </xf>
    <xf numFmtId="0" fontId="11" fillId="25" borderId="59" xfId="0" applyFont="1" applyFill="1" applyBorder="1" applyAlignment="1">
      <alignment vertical="center"/>
    </xf>
    <xf numFmtId="0" fontId="10" fillId="25" borderId="60" xfId="0" applyFont="1" applyFill="1" applyBorder="1" applyAlignment="1">
      <alignment horizontal="center" vertical="center"/>
    </xf>
    <xf numFmtId="0" fontId="12" fillId="25" borderId="61" xfId="0" applyFont="1" applyFill="1" applyBorder="1" applyAlignment="1" applyProtection="1">
      <alignment vertical="center"/>
    </xf>
    <xf numFmtId="0" fontId="10" fillId="25" borderId="61" xfId="0" applyFont="1" applyFill="1" applyBorder="1" applyAlignment="1" applyProtection="1">
      <alignment horizontal="center" vertical="center"/>
    </xf>
    <xf numFmtId="0" fontId="10" fillId="25" borderId="62" xfId="0" applyFont="1" applyFill="1" applyBorder="1" applyAlignment="1" applyProtection="1">
      <alignment vertical="center"/>
      <protection locked="0"/>
    </xf>
    <xf numFmtId="0" fontId="10" fillId="25" borderId="53" xfId="0" applyFont="1" applyFill="1" applyBorder="1" applyAlignment="1">
      <alignment horizontal="center" vertical="center"/>
    </xf>
    <xf numFmtId="0" fontId="12" fillId="25" borderId="49" xfId="0" applyFont="1" applyFill="1" applyBorder="1" applyAlignment="1" applyProtection="1">
      <alignment vertical="center"/>
    </xf>
    <xf numFmtId="0" fontId="10" fillId="25" borderId="49" xfId="0" applyFont="1" applyFill="1" applyBorder="1" applyAlignment="1" applyProtection="1">
      <alignment horizontal="center" vertical="center"/>
    </xf>
    <xf numFmtId="10" fontId="13" fillId="25" borderId="49" xfId="54" applyNumberFormat="1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</xf>
    <xf numFmtId="164" fontId="10" fillId="25" borderId="49" xfId="52" applyFont="1" applyFill="1" applyBorder="1" applyAlignment="1" applyProtection="1">
      <alignment horizontal="center" vertical="center"/>
      <protection locked="0"/>
    </xf>
    <xf numFmtId="164" fontId="10" fillId="25" borderId="49" xfId="52" applyFont="1" applyFill="1" applyBorder="1" applyAlignment="1" applyProtection="1">
      <alignment vertical="center"/>
    </xf>
    <xf numFmtId="0" fontId="10" fillId="25" borderId="46" xfId="0" applyFont="1" applyFill="1" applyBorder="1" applyAlignment="1" applyProtection="1">
      <alignment vertical="center"/>
      <protection locked="0"/>
    </xf>
    <xf numFmtId="164" fontId="10" fillId="25" borderId="48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2" fillId="25" borderId="44" xfId="0" applyFont="1" applyFill="1" applyBorder="1" applyAlignment="1" applyProtection="1">
      <alignment horizontal="left" vertical="center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4" xfId="0" applyFont="1" applyFill="1" applyBorder="1" applyAlignment="1" applyProtection="1">
      <alignment horizontal="center" vertical="center"/>
      <protection locked="0"/>
    </xf>
    <xf numFmtId="10" fontId="13" fillId="25" borderId="14" xfId="54" applyNumberFormat="1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5" xfId="0" applyNumberFormat="1" applyFont="1" applyFill="1" applyBorder="1" applyAlignment="1" applyProtection="1">
      <alignment vertical="center"/>
      <protection locked="0"/>
    </xf>
    <xf numFmtId="0" fontId="10" fillId="25" borderId="63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4" xfId="52" applyFont="1" applyFill="1" applyBorder="1" applyAlignment="1" applyProtection="1">
      <alignment horizontal="left" vertical="center"/>
      <protection locked="0"/>
    </xf>
    <xf numFmtId="43" fontId="10" fillId="25" borderId="45" xfId="0" applyNumberFormat="1" applyFont="1" applyFill="1" applyBorder="1" applyAlignment="1" applyProtection="1">
      <alignment horizontal="left" vertical="center"/>
      <protection locked="0"/>
    </xf>
    <xf numFmtId="0" fontId="11" fillId="25" borderId="53" xfId="0" applyFont="1" applyFill="1" applyBorder="1" applyAlignment="1">
      <alignment horizontal="center" vertical="center"/>
    </xf>
    <xf numFmtId="0" fontId="11" fillId="25" borderId="49" xfId="0" applyFont="1" applyFill="1" applyBorder="1" applyAlignment="1" applyProtection="1">
      <alignment horizontal="left" vertical="center" wrapText="1" shrinkToFit="1"/>
    </xf>
    <xf numFmtId="0" fontId="11" fillId="25" borderId="49" xfId="0" applyFont="1" applyFill="1" applyBorder="1" applyAlignment="1" applyProtection="1">
      <alignment horizontal="left" vertical="center"/>
    </xf>
    <xf numFmtId="0" fontId="11" fillId="25" borderId="49" xfId="0" applyFont="1" applyFill="1" applyBorder="1" applyAlignment="1" applyProtection="1">
      <alignment vertical="center"/>
    </xf>
    <xf numFmtId="0" fontId="11" fillId="25" borderId="53" xfId="0" applyFont="1" applyFill="1" applyBorder="1" applyAlignment="1">
      <alignment horizontal="right" vertical="center"/>
    </xf>
    <xf numFmtId="2" fontId="11" fillId="25" borderId="64" xfId="0" applyNumberFormat="1" applyFont="1" applyFill="1" applyBorder="1" applyAlignment="1">
      <alignment horizontal="center" vertical="center"/>
    </xf>
    <xf numFmtId="0" fontId="11" fillId="25" borderId="54" xfId="0" applyFont="1" applyFill="1" applyBorder="1" applyAlignment="1" applyProtection="1">
      <alignment vertical="center"/>
    </xf>
    <xf numFmtId="0" fontId="11" fillId="25" borderId="49" xfId="0" applyFont="1" applyFill="1" applyBorder="1" applyAlignment="1" applyProtection="1">
      <alignment horizontal="left" vertical="center" wrapText="1" indent="2" shrinkToFit="1"/>
    </xf>
    <xf numFmtId="0" fontId="11" fillId="25" borderId="49" xfId="0" applyFont="1" applyFill="1" applyBorder="1" applyAlignment="1" applyProtection="1">
      <alignment horizontal="left" vertical="center" indent="2"/>
    </xf>
    <xf numFmtId="0" fontId="11" fillId="25" borderId="56" xfId="0" applyFont="1" applyFill="1" applyBorder="1" applyAlignment="1" applyProtection="1">
      <alignment vertical="center"/>
    </xf>
    <xf numFmtId="0" fontId="11" fillId="25" borderId="56" xfId="0" applyFont="1" applyFill="1" applyBorder="1" applyAlignment="1" applyProtection="1">
      <alignment horizontal="center" vertical="center"/>
    </xf>
    <xf numFmtId="43" fontId="11" fillId="25" borderId="65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>
      <alignment horizontal="right" vertical="center"/>
    </xf>
    <xf numFmtId="0" fontId="11" fillId="25" borderId="67" xfId="0" applyFont="1" applyFill="1" applyBorder="1" applyAlignment="1" applyProtection="1">
      <alignment vertical="center"/>
    </xf>
    <xf numFmtId="0" fontId="11" fillId="25" borderId="67" xfId="0" applyFont="1" applyFill="1" applyBorder="1" applyAlignment="1" applyProtection="1">
      <alignment horizontal="center" vertical="center"/>
    </xf>
    <xf numFmtId="10" fontId="14" fillId="25" borderId="67" xfId="54" applyNumberFormat="1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</xf>
    <xf numFmtId="164" fontId="11" fillId="25" borderId="67" xfId="52" applyFont="1" applyFill="1" applyBorder="1" applyAlignment="1" applyProtection="1">
      <alignment horizontal="center" vertical="center"/>
      <protection locked="0"/>
    </xf>
    <xf numFmtId="164" fontId="11" fillId="25" borderId="67" xfId="52" applyFont="1" applyFill="1" applyBorder="1" applyAlignment="1" applyProtection="1">
      <alignment vertical="center"/>
      <protection locked="0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0" fontId="10" fillId="25" borderId="49" xfId="0" applyFont="1" applyFill="1" applyBorder="1" applyAlignment="1" applyProtection="1">
      <alignment vertical="center"/>
    </xf>
    <xf numFmtId="0" fontId="11" fillId="25" borderId="49" xfId="0" applyFont="1" applyFill="1" applyBorder="1" applyAlignment="1" applyProtection="1">
      <alignment horizontal="left" vertical="center" wrapText="1" indent="1" shrinkToFit="1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10" fontId="13" fillId="25" borderId="68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  <protection locked="0"/>
    </xf>
    <xf numFmtId="164" fontId="10" fillId="25" borderId="68" xfId="52" applyFont="1" applyFill="1" applyBorder="1" applyAlignment="1" applyProtection="1">
      <alignment horizontal="centerContinuous" vertical="center"/>
    </xf>
    <xf numFmtId="0" fontId="10" fillId="25" borderId="69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9" xfId="0" applyFont="1" applyFill="1" applyBorder="1" applyAlignment="1" applyProtection="1">
      <alignment vertical="center" wrapText="1" shrinkToFit="1"/>
    </xf>
    <xf numFmtId="0" fontId="11" fillId="25" borderId="70" xfId="0" applyFont="1" applyFill="1" applyBorder="1" applyAlignment="1">
      <alignment horizontal="center" vertical="center"/>
    </xf>
    <xf numFmtId="0" fontId="11" fillId="25" borderId="71" xfId="0" applyFont="1" applyFill="1" applyBorder="1" applyAlignment="1" applyProtection="1">
      <alignment horizontal="center" vertical="center"/>
    </xf>
    <xf numFmtId="10" fontId="14" fillId="25" borderId="71" xfId="54" applyNumberFormat="1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</xf>
    <xf numFmtId="164" fontId="11" fillId="25" borderId="71" xfId="52" applyFont="1" applyFill="1" applyBorder="1" applyAlignment="1" applyProtection="1">
      <alignment horizontal="center" vertical="center"/>
      <protection locked="0"/>
    </xf>
    <xf numFmtId="164" fontId="11" fillId="25" borderId="71" xfId="52" applyFont="1" applyFill="1" applyBorder="1" applyAlignment="1" applyProtection="1">
      <alignment vertical="center"/>
      <protection locked="0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vertical="center" wrapText="1" shrinkToFit="1"/>
      <protection locked="0"/>
    </xf>
    <xf numFmtId="0" fontId="11" fillId="25" borderId="64" xfId="0" applyFont="1" applyFill="1" applyBorder="1" applyAlignment="1">
      <alignment horizontal="center" vertical="center"/>
    </xf>
    <xf numFmtId="0" fontId="11" fillId="25" borderId="47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 applyProtection="1">
      <alignment horizontal="left" vertical="center" wrapText="1"/>
    </xf>
    <xf numFmtId="0" fontId="11" fillId="25" borderId="49" xfId="0" applyFont="1" applyFill="1" applyBorder="1" applyAlignment="1">
      <alignment vertical="center"/>
    </xf>
    <xf numFmtId="0" fontId="11" fillId="25" borderId="72" xfId="0" applyFont="1" applyFill="1" applyBorder="1" applyAlignment="1">
      <alignment horizontal="center" vertical="center"/>
    </xf>
    <xf numFmtId="0" fontId="10" fillId="25" borderId="47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0" fontId="11" fillId="25" borderId="53" xfId="0" applyFont="1" applyFill="1" applyBorder="1" applyAlignment="1" applyProtection="1">
      <alignment horizontal="center" vertical="center"/>
      <protection locked="0"/>
    </xf>
    <xf numFmtId="0" fontId="11" fillId="25" borderId="49" xfId="0" applyFont="1" applyFill="1" applyBorder="1" applyAlignment="1" applyProtection="1">
      <alignment horizontal="center" vertical="center"/>
      <protection locked="0"/>
    </xf>
    <xf numFmtId="10" fontId="14" fillId="25" borderId="49" xfId="54" applyNumberFormat="1" applyFont="1" applyFill="1" applyBorder="1" applyAlignment="1" applyProtection="1">
      <alignment horizontal="center" vertical="center"/>
      <protection locked="0"/>
    </xf>
    <xf numFmtId="43" fontId="33" fillId="25" borderId="46" xfId="0" applyNumberFormat="1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/>
      <protection locked="0"/>
    </xf>
    <xf numFmtId="0" fontId="11" fillId="25" borderId="49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7" xfId="0" applyFont="1" applyFill="1" applyBorder="1" applyAlignment="1" applyProtection="1">
      <alignment horizontal="center" vertical="center"/>
      <protection locked="0"/>
    </xf>
    <xf numFmtId="0" fontId="10" fillId="25" borderId="49" xfId="0" applyFont="1" applyFill="1" applyBorder="1" applyAlignment="1" applyProtection="1">
      <alignment vertical="center" wrapText="1" shrinkToFit="1"/>
    </xf>
    <xf numFmtId="10" fontId="14" fillId="0" borderId="49" xfId="54" applyNumberFormat="1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</xf>
    <xf numFmtId="164" fontId="11" fillId="0" borderId="49" xfId="52" applyFont="1" applyFill="1" applyBorder="1" applyAlignment="1" applyProtection="1">
      <alignment horizontal="center" vertical="center"/>
      <protection locked="0"/>
    </xf>
    <xf numFmtId="169" fontId="16" fillId="0" borderId="49" xfId="52" applyNumberFormat="1" applyFont="1" applyFill="1" applyBorder="1" applyAlignment="1" applyProtection="1">
      <alignment vertical="center"/>
      <protection locked="0"/>
    </xf>
    <xf numFmtId="164" fontId="11" fillId="0" borderId="49" xfId="52" applyFont="1" applyFill="1" applyBorder="1" applyAlignment="1" applyProtection="1">
      <alignment horizontal="left" vertical="center"/>
      <protection locked="0"/>
    </xf>
    <xf numFmtId="164" fontId="11" fillId="0" borderId="49" xfId="52" applyFont="1" applyFill="1" applyBorder="1" applyAlignment="1" applyProtection="1">
      <alignment vertical="center"/>
    </xf>
    <xf numFmtId="43" fontId="11" fillId="0" borderId="46" xfId="0" applyNumberFormat="1" applyFont="1" applyFill="1" applyBorder="1" applyAlignment="1" applyProtection="1">
      <alignment vertical="center"/>
      <protection locked="0"/>
    </xf>
    <xf numFmtId="164" fontId="11" fillId="25" borderId="44" xfId="52" applyFont="1" applyFill="1" applyBorder="1" applyAlignment="1" applyProtection="1">
      <alignment horizontal="center" vertical="center"/>
    </xf>
    <xf numFmtId="0" fontId="11" fillId="25" borderId="49" xfId="0" applyFont="1" applyFill="1" applyBorder="1" applyAlignment="1">
      <alignment horizontal="center" vertical="center"/>
    </xf>
    <xf numFmtId="0" fontId="11" fillId="27" borderId="31" xfId="0" applyFont="1" applyFill="1" applyBorder="1" applyAlignment="1">
      <alignment vertical="center"/>
    </xf>
    <xf numFmtId="0" fontId="11" fillId="25" borderId="43" xfId="0" applyFont="1" applyFill="1" applyBorder="1" applyAlignment="1">
      <alignment horizontal="center" vertical="center"/>
    </xf>
    <xf numFmtId="0" fontId="11" fillId="25" borderId="36" xfId="0" applyFont="1" applyFill="1" applyBorder="1" applyAlignment="1" applyProtection="1">
      <alignment horizontal="center" vertical="center"/>
    </xf>
    <xf numFmtId="10" fontId="14" fillId="25" borderId="36" xfId="54" applyNumberFormat="1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</xf>
    <xf numFmtId="164" fontId="11" fillId="25" borderId="36" xfId="52" applyFont="1" applyFill="1" applyBorder="1" applyAlignment="1" applyProtection="1">
      <alignment horizontal="center" vertical="center"/>
      <protection locked="0"/>
    </xf>
    <xf numFmtId="164" fontId="11" fillId="25" borderId="36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64" fontId="10" fillId="25" borderId="49" xfId="52" applyFont="1" applyFill="1" applyBorder="1" applyAlignment="1" applyProtection="1">
      <alignment horizontal="left" vertical="center"/>
      <protection locked="0"/>
    </xf>
    <xf numFmtId="0" fontId="11" fillId="25" borderId="71" xfId="0" applyFont="1" applyFill="1" applyBorder="1" applyAlignment="1" applyProtection="1">
      <alignment vertical="center"/>
      <protection locked="0"/>
    </xf>
    <xf numFmtId="165" fontId="11" fillId="25" borderId="43" xfId="0" applyNumberFormat="1" applyFont="1" applyFill="1" applyBorder="1" applyAlignment="1" applyProtection="1">
      <alignment horizontal="center" vertical="center"/>
      <protection locked="0"/>
    </xf>
    <xf numFmtId="0" fontId="11" fillId="25" borderId="36" xfId="0" applyFont="1" applyFill="1" applyBorder="1" applyAlignment="1" applyProtection="1">
      <alignment vertical="center"/>
      <protection locked="0"/>
    </xf>
    <xf numFmtId="165" fontId="10" fillId="25" borderId="47" xfId="0" applyNumberFormat="1" applyFont="1" applyFill="1" applyBorder="1" applyAlignment="1" applyProtection="1">
      <alignment horizontal="center" vertical="center"/>
      <protection locked="0"/>
    </xf>
    <xf numFmtId="164" fontId="34" fillId="25" borderId="49" xfId="52" applyFont="1" applyFill="1" applyBorder="1" applyAlignment="1">
      <alignment horizontal="left" vertical="center"/>
    </xf>
    <xf numFmtId="164" fontId="11" fillId="25" borderId="36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0" fillId="27" borderId="74" xfId="0" applyFont="1" applyFill="1" applyBorder="1" applyAlignment="1" applyProtection="1">
      <alignment horizontal="center" vertical="center"/>
      <protection locked="0"/>
    </xf>
    <xf numFmtId="0" fontId="11" fillId="27" borderId="74" xfId="0" applyFont="1" applyFill="1" applyBorder="1" applyAlignment="1" applyProtection="1">
      <alignment horizontal="center" vertical="center"/>
      <protection locked="0"/>
    </xf>
    <xf numFmtId="10" fontId="14" fillId="27" borderId="74" xfId="54" applyNumberFormat="1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horizontal="center" vertical="center"/>
      <protection locked="0"/>
    </xf>
    <xf numFmtId="164" fontId="11" fillId="27" borderId="74" xfId="52" applyFont="1" applyFill="1" applyBorder="1" applyAlignment="1" applyProtection="1">
      <alignment vertical="center"/>
      <protection locked="0"/>
    </xf>
    <xf numFmtId="164" fontId="10" fillId="27" borderId="74" xfId="52" applyFont="1" applyFill="1" applyBorder="1" applyAlignment="1" applyProtection="1">
      <alignment vertical="center"/>
      <protection locked="0"/>
    </xf>
    <xf numFmtId="43" fontId="10" fillId="27" borderId="75" xfId="0" applyNumberFormat="1" applyFont="1" applyFill="1" applyBorder="1" applyAlignment="1" applyProtection="1">
      <alignment vertical="center"/>
      <protection locked="0"/>
    </xf>
    <xf numFmtId="0" fontId="11" fillId="25" borderId="56" xfId="0" applyFont="1" applyFill="1" applyBorder="1" applyAlignment="1" applyProtection="1">
      <alignment horizontal="center" vertical="center"/>
      <protection locked="0"/>
    </xf>
    <xf numFmtId="10" fontId="14" fillId="25" borderId="56" xfId="54" applyNumberFormat="1" applyFont="1" applyFill="1" applyBorder="1" applyAlignment="1" applyProtection="1">
      <alignment horizontal="center" vertical="center"/>
      <protection locked="0"/>
    </xf>
    <xf numFmtId="164" fontId="11" fillId="25" borderId="54" xfId="52" applyFont="1" applyFill="1" applyBorder="1" applyAlignment="1"/>
    <xf numFmtId="0" fontId="11" fillId="25" borderId="56" xfId="0" applyFont="1" applyFill="1" applyBorder="1" applyAlignment="1" applyProtection="1">
      <alignment vertical="center"/>
      <protection locked="0"/>
    </xf>
    <xf numFmtId="0" fontId="11" fillId="0" borderId="76" xfId="0" applyFont="1" applyFill="1" applyBorder="1" applyAlignment="1">
      <alignment vertical="center"/>
    </xf>
    <xf numFmtId="0" fontId="11" fillId="0" borderId="77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0" fontId="11" fillId="0" borderId="79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11" fillId="0" borderId="67" xfId="0" applyFont="1" applyFill="1" applyBorder="1" applyAlignment="1">
      <alignment vertical="center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/>
    <xf numFmtId="0" fontId="10" fillId="0" borderId="49" xfId="0" applyFont="1" applyFill="1" applyBorder="1" applyAlignment="1">
      <alignment horizontal="center" vertical="center"/>
    </xf>
    <xf numFmtId="164" fontId="11" fillId="0" borderId="49" xfId="52" applyFont="1" applyFill="1" applyBorder="1" applyAlignment="1" applyProtection="1">
      <alignment vertical="center"/>
      <protection locked="0"/>
    </xf>
    <xf numFmtId="43" fontId="10" fillId="25" borderId="46" xfId="0" applyNumberFormat="1" applyFont="1" applyFill="1" applyBorder="1" applyAlignment="1" applyProtection="1">
      <alignment horizontal="center" vertical="center"/>
      <protection locked="0"/>
    </xf>
    <xf numFmtId="0" fontId="11" fillId="31" borderId="26" xfId="0" applyFont="1" applyFill="1" applyBorder="1" applyAlignment="1">
      <alignment vertical="center"/>
    </xf>
    <xf numFmtId="0" fontId="10" fillId="31" borderId="26" xfId="0" applyFont="1" applyFill="1" applyBorder="1" applyAlignment="1" applyProtection="1">
      <alignment horizontal="center" vertical="center"/>
      <protection locked="0"/>
    </xf>
    <xf numFmtId="10" fontId="13" fillId="31" borderId="26" xfId="54" applyNumberFormat="1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horizontal="center" vertical="center"/>
      <protection locked="0"/>
    </xf>
    <xf numFmtId="164" fontId="10" fillId="31" borderId="26" xfId="52" applyFont="1" applyFill="1" applyBorder="1" applyAlignment="1" applyProtection="1">
      <alignment vertical="center"/>
      <protection locked="0"/>
    </xf>
    <xf numFmtId="43" fontId="10" fillId="31" borderId="26" xfId="52" applyNumberFormat="1" applyFont="1" applyFill="1" applyBorder="1" applyAlignment="1" applyProtection="1">
      <alignment vertical="center"/>
      <protection locked="0"/>
    </xf>
    <xf numFmtId="43" fontId="10" fillId="31" borderId="27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9" xfId="0" applyFont="1" applyFill="1" applyBorder="1" applyAlignment="1">
      <alignment horizontal="center" vertical="center"/>
    </xf>
    <xf numFmtId="0" fontId="11" fillId="0" borderId="49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0" fontId="11" fillId="0" borderId="0" xfId="54" applyNumberFormat="1" applyFont="1" applyBorder="1"/>
    <xf numFmtId="0" fontId="10" fillId="26" borderId="77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19" xfId="0" applyFont="1" applyFill="1" applyBorder="1" applyAlignment="1">
      <alignment horizontal="center" vertical="center"/>
    </xf>
    <xf numFmtId="0" fontId="11" fillId="26" borderId="77" xfId="0" applyFont="1" applyFill="1" applyBorder="1" applyAlignment="1">
      <alignment vertical="center"/>
    </xf>
    <xf numFmtId="0" fontId="11" fillId="26" borderId="36" xfId="0" applyFont="1" applyFill="1" applyBorder="1" applyAlignment="1">
      <alignment vertical="center"/>
    </xf>
    <xf numFmtId="0" fontId="11" fillId="26" borderId="37" xfId="0" applyFont="1" applyFill="1" applyBorder="1" applyAlignment="1" applyProtection="1">
      <alignment vertical="center"/>
      <protection locked="0"/>
    </xf>
    <xf numFmtId="0" fontId="11" fillId="26" borderId="43" xfId="0" applyFont="1" applyFill="1" applyBorder="1" applyAlignment="1">
      <alignment horizontal="center" vertical="center"/>
    </xf>
    <xf numFmtId="0" fontId="10" fillId="27" borderId="28" xfId="0" applyFont="1" applyFill="1" applyBorder="1" applyAlignment="1">
      <alignment horizontal="center" vertical="center"/>
    </xf>
    <xf numFmtId="0" fontId="10" fillId="27" borderId="89" xfId="0" applyFont="1" applyFill="1" applyBorder="1" applyAlignment="1">
      <alignment horizontal="center" vertical="center"/>
    </xf>
    <xf numFmtId="164" fontId="10" fillId="27" borderId="89" xfId="52" applyFont="1" applyFill="1" applyBorder="1" applyAlignment="1">
      <alignment horizontal="center" vertical="center"/>
    </xf>
    <xf numFmtId="164" fontId="10" fillId="27" borderId="29" xfId="52" applyFont="1" applyFill="1" applyBorder="1" applyAlignment="1" applyProtection="1">
      <alignment vertical="center"/>
      <protection locked="0"/>
    </xf>
    <xf numFmtId="164" fontId="11" fillId="25" borderId="90" xfId="52" applyFont="1" applyFill="1" applyBorder="1" applyAlignment="1">
      <alignment horizontal="center" vertical="center"/>
    </xf>
    <xf numFmtId="164" fontId="11" fillId="25" borderId="76" xfId="52" applyFont="1" applyFill="1" applyBorder="1" applyAlignment="1" applyProtection="1">
      <alignment vertical="center"/>
    </xf>
    <xf numFmtId="164" fontId="11" fillId="25" borderId="76" xfId="52" applyFont="1" applyFill="1" applyBorder="1" applyAlignment="1">
      <alignment horizontal="center" vertical="center"/>
    </xf>
    <xf numFmtId="168" fontId="16" fillId="25" borderId="76" xfId="52" applyNumberFormat="1" applyFont="1" applyFill="1" applyBorder="1" applyAlignment="1" applyProtection="1">
      <alignment vertical="center"/>
      <protection locked="0"/>
    </xf>
    <xf numFmtId="43" fontId="11" fillId="25" borderId="91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81" xfId="0" applyFont="1" applyFill="1" applyBorder="1" applyAlignment="1">
      <alignment horizontal="left" vertical="center"/>
    </xf>
    <xf numFmtId="43" fontId="11" fillId="25" borderId="80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2" xfId="0" applyNumberFormat="1" applyFont="1" applyFill="1" applyBorder="1" applyAlignment="1" applyProtection="1">
      <alignment vertical="center"/>
      <protection locked="0"/>
    </xf>
    <xf numFmtId="0" fontId="11" fillId="25" borderId="43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88" xfId="0" applyFont="1" applyFill="1" applyBorder="1" applyAlignment="1" applyProtection="1">
      <alignment vertical="center"/>
      <protection locked="0"/>
    </xf>
    <xf numFmtId="164" fontId="10" fillId="25" borderId="36" xfId="52" applyFont="1" applyFill="1" applyBorder="1" applyAlignment="1">
      <alignment horizontal="center" vertical="center"/>
    </xf>
    <xf numFmtId="0" fontId="10" fillId="25" borderId="34" xfId="0" applyFont="1" applyFill="1" applyBorder="1" applyAlignment="1" applyProtection="1">
      <alignment horizontal="center" vertical="center"/>
      <protection locked="0"/>
    </xf>
    <xf numFmtId="0" fontId="12" fillId="25" borderId="13" xfId="0" applyFont="1" applyFill="1" applyBorder="1" applyAlignment="1" applyProtection="1">
      <alignment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0" fontId="11" fillId="25" borderId="71" xfId="0" applyFont="1" applyFill="1" applyBorder="1" applyAlignment="1" applyProtection="1">
      <alignment vertical="center" wrapText="1" shrinkToFit="1"/>
    </xf>
    <xf numFmtId="0" fontId="11" fillId="25" borderId="67" xfId="0" applyFont="1" applyFill="1" applyBorder="1" applyAlignment="1" applyProtection="1">
      <alignment vertical="center" wrapText="1" shrinkToFit="1"/>
    </xf>
    <xf numFmtId="43" fontId="11" fillId="25" borderId="37" xfId="0" applyNumberFormat="1" applyFont="1" applyFill="1" applyBorder="1" applyAlignment="1" applyProtection="1">
      <alignment vertical="center"/>
      <protection locked="0"/>
    </xf>
    <xf numFmtId="0" fontId="10" fillId="25" borderId="34" xfId="0" applyFont="1" applyFill="1" applyBorder="1" applyAlignment="1">
      <alignment horizontal="center" vertical="center"/>
    </xf>
    <xf numFmtId="0" fontId="10" fillId="25" borderId="13" xfId="0" applyFont="1" applyFill="1" applyBorder="1" applyAlignment="1" applyProtection="1">
      <alignment horizontal="left" vertical="center"/>
    </xf>
    <xf numFmtId="0" fontId="10" fillId="25" borderId="13" xfId="0" applyFont="1" applyFill="1" applyBorder="1" applyAlignment="1" applyProtection="1">
      <alignment horizontal="center" vertical="center"/>
    </xf>
    <xf numFmtId="10" fontId="13" fillId="25" borderId="13" xfId="54" applyNumberFormat="1" applyFont="1" applyFill="1" applyBorder="1" applyAlignment="1" applyProtection="1">
      <alignment horizontal="center" vertical="center"/>
    </xf>
    <xf numFmtId="0" fontId="11" fillId="25" borderId="71" xfId="0" applyFont="1" applyFill="1" applyBorder="1" applyAlignment="1" applyProtection="1">
      <alignment horizontal="left" vertical="center" wrapText="1"/>
    </xf>
    <xf numFmtId="4" fontId="34" fillId="25" borderId="93" xfId="0" applyNumberFormat="1" applyFont="1" applyFill="1" applyBorder="1" applyAlignment="1">
      <alignment vertical="center"/>
    </xf>
    <xf numFmtId="164" fontId="11" fillId="25" borderId="18" xfId="0" applyNumberFormat="1" applyFont="1" applyFill="1" applyBorder="1" applyAlignment="1" applyProtection="1">
      <alignment horizontal="center" vertical="center"/>
    </xf>
    <xf numFmtId="0" fontId="11" fillId="0" borderId="23" xfId="0" applyFont="1" applyFill="1" applyBorder="1" applyAlignment="1">
      <alignment vertical="center"/>
    </xf>
    <xf numFmtId="0" fontId="10" fillId="25" borderId="49" xfId="0" applyFont="1" applyFill="1" applyBorder="1" applyAlignment="1" applyProtection="1">
      <alignment horizontal="left" vertical="center"/>
    </xf>
    <xf numFmtId="0" fontId="10" fillId="0" borderId="94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2" fontId="11" fillId="25" borderId="64" xfId="0" applyNumberFormat="1" applyFont="1" applyFill="1" applyBorder="1" applyAlignment="1" applyProtection="1">
      <alignment horizontal="center" vertical="center"/>
      <protection locked="0"/>
    </xf>
    <xf numFmtId="43" fontId="11" fillId="25" borderId="54" xfId="52" applyNumberFormat="1" applyFont="1" applyFill="1" applyBorder="1" applyAlignment="1" applyProtection="1">
      <alignment horizontal="center" vertical="center"/>
      <protection locked="0"/>
    </xf>
    <xf numFmtId="164" fontId="11" fillId="27" borderId="23" xfId="52" applyFont="1" applyFill="1" applyBorder="1" applyAlignment="1" applyProtection="1">
      <alignment horizontal="center" vertical="center"/>
      <protection locked="0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0" fontId="11" fillId="0" borderId="95" xfId="0" applyFont="1" applyFill="1" applyBorder="1" applyAlignment="1">
      <alignment vertical="center"/>
    </xf>
    <xf numFmtId="164" fontId="11" fillId="27" borderId="26" xfId="52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1" fillId="0" borderId="24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34" xfId="0" applyFont="1" applyFill="1" applyBorder="1" applyAlignment="1">
      <alignment vertical="center"/>
    </xf>
    <xf numFmtId="0" fontId="11" fillId="25" borderId="36" xfId="0" applyFont="1" applyFill="1" applyBorder="1" applyAlignment="1" applyProtection="1">
      <alignment horizontal="left" vertical="center" wrapText="1" shrinkToFit="1"/>
    </xf>
    <xf numFmtId="170" fontId="34" fillId="25" borderId="0" xfId="52" applyNumberFormat="1" applyFont="1" applyFill="1" applyBorder="1" applyAlignment="1">
      <alignment horizontal="right" vertical="center"/>
    </xf>
    <xf numFmtId="164" fontId="10" fillId="25" borderId="36" xfId="52" applyFont="1" applyFill="1" applyBorder="1" applyAlignment="1" applyProtection="1">
      <alignment horizontal="left" vertical="center"/>
      <protection locked="0"/>
    </xf>
    <xf numFmtId="0" fontId="11" fillId="25" borderId="67" xfId="0" applyFont="1" applyFill="1" applyBorder="1" applyAlignment="1" applyProtection="1">
      <alignment horizontal="left" vertical="center" wrapText="1" shrinkToFit="1"/>
    </xf>
    <xf numFmtId="0" fontId="11" fillId="25" borderId="36" xfId="0" applyFont="1" applyFill="1" applyBorder="1" applyAlignment="1" applyProtection="1">
      <alignment horizontal="left" vertical="center" wrapText="1"/>
    </xf>
    <xf numFmtId="10" fontId="14" fillId="25" borderId="71" xfId="54" applyNumberFormat="1" applyFont="1" applyFill="1" applyBorder="1" applyAlignment="1" applyProtection="1">
      <alignment horizontal="center" vertical="center"/>
      <protection locked="0"/>
    </xf>
    <xf numFmtId="0" fontId="11" fillId="0" borderId="49" xfId="0" applyFont="1" applyFill="1" applyBorder="1" applyAlignment="1">
      <alignment vertical="center"/>
    </xf>
    <xf numFmtId="10" fontId="14" fillId="25" borderId="74" xfId="54" applyNumberFormat="1" applyFont="1" applyFill="1" applyBorder="1" applyAlignment="1" applyProtection="1">
      <alignment horizontal="center" vertical="center"/>
    </xf>
    <xf numFmtId="164" fontId="11" fillId="25" borderId="74" xfId="52" applyFont="1" applyFill="1" applyBorder="1" applyAlignment="1" applyProtection="1">
      <alignment horizontal="center" vertical="center"/>
    </xf>
    <xf numFmtId="164" fontId="11" fillId="25" borderId="74" xfId="52" applyFont="1" applyFill="1" applyBorder="1" applyAlignment="1" applyProtection="1">
      <alignment horizontal="center" vertical="center"/>
      <protection locked="0"/>
    </xf>
    <xf numFmtId="0" fontId="11" fillId="25" borderId="73" xfId="0" applyFont="1" applyFill="1" applyBorder="1" applyAlignment="1" applyProtection="1">
      <alignment horizontal="center" vertical="center"/>
      <protection locked="0"/>
    </xf>
    <xf numFmtId="0" fontId="10" fillId="25" borderId="36" xfId="0" applyFont="1" applyFill="1" applyBorder="1" applyAlignment="1" applyProtection="1">
      <alignment vertical="center" wrapText="1" shrinkToFit="1"/>
    </xf>
    <xf numFmtId="164" fontId="11" fillId="0" borderId="95" xfId="0" applyNumberFormat="1" applyFont="1" applyFill="1" applyBorder="1" applyAlignment="1">
      <alignment vertical="center"/>
    </xf>
    <xf numFmtId="0" fontId="10" fillId="27" borderId="32" xfId="0" applyFont="1" applyFill="1" applyBorder="1" applyAlignment="1" applyProtection="1">
      <alignment horizontal="center" vertical="center"/>
      <protection locked="0"/>
    </xf>
    <xf numFmtId="164" fontId="11" fillId="25" borderId="46" xfId="52" applyFont="1" applyFill="1" applyBorder="1" applyAlignment="1" applyProtection="1">
      <alignment vertical="center"/>
      <protection locked="0"/>
    </xf>
    <xf numFmtId="0" fontId="11" fillId="0" borderId="11" xfId="0" applyFont="1" applyBorder="1"/>
    <xf numFmtId="0" fontId="11" fillId="0" borderId="12" xfId="0" applyFont="1" applyBorder="1"/>
    <xf numFmtId="164" fontId="10" fillId="25" borderId="36" xfId="52" applyFont="1" applyFill="1" applyBorder="1" applyAlignment="1">
      <alignment horizontal="right" vertical="center"/>
    </xf>
    <xf numFmtId="164" fontId="11" fillId="25" borderId="96" xfId="52" applyFont="1" applyFill="1" applyBorder="1" applyAlignment="1" applyProtection="1">
      <alignment vertical="center"/>
      <protection locked="0"/>
    </xf>
    <xf numFmtId="164" fontId="10" fillId="25" borderId="23" xfId="52" applyFont="1" applyFill="1" applyBorder="1" applyAlignment="1" applyProtection="1">
      <alignment horizontal="left" vertical="center"/>
      <protection locked="0"/>
    </xf>
    <xf numFmtId="164" fontId="11" fillId="25" borderId="90" xfId="52" applyFont="1" applyFill="1" applyBorder="1" applyAlignment="1" applyProtection="1">
      <alignment vertical="center"/>
      <protection locked="0"/>
    </xf>
    <xf numFmtId="164" fontId="11" fillId="25" borderId="76" xfId="52" applyFont="1" applyFill="1" applyBorder="1" applyAlignment="1" applyProtection="1">
      <alignment vertical="center"/>
      <protection locked="0"/>
    </xf>
    <xf numFmtId="43" fontId="11" fillId="25" borderId="76" xfId="52" applyNumberFormat="1" applyFont="1" applyFill="1" applyBorder="1" applyAlignment="1" applyProtection="1">
      <alignment horizontal="left"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43" fontId="11" fillId="25" borderId="36" xfId="52" applyNumberFormat="1" applyFont="1" applyFill="1" applyBorder="1" applyAlignment="1" applyProtection="1">
      <alignment horizontal="left" vertical="center"/>
      <protection locked="0"/>
    </xf>
    <xf numFmtId="0" fontId="11" fillId="25" borderId="97" xfId="0" applyFont="1" applyFill="1" applyBorder="1" applyAlignment="1">
      <alignment horizontal="center" vertical="center"/>
    </xf>
    <xf numFmtId="0" fontId="11" fillId="25" borderId="98" xfId="0" applyFont="1" applyFill="1" applyBorder="1" applyAlignment="1">
      <alignment horizontal="center" vertical="center"/>
    </xf>
    <xf numFmtId="0" fontId="11" fillId="25" borderId="99" xfId="0" applyFont="1" applyFill="1" applyBorder="1" applyAlignment="1" applyProtection="1">
      <alignment horizontal="center" vertical="center"/>
    </xf>
    <xf numFmtId="0" fontId="11" fillId="25" borderId="95" xfId="0" applyFont="1" applyFill="1" applyBorder="1" applyAlignment="1" applyProtection="1">
      <alignment horizontal="center" vertical="center"/>
    </xf>
    <xf numFmtId="0" fontId="10" fillId="25" borderId="23" xfId="0" applyFont="1" applyFill="1" applyBorder="1" applyAlignment="1" applyProtection="1">
      <alignment horizontal="left" vertical="center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14" xfId="0" applyFont="1" applyFill="1" applyBorder="1" applyAlignment="1" applyProtection="1">
      <alignment horizontal="left" vertical="center" wrapText="1"/>
    </xf>
    <xf numFmtId="164" fontId="10" fillId="27" borderId="15" xfId="52" applyFont="1" applyFill="1" applyBorder="1" applyAlignment="1" applyProtection="1">
      <alignment vertical="center"/>
      <protection locked="0"/>
    </xf>
    <xf numFmtId="0" fontId="11" fillId="25" borderId="100" xfId="0" applyFont="1" applyFill="1" applyBorder="1" applyAlignment="1" applyProtection="1">
      <alignment horizontal="center" vertical="center"/>
    </xf>
    <xf numFmtId="164" fontId="11" fillId="25" borderId="101" xfId="52" applyFont="1" applyFill="1" applyBorder="1" applyAlignment="1" applyProtection="1">
      <alignment vertical="center"/>
      <protection locked="0"/>
    </xf>
    <xf numFmtId="0" fontId="11" fillId="27" borderId="15" xfId="0" applyFont="1" applyFill="1" applyBorder="1" applyAlignment="1" applyProtection="1">
      <alignment horizontal="center" vertical="center"/>
      <protection locked="0"/>
    </xf>
    <xf numFmtId="10" fontId="14" fillId="27" borderId="15" xfId="54" applyNumberFormat="1" applyFont="1" applyFill="1" applyBorder="1" applyAlignment="1" applyProtection="1">
      <alignment horizontal="center" vertical="center"/>
      <protection locked="0"/>
    </xf>
    <xf numFmtId="164" fontId="11" fillId="27" borderId="15" xfId="52" applyFont="1" applyFill="1" applyBorder="1" applyAlignment="1" applyProtection="1">
      <alignment horizontal="center" vertical="center"/>
      <protection locked="0"/>
    </xf>
    <xf numFmtId="164" fontId="11" fillId="27" borderId="15" xfId="52" applyFont="1" applyFill="1" applyBorder="1" applyAlignment="1" applyProtection="1">
      <alignment vertical="center"/>
      <protection locked="0"/>
    </xf>
    <xf numFmtId="0" fontId="11" fillId="25" borderId="38" xfId="0" applyFont="1" applyFill="1" applyBorder="1" applyAlignment="1">
      <alignment horizontal="center" vertical="center"/>
    </xf>
    <xf numFmtId="0" fontId="11" fillId="25" borderId="15" xfId="0" applyFont="1" applyFill="1" applyBorder="1" applyAlignment="1">
      <alignment vertical="center"/>
    </xf>
    <xf numFmtId="0" fontId="11" fillId="25" borderId="15" xfId="0" applyFont="1" applyFill="1" applyBorder="1" applyAlignment="1" applyProtection="1">
      <alignment horizontal="center" vertical="center"/>
    </xf>
    <xf numFmtId="10" fontId="14" fillId="25" borderId="15" xfId="54" applyNumberFormat="1" applyFont="1" applyFill="1" applyBorder="1" applyAlignment="1" applyProtection="1">
      <alignment horizontal="center" vertical="center"/>
    </xf>
    <xf numFmtId="164" fontId="11" fillId="25" borderId="15" xfId="52" applyFont="1" applyFill="1" applyBorder="1" applyAlignment="1" applyProtection="1">
      <alignment horizontal="center" vertical="center"/>
    </xf>
    <xf numFmtId="164" fontId="11" fillId="25" borderId="15" xfId="52" applyFont="1" applyFill="1" applyBorder="1" applyAlignment="1" applyProtection="1">
      <alignment horizontal="center" vertical="center"/>
      <protection locked="0"/>
    </xf>
    <xf numFmtId="164" fontId="11" fillId="25" borderId="15" xfId="52" applyFont="1" applyFill="1" applyBorder="1" applyAlignment="1" applyProtection="1">
      <alignment horizontal="left" vertical="center"/>
      <protection locked="0"/>
    </xf>
    <xf numFmtId="43" fontId="11" fillId="25" borderId="39" xfId="0" applyNumberFormat="1" applyFont="1" applyFill="1" applyBorder="1" applyAlignment="1" applyProtection="1">
      <alignment vertical="center"/>
      <protection locked="0"/>
    </xf>
    <xf numFmtId="164" fontId="11" fillId="25" borderId="102" xfId="52" applyFont="1" applyFill="1" applyBorder="1" applyAlignment="1" applyProtection="1">
      <alignment vertical="center"/>
    </xf>
    <xf numFmtId="164" fontId="11" fillId="25" borderId="103" xfId="52" applyFont="1" applyFill="1" applyBorder="1" applyAlignment="1" applyProtection="1">
      <alignment vertical="center"/>
    </xf>
    <xf numFmtId="43" fontId="10" fillId="25" borderId="24" xfId="0" applyNumberFormat="1" applyFont="1" applyFill="1" applyBorder="1" applyAlignment="1" applyProtection="1">
      <alignment horizontal="left" vertical="center"/>
      <protection locked="0"/>
    </xf>
    <xf numFmtId="43" fontId="11" fillId="25" borderId="23" xfId="0" applyNumberFormat="1" applyFont="1" applyFill="1" applyBorder="1" applyAlignment="1" applyProtection="1">
      <alignment vertical="center"/>
      <protection locked="0"/>
    </xf>
    <xf numFmtId="43" fontId="11" fillId="25" borderId="36" xfId="0" applyNumberFormat="1" applyFont="1" applyFill="1" applyBorder="1" applyAlignment="1" applyProtection="1">
      <alignment vertical="center" wrapText="1" shrinkToFit="1"/>
      <protection locked="0"/>
    </xf>
    <xf numFmtId="43" fontId="11" fillId="25" borderId="36" xfId="0" applyNumberFormat="1" applyFont="1" applyFill="1" applyBorder="1" applyAlignment="1" applyProtection="1">
      <alignment vertical="center"/>
      <protection locked="0"/>
    </xf>
    <xf numFmtId="43" fontId="11" fillId="25" borderId="18" xfId="0" applyNumberFormat="1" applyFont="1" applyFill="1" applyBorder="1" applyAlignment="1" applyProtection="1">
      <alignment vertical="center" wrapText="1" shrinkToFit="1"/>
      <protection locked="0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43" fontId="35" fillId="0" borderId="0" xfId="0" applyNumberFormat="1" applyFont="1" applyFill="1" applyBorder="1" applyAlignment="1">
      <alignment vertical="center"/>
    </xf>
    <xf numFmtId="43" fontId="36" fillId="0" borderId="0" xfId="0" applyNumberFormat="1" applyFont="1" applyFill="1" applyBorder="1" applyAlignment="1">
      <alignment vertical="center"/>
    </xf>
    <xf numFmtId="164" fontId="35" fillId="0" borderId="0" xfId="0" applyNumberFormat="1" applyFont="1" applyFill="1" applyBorder="1" applyAlignment="1">
      <alignment vertical="center"/>
    </xf>
    <xf numFmtId="0" fontId="39" fillId="29" borderId="0" xfId="0" applyFont="1" applyFill="1" applyAlignment="1">
      <alignment horizontal="center" vertical="center"/>
    </xf>
    <xf numFmtId="166" fontId="39" fillId="29" borderId="0" xfId="52" applyNumberFormat="1" applyFont="1" applyFill="1" applyBorder="1" applyAlignment="1">
      <alignment horizontal="center" vertical="center"/>
    </xf>
    <xf numFmtId="0" fontId="40" fillId="0" borderId="0" xfId="0" applyFont="1"/>
    <xf numFmtId="0" fontId="37" fillId="0" borderId="0" xfId="0" applyFont="1"/>
    <xf numFmtId="164" fontId="39" fillId="29" borderId="0" xfId="0" applyNumberFormat="1" applyFont="1" applyFill="1" applyAlignment="1">
      <alignment horizontal="center" vertical="center"/>
    </xf>
    <xf numFmtId="43" fontId="40" fillId="0" borderId="0" xfId="0" applyNumberFormat="1" applyFont="1"/>
    <xf numFmtId="43" fontId="37" fillId="0" borderId="0" xfId="0" applyNumberFormat="1" applyFont="1"/>
    <xf numFmtId="43" fontId="35" fillId="0" borderId="0" xfId="0" applyNumberFormat="1" applyFont="1"/>
    <xf numFmtId="0" fontId="35" fillId="0" borderId="0" xfId="0" applyFont="1"/>
    <xf numFmtId="0" fontId="36" fillId="0" borderId="0" xfId="0" applyFont="1"/>
    <xf numFmtId="0" fontId="38" fillId="0" borderId="0" xfId="0" applyFont="1"/>
    <xf numFmtId="164" fontId="10" fillId="0" borderId="0" xfId="0" applyNumberFormat="1" applyFont="1" applyFill="1" applyBorder="1" applyAlignment="1">
      <alignment vertical="center"/>
    </xf>
    <xf numFmtId="0" fontId="10" fillId="25" borderId="49" xfId="0" applyFont="1" applyFill="1" applyBorder="1" applyAlignment="1" applyProtection="1">
      <alignment horizontal="left" vertical="center" wrapText="1" shrinkToFit="1"/>
    </xf>
    <xf numFmtId="10" fontId="13" fillId="25" borderId="36" xfId="54" applyNumberFormat="1" applyFont="1" applyFill="1" applyBorder="1" applyAlignment="1" applyProtection="1">
      <alignment horizontal="center" vertical="center"/>
    </xf>
    <xf numFmtId="164" fontId="10" fillId="25" borderId="36" xfId="52" applyFont="1" applyFill="1" applyBorder="1" applyAlignment="1" applyProtection="1">
      <alignment horizontal="center" vertical="center"/>
    </xf>
    <xf numFmtId="164" fontId="10" fillId="25" borderId="36" xfId="52" applyFont="1" applyFill="1" applyBorder="1" applyAlignment="1" applyProtection="1">
      <alignment horizontal="center" vertical="center"/>
      <protection locked="0"/>
    </xf>
    <xf numFmtId="10" fontId="13" fillId="24" borderId="18" xfId="55" applyNumberFormat="1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</xf>
    <xf numFmtId="164" fontId="10" fillId="24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horizontal="center" vertical="center"/>
      <protection locked="0"/>
    </xf>
    <xf numFmtId="164" fontId="10" fillId="0" borderId="18" xfId="56" applyFont="1" applyFill="1" applyBorder="1" applyAlignment="1" applyProtection="1">
      <alignment vertical="center"/>
      <protection locked="0"/>
    </xf>
    <xf numFmtId="164" fontId="10" fillId="0" borderId="18" xfId="56" applyFont="1" applyFill="1" applyBorder="1" applyAlignment="1" applyProtection="1">
      <alignment vertical="center"/>
    </xf>
    <xf numFmtId="10" fontId="14" fillId="0" borderId="49" xfId="55" applyNumberFormat="1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</xf>
    <xf numFmtId="164" fontId="11" fillId="0" borderId="49" xfId="56" applyFont="1" applyFill="1" applyBorder="1" applyAlignment="1" applyProtection="1">
      <alignment horizontal="center" vertical="center"/>
      <protection locked="0"/>
    </xf>
    <xf numFmtId="169" fontId="16" fillId="0" borderId="49" xfId="56" applyNumberFormat="1" applyFont="1" applyFill="1" applyBorder="1" applyAlignment="1" applyProtection="1">
      <alignment vertical="center"/>
      <protection locked="0"/>
    </xf>
    <xf numFmtId="164" fontId="11" fillId="0" borderId="49" xfId="56" applyFont="1" applyFill="1" applyBorder="1" applyAlignment="1" applyProtection="1">
      <alignment horizontal="left" vertical="center"/>
      <protection locked="0"/>
    </xf>
    <xf numFmtId="164" fontId="11" fillId="0" borderId="49" xfId="56" applyFont="1" applyFill="1" applyBorder="1" applyAlignment="1" applyProtection="1">
      <alignment vertical="center"/>
    </xf>
    <xf numFmtId="10" fontId="14" fillId="25" borderId="49" xfId="55" applyNumberFormat="1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</xf>
    <xf numFmtId="164" fontId="11" fillId="25" borderId="49" xfId="56" applyFont="1" applyFill="1" applyBorder="1" applyAlignment="1" applyProtection="1">
      <alignment horizontal="center" vertical="center"/>
      <protection locked="0"/>
    </xf>
    <xf numFmtId="164" fontId="11" fillId="25" borderId="49" xfId="56" applyFont="1" applyFill="1" applyBorder="1" applyAlignment="1" applyProtection="1">
      <alignment vertical="center"/>
      <protection locked="0"/>
    </xf>
    <xf numFmtId="164" fontId="11" fillId="25" borderId="49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vertical="center"/>
      <protection locked="0"/>
    </xf>
    <xf numFmtId="10" fontId="14" fillId="27" borderId="31" xfId="55" applyNumberFormat="1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horizontal="center" vertical="center"/>
      <protection locked="0"/>
    </xf>
    <xf numFmtId="164" fontId="11" fillId="27" borderId="31" xfId="56" applyFont="1" applyFill="1" applyBorder="1" applyAlignment="1" applyProtection="1">
      <alignment vertical="center"/>
      <protection locked="0"/>
    </xf>
    <xf numFmtId="164" fontId="10" fillId="27" borderId="31" xfId="56" applyFont="1" applyFill="1" applyBorder="1" applyAlignment="1" applyProtection="1">
      <alignment vertical="center"/>
      <protection locked="0"/>
    </xf>
    <xf numFmtId="10" fontId="13" fillId="25" borderId="44" xfId="55" applyNumberFormat="1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</xf>
    <xf numFmtId="164" fontId="11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horizontal="center" vertical="center"/>
      <protection locked="0"/>
    </xf>
    <xf numFmtId="164" fontId="10" fillId="25" borderId="44" xfId="56" applyFont="1" applyFill="1" applyBorder="1" applyAlignment="1" applyProtection="1">
      <alignment vertical="center"/>
      <protection locked="0"/>
    </xf>
    <xf numFmtId="164" fontId="10" fillId="25" borderId="44" xfId="56" applyFont="1" applyFill="1" applyBorder="1" applyAlignment="1" applyProtection="1">
      <alignment vertical="center"/>
    </xf>
    <xf numFmtId="0" fontId="11" fillId="0" borderId="49" xfId="0" applyFont="1" applyFill="1" applyBorder="1" applyAlignment="1" applyProtection="1">
      <alignment horizontal="left" vertical="center" wrapText="1" shrinkToFit="1"/>
    </xf>
    <xf numFmtId="0" fontId="10" fillId="0" borderId="44" xfId="0" applyFont="1" applyFill="1" applyBorder="1" applyAlignment="1" applyProtection="1">
      <alignment horizontal="center" vertical="center"/>
    </xf>
    <xf numFmtId="10" fontId="13" fillId="0" borderId="44" xfId="55" applyNumberFormat="1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</xf>
    <xf numFmtId="164" fontId="11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horizontal="center" vertical="center"/>
      <protection locked="0"/>
    </xf>
    <xf numFmtId="164" fontId="10" fillId="0" borderId="44" xfId="56" applyFont="1" applyFill="1" applyBorder="1" applyAlignment="1" applyProtection="1">
      <alignment vertical="center"/>
      <protection locked="0"/>
    </xf>
    <xf numFmtId="164" fontId="10" fillId="0" borderId="44" xfId="56" applyFont="1" applyFill="1" applyBorder="1" applyAlignment="1" applyProtection="1">
      <alignment vertical="center"/>
    </xf>
    <xf numFmtId="164" fontId="11" fillId="0" borderId="49" xfId="56" applyFont="1" applyFill="1" applyBorder="1" applyAlignment="1" applyProtection="1">
      <alignment horizontal="right" vertical="center"/>
      <protection locked="0"/>
    </xf>
    <xf numFmtId="165" fontId="11" fillId="0" borderId="49" xfId="0" applyNumberFormat="1" applyFont="1" applyFill="1" applyBorder="1" applyAlignment="1" applyProtection="1">
      <alignment horizontal="center" vertical="center"/>
    </xf>
    <xf numFmtId="10" fontId="13" fillId="31" borderId="26" xfId="55" applyNumberFormat="1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horizontal="center" vertical="center"/>
      <protection locked="0"/>
    </xf>
    <xf numFmtId="164" fontId="10" fillId="31" borderId="26" xfId="56" applyFont="1" applyFill="1" applyBorder="1" applyAlignment="1" applyProtection="1">
      <alignment vertical="center"/>
      <protection locked="0"/>
    </xf>
    <xf numFmtId="43" fontId="10" fillId="31" borderId="26" xfId="56" applyNumberFormat="1" applyFont="1" applyFill="1" applyBorder="1" applyAlignment="1" applyProtection="1">
      <alignment vertical="center"/>
      <protection locked="0"/>
    </xf>
    <xf numFmtId="10" fontId="13" fillId="25" borderId="0" xfId="55" applyNumberFormat="1" applyFont="1" applyFill="1" applyBorder="1" applyAlignment="1">
      <alignment horizontal="center" vertical="center"/>
    </xf>
    <xf numFmtId="164" fontId="10" fillId="25" borderId="0" xfId="56" applyFont="1" applyFill="1" applyBorder="1" applyAlignment="1" applyProtection="1">
      <alignment vertical="center"/>
    </xf>
    <xf numFmtId="164" fontId="10" fillId="25" borderId="0" xfId="56" applyFont="1" applyFill="1" applyBorder="1" applyAlignment="1" applyProtection="1">
      <alignment horizontal="right" vertical="center"/>
    </xf>
    <xf numFmtId="164" fontId="11" fillId="25" borderId="0" xfId="56" applyFont="1" applyFill="1" applyBorder="1" applyAlignment="1" applyProtection="1">
      <alignment vertical="center"/>
      <protection locked="0"/>
    </xf>
    <xf numFmtId="164" fontId="10" fillId="25" borderId="0" xfId="56" applyFont="1" applyFill="1" applyBorder="1" applyAlignment="1" applyProtection="1">
      <alignment horizontal="left" vertical="center"/>
    </xf>
    <xf numFmtId="164" fontId="10" fillId="25" borderId="0" xfId="56" applyFont="1" applyFill="1" applyBorder="1" applyAlignment="1" applyProtection="1">
      <alignment vertical="center"/>
      <protection locked="0"/>
    </xf>
    <xf numFmtId="10" fontId="13" fillId="28" borderId="16" xfId="55" applyNumberFormat="1" applyFont="1" applyFill="1" applyBorder="1" applyAlignment="1">
      <alignment horizontal="center" vertical="center"/>
    </xf>
    <xf numFmtId="164" fontId="10" fillId="28" borderId="16" xfId="56" applyFont="1" applyFill="1" applyBorder="1" applyAlignment="1">
      <alignment horizontal="center" vertical="center"/>
    </xf>
    <xf numFmtId="164" fontId="10" fillId="28" borderId="16" xfId="56" applyFont="1" applyFill="1" applyBorder="1" applyAlignment="1" applyProtection="1">
      <alignment horizontal="center" vertical="center"/>
    </xf>
    <xf numFmtId="10" fontId="13" fillId="28" borderId="17" xfId="55" applyNumberFormat="1" applyFont="1" applyFill="1" applyBorder="1" applyAlignment="1">
      <alignment horizontal="center" vertical="center"/>
    </xf>
    <xf numFmtId="164" fontId="10" fillId="28" borderId="17" xfId="56" applyFont="1" applyFill="1" applyBorder="1" applyAlignment="1">
      <alignment horizontal="center" vertical="center"/>
    </xf>
    <xf numFmtId="164" fontId="10" fillId="28" borderId="17" xfId="56" applyFont="1" applyFill="1" applyBorder="1" applyAlignment="1">
      <alignment horizontal="center" vertical="center" wrapText="1" shrinkToFit="1"/>
    </xf>
    <xf numFmtId="164" fontId="10" fillId="28" borderId="17" xfId="56" applyFont="1" applyFill="1" applyBorder="1" applyAlignment="1" applyProtection="1">
      <alignment horizontal="center" vertical="center"/>
      <protection locked="0"/>
    </xf>
    <xf numFmtId="164" fontId="10" fillId="28" borderId="17" xfId="56" applyFont="1" applyFill="1" applyBorder="1" applyAlignment="1" applyProtection="1">
      <alignment horizontal="center" vertical="center"/>
    </xf>
    <xf numFmtId="0" fontId="11" fillId="25" borderId="71" xfId="0" applyFont="1" applyFill="1" applyBorder="1" applyAlignment="1" applyProtection="1">
      <alignment vertical="center"/>
    </xf>
    <xf numFmtId="4" fontId="34" fillId="25" borderId="102" xfId="0" applyNumberFormat="1" applyFont="1" applyFill="1" applyBorder="1" applyAlignment="1">
      <alignment vertical="center"/>
    </xf>
    <xf numFmtId="10" fontId="14" fillId="24" borderId="0" xfId="55" applyNumberFormat="1" applyFont="1" applyFill="1" applyBorder="1" applyAlignment="1">
      <alignment horizontal="center" vertical="center"/>
    </xf>
    <xf numFmtId="164" fontId="11" fillId="24" borderId="0" xfId="56" applyFont="1" applyFill="1" applyBorder="1" applyAlignment="1">
      <alignment horizontal="center" vertical="center"/>
    </xf>
    <xf numFmtId="164" fontId="11" fillId="24" borderId="0" xfId="56" applyFont="1" applyFill="1" applyBorder="1" applyAlignment="1">
      <alignment vertical="center"/>
    </xf>
    <xf numFmtId="164" fontId="11" fillId="0" borderId="0" xfId="56" applyFont="1" applyFill="1" applyBorder="1" applyAlignment="1">
      <alignment vertical="center"/>
    </xf>
    <xf numFmtId="2" fontId="12" fillId="24" borderId="0" xfId="56" applyNumberFormat="1" applyFont="1" applyFill="1" applyBorder="1" applyAlignment="1">
      <alignment horizontal="right" vertical="center"/>
    </xf>
    <xf numFmtId="164" fontId="15" fillId="24" borderId="0" xfId="56" applyFont="1" applyFill="1" applyBorder="1" applyAlignment="1">
      <alignment horizontal="center" vertical="center"/>
    </xf>
    <xf numFmtId="164" fontId="15" fillId="24" borderId="0" xfId="56" applyFont="1" applyFill="1" applyBorder="1" applyAlignment="1">
      <alignment vertical="center"/>
    </xf>
    <xf numFmtId="2" fontId="11" fillId="24" borderId="0" xfId="56" applyNumberFormat="1" applyFont="1" applyFill="1" applyBorder="1" applyAlignment="1">
      <alignment horizontal="right" vertical="center"/>
    </xf>
    <xf numFmtId="164" fontId="16" fillId="24" borderId="0" xfId="56" applyFont="1" applyFill="1" applyBorder="1" applyAlignment="1">
      <alignment horizontal="center" vertical="center"/>
    </xf>
    <xf numFmtId="9" fontId="16" fillId="24" borderId="0" xfId="55" applyFont="1" applyFill="1" applyBorder="1" applyAlignment="1">
      <alignment horizontal="center" vertical="center"/>
    </xf>
    <xf numFmtId="43" fontId="11" fillId="0" borderId="0" xfId="0" applyNumberFormat="1" applyFont="1"/>
    <xf numFmtId="0" fontId="8" fillId="25" borderId="63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0" fontId="8" fillId="25" borderId="69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0" fontId="10" fillId="25" borderId="63" xfId="0" applyFont="1" applyFill="1" applyBorder="1" applyAlignment="1">
      <alignment horizontal="center" vertical="center"/>
    </xf>
    <xf numFmtId="0" fontId="10" fillId="25" borderId="68" xfId="0" applyFont="1" applyFill="1" applyBorder="1" applyAlignment="1">
      <alignment horizontal="center" vertical="center"/>
    </xf>
    <xf numFmtId="0" fontId="10" fillId="25" borderId="69" xfId="0" applyFont="1" applyFill="1" applyBorder="1" applyAlignment="1">
      <alignment horizontal="center" vertical="center"/>
    </xf>
    <xf numFmtId="0" fontId="10" fillId="25" borderId="11" xfId="0" applyFont="1" applyFill="1" applyBorder="1" applyAlignment="1">
      <alignment horizontal="center" vertical="center"/>
    </xf>
    <xf numFmtId="0" fontId="10" fillId="25" borderId="0" xfId="0" applyFont="1" applyFill="1" applyBorder="1" applyAlignment="1">
      <alignment horizontal="center" vertical="center"/>
    </xf>
    <xf numFmtId="0" fontId="10" fillId="25" borderId="12" xfId="0" applyFont="1" applyFill="1" applyBorder="1" applyAlignment="1">
      <alignment horizontal="center" vertical="center"/>
    </xf>
    <xf numFmtId="0" fontId="10" fillId="28" borderId="60" xfId="0" applyFont="1" applyFill="1" applyBorder="1" applyAlignment="1">
      <alignment horizontal="center" vertical="center"/>
    </xf>
    <xf numFmtId="0" fontId="10" fillId="28" borderId="82" xfId="0" applyFont="1" applyFill="1" applyBorder="1" applyAlignment="1">
      <alignment horizontal="center" vertical="center"/>
    </xf>
    <xf numFmtId="0" fontId="10" fillId="28" borderId="61" xfId="0" applyFont="1" applyFill="1" applyBorder="1" applyAlignment="1">
      <alignment horizontal="center" vertical="center"/>
    </xf>
    <xf numFmtId="0" fontId="10" fillId="28" borderId="83" xfId="0" applyFont="1" applyFill="1" applyBorder="1" applyAlignment="1">
      <alignment horizontal="center" vertical="center"/>
    </xf>
    <xf numFmtId="164" fontId="10" fillId="28" borderId="16" xfId="56" applyFont="1" applyFill="1" applyBorder="1" applyAlignment="1">
      <alignment horizontal="center" vertical="center"/>
    </xf>
    <xf numFmtId="164" fontId="10" fillId="28" borderId="17" xfId="56" applyFont="1" applyFill="1" applyBorder="1" applyAlignment="1">
      <alignment horizontal="center" vertical="center"/>
    </xf>
    <xf numFmtId="4" fontId="10" fillId="28" borderId="84" xfId="0" applyNumberFormat="1" applyFont="1" applyFill="1" applyBorder="1" applyAlignment="1" applyProtection="1">
      <alignment horizontal="center" vertical="center"/>
      <protection locked="0"/>
    </xf>
    <xf numFmtId="4" fontId="10" fillId="28" borderId="85" xfId="0" applyNumberFormat="1" applyFont="1" applyFill="1" applyBorder="1" applyAlignment="1" applyProtection="1">
      <alignment horizontal="center" vertical="center"/>
      <protection locked="0"/>
    </xf>
    <xf numFmtId="164" fontId="10" fillId="28" borderId="84" xfId="56" applyFont="1" applyFill="1" applyBorder="1" applyAlignment="1" applyProtection="1">
      <alignment horizontal="center" vertical="center"/>
      <protection locked="0"/>
    </xf>
    <xf numFmtId="164" fontId="10" fillId="28" borderId="85" xfId="56" applyFont="1" applyFill="1" applyBorder="1" applyAlignment="1" applyProtection="1">
      <alignment horizontal="center" vertical="center"/>
      <protection locked="0"/>
    </xf>
    <xf numFmtId="0" fontId="10" fillId="28" borderId="86" xfId="0" applyFont="1" applyFill="1" applyBorder="1" applyAlignment="1" applyProtection="1">
      <alignment horizontal="center" vertical="center"/>
    </xf>
    <xf numFmtId="0" fontId="10" fillId="28" borderId="87" xfId="0" applyFont="1" applyFill="1" applyBorder="1" applyAlignment="1" applyProtection="1">
      <alignment horizontal="center" vertical="center"/>
    </xf>
    <xf numFmtId="0" fontId="10" fillId="26" borderId="86" xfId="0" applyFont="1" applyFill="1" applyBorder="1" applyAlignment="1" applyProtection="1">
      <alignment horizontal="center" vertical="center"/>
    </xf>
    <xf numFmtId="0" fontId="10" fillId="26" borderId="87" xfId="0" applyFont="1" applyFill="1" applyBorder="1" applyAlignment="1" applyProtection="1">
      <alignment horizontal="center" vertical="center"/>
    </xf>
    <xf numFmtId="4" fontId="10" fillId="26" borderId="84" xfId="0" applyNumberFormat="1" applyFont="1" applyFill="1" applyBorder="1" applyAlignment="1" applyProtection="1">
      <alignment horizontal="center" vertical="center"/>
      <protection locked="0"/>
    </xf>
    <xf numFmtId="4" fontId="10" fillId="26" borderId="85" xfId="0" applyNumberFormat="1" applyFont="1" applyFill="1" applyBorder="1" applyAlignment="1" applyProtection="1">
      <alignment horizontal="center" vertical="center"/>
      <protection locked="0"/>
    </xf>
    <xf numFmtId="164" fontId="10" fillId="26" borderId="84" xfId="52" applyFont="1" applyFill="1" applyBorder="1" applyAlignment="1" applyProtection="1">
      <alignment horizontal="center" vertical="center"/>
      <protection locked="0"/>
    </xf>
    <xf numFmtId="164" fontId="10" fillId="26" borderId="85" xfId="52" applyFont="1" applyFill="1" applyBorder="1" applyAlignment="1" applyProtection="1">
      <alignment horizontal="center" vertical="center"/>
      <protection locked="0"/>
    </xf>
    <xf numFmtId="0" fontId="10" fillId="26" borderId="60" xfId="0" applyFont="1" applyFill="1" applyBorder="1" applyAlignment="1">
      <alignment horizontal="center" vertical="center"/>
    </xf>
    <xf numFmtId="0" fontId="10" fillId="26" borderId="82" xfId="0" applyFont="1" applyFill="1" applyBorder="1" applyAlignment="1">
      <alignment horizontal="center" vertical="center"/>
    </xf>
    <xf numFmtId="0" fontId="10" fillId="26" borderId="61" xfId="0" applyFont="1" applyFill="1" applyBorder="1" applyAlignment="1">
      <alignment horizontal="center" vertical="center"/>
    </xf>
    <xf numFmtId="0" fontId="10" fillId="26" borderId="83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10" fontId="13" fillId="25" borderId="61" xfId="54" applyNumberFormat="1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</xf>
    <xf numFmtId="164" fontId="10" fillId="25" borderId="61" xfId="52" applyFont="1" applyFill="1" applyBorder="1" applyAlignment="1" applyProtection="1">
      <alignment horizontal="center" vertical="center"/>
      <protection locked="0"/>
    </xf>
    <xf numFmtId="164" fontId="10" fillId="25" borderId="61" xfId="52" applyFont="1" applyFill="1" applyBorder="1" applyAlignment="1" applyProtection="1">
      <alignment vertical="center"/>
      <protection locked="0"/>
    </xf>
    <xf numFmtId="164" fontId="10" fillId="25" borderId="61" xfId="52" applyFont="1" applyFill="1" applyBorder="1" applyAlignment="1" applyProtection="1">
      <alignment vertical="center"/>
    </xf>
    <xf numFmtId="10" fontId="11" fillId="25" borderId="49" xfId="54" applyNumberFormat="1" applyFont="1" applyFill="1" applyBorder="1" applyAlignment="1" applyProtection="1">
      <alignment horizontal="center" vertical="center"/>
    </xf>
    <xf numFmtId="10" fontId="11" fillId="25" borderId="56" xfId="54" applyNumberFormat="1" applyFont="1" applyFill="1" applyBorder="1" applyAlignment="1" applyProtection="1">
      <alignment horizontal="center" vertical="center"/>
    </xf>
    <xf numFmtId="164" fontId="11" fillId="25" borderId="56" xfId="52" applyFont="1" applyFill="1" applyBorder="1" applyAlignment="1" applyProtection="1">
      <alignment vertical="center"/>
    </xf>
    <xf numFmtId="164" fontId="11" fillId="25" borderId="67" xfId="52" applyFont="1" applyFill="1" applyBorder="1" applyAlignment="1" applyProtection="1">
      <alignment vertical="center"/>
    </xf>
    <xf numFmtId="10" fontId="13" fillId="27" borderId="26" xfId="54" applyNumberFormat="1" applyFont="1" applyFill="1" applyBorder="1" applyAlignment="1" applyProtection="1">
      <alignment horizontal="center" vertical="center"/>
    </xf>
    <xf numFmtId="164" fontId="10" fillId="27" borderId="26" xfId="52" applyFont="1" applyFill="1" applyBorder="1" applyAlignment="1" applyProtection="1">
      <alignment horizontal="center" vertical="center"/>
    </xf>
  </cellXfs>
  <cellStyles count="57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6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te" xfId="47"/>
    <cellStyle name="Output" xfId="48"/>
    <cellStyle name="Percent" xfId="54" builtinId="5"/>
    <cellStyle name="Percent 2" xfId="55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585;&#3633;&#3609;%201_V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50;&#3617;&#3648;&#3604;&#3609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บ้านดีดีรักษ์กัน 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F14" sqref="F14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523" t="s">
        <v>1</v>
      </c>
      <c r="B1" s="524"/>
      <c r="C1" s="524"/>
      <c r="D1" s="524"/>
      <c r="E1" s="525"/>
    </row>
    <row r="2" spans="1:10" ht="20.100000000000001" customHeight="1">
      <c r="A2" s="127" t="s">
        <v>202</v>
      </c>
      <c r="B2" s="128"/>
      <c r="C2" s="128"/>
      <c r="D2" s="531" t="s">
        <v>227</v>
      </c>
      <c r="E2" s="532"/>
    </row>
    <row r="3" spans="1:10" ht="20.100000000000001" customHeight="1">
      <c r="A3" s="127" t="s">
        <v>203</v>
      </c>
      <c r="B3" s="129"/>
      <c r="C3" s="533" t="s">
        <v>228</v>
      </c>
      <c r="D3" s="533"/>
      <c r="E3" s="534"/>
    </row>
    <row r="4" spans="1:10" ht="14.4" thickBot="1">
      <c r="A4" s="127" t="s">
        <v>439</v>
      </c>
      <c r="B4" s="140"/>
      <c r="C4" s="140"/>
      <c r="D4" s="140"/>
      <c r="E4" s="143"/>
    </row>
    <row r="5" spans="1:10" ht="20.100000000000001" customHeight="1" thickBot="1">
      <c r="A5" s="59" t="s">
        <v>2</v>
      </c>
      <c r="B5" s="60" t="s">
        <v>3</v>
      </c>
      <c r="C5" s="60" t="s">
        <v>4</v>
      </c>
      <c r="D5" s="60" t="s">
        <v>5</v>
      </c>
      <c r="E5" s="61" t="s">
        <v>6</v>
      </c>
    </row>
    <row r="6" spans="1:10">
      <c r="A6" s="317"/>
      <c r="B6" s="314"/>
      <c r="C6" s="315"/>
      <c r="D6" s="315"/>
      <c r="E6" s="316"/>
    </row>
    <row r="7" spans="1:10">
      <c r="A7" s="62"/>
      <c r="B7" s="306" t="s">
        <v>7</v>
      </c>
      <c r="C7" s="63"/>
      <c r="D7" s="63"/>
      <c r="E7" s="64"/>
    </row>
    <row r="8" spans="1:10">
      <c r="A8" s="332" t="s">
        <v>8</v>
      </c>
      <c r="B8" s="330" t="s">
        <v>9</v>
      </c>
      <c r="C8" s="322"/>
      <c r="D8" s="327">
        <f>หมวดงานโครงสร้าง!L57</f>
        <v>2215489.0638016416</v>
      </c>
      <c r="E8" s="333"/>
      <c r="F8" s="257">
        <f>D8/4</f>
        <v>553872.26595041039</v>
      </c>
      <c r="G8" s="4"/>
    </row>
    <row r="9" spans="1:10">
      <c r="A9" s="334"/>
      <c r="B9" s="308"/>
      <c r="C9" s="323"/>
      <c r="D9" s="136"/>
      <c r="E9" s="335"/>
      <c r="I9" s="258"/>
      <c r="J9" s="258"/>
    </row>
    <row r="10" spans="1:10">
      <c r="A10" s="336" t="s">
        <v>13</v>
      </c>
      <c r="B10" s="304" t="s">
        <v>14</v>
      </c>
      <c r="C10" s="324"/>
      <c r="D10" s="339">
        <f>'งานสถาปัตยกรรม '!L159</f>
        <v>3184077.15</v>
      </c>
      <c r="E10" s="337"/>
      <c r="F10" s="257">
        <f>D10/4</f>
        <v>796019.28749999998</v>
      </c>
      <c r="G10" s="4"/>
      <c r="I10" s="258"/>
      <c r="J10" s="258"/>
    </row>
    <row r="11" spans="1:10" ht="21.75" customHeight="1">
      <c r="A11" s="334"/>
      <c r="B11" s="309"/>
      <c r="C11" s="323"/>
      <c r="D11" s="136"/>
      <c r="E11" s="335"/>
      <c r="I11" s="258"/>
      <c r="J11" s="258"/>
    </row>
    <row r="12" spans="1:10">
      <c r="A12" s="336" t="s">
        <v>23</v>
      </c>
      <c r="B12" s="304" t="s">
        <v>24</v>
      </c>
      <c r="C12" s="324"/>
      <c r="D12" s="390">
        <f>งานระบบไฟฟ้า!L69</f>
        <v>465111.54</v>
      </c>
      <c r="E12" s="337"/>
      <c r="F12" s="257">
        <f>D12/4</f>
        <v>116277.88499999999</v>
      </c>
      <c r="G12" s="4"/>
      <c r="I12" s="258"/>
      <c r="J12" s="258"/>
    </row>
    <row r="13" spans="1:10">
      <c r="A13" s="334"/>
      <c r="B13" s="308"/>
      <c r="C13" s="325"/>
      <c r="D13" s="136"/>
      <c r="E13" s="337"/>
      <c r="I13" s="258"/>
      <c r="J13" s="258"/>
    </row>
    <row r="14" spans="1:10" s="290" customFormat="1">
      <c r="A14" s="336" t="s">
        <v>26</v>
      </c>
      <c r="B14" s="304" t="s">
        <v>168</v>
      </c>
      <c r="C14" s="324"/>
      <c r="D14" s="339">
        <f>งานระบบประปา!L93</f>
        <v>288981.22810000001</v>
      </c>
      <c r="E14" s="337"/>
      <c r="F14" s="257">
        <f>D14/4</f>
        <v>72245.307025000002</v>
      </c>
      <c r="G14" s="305"/>
      <c r="I14" s="22"/>
      <c r="J14" s="22"/>
    </row>
    <row r="15" spans="1:10" ht="14.4" thickBot="1">
      <c r="A15" s="313"/>
      <c r="B15" s="331"/>
      <c r="C15" s="326"/>
      <c r="D15" s="311"/>
      <c r="E15" s="338"/>
      <c r="J15" s="258"/>
    </row>
    <row r="16" spans="1:10" ht="20.100000000000001" customHeight="1" thickTop="1">
      <c r="A16" s="307"/>
      <c r="B16" s="328" t="s">
        <v>27</v>
      </c>
      <c r="C16" s="310"/>
      <c r="D16" s="310">
        <f>SUM(D8:D15)</f>
        <v>6153658.981901641</v>
      </c>
      <c r="E16" s="329"/>
      <c r="I16" s="2"/>
    </row>
    <row r="17" spans="1:14" ht="20.100000000000001" customHeight="1">
      <c r="A17" s="48" t="s">
        <v>29</v>
      </c>
      <c r="B17" s="49" t="s">
        <v>28</v>
      </c>
      <c r="C17" s="50" t="s">
        <v>169</v>
      </c>
      <c r="D17" s="50">
        <v>0</v>
      </c>
      <c r="E17" s="51"/>
      <c r="F17" s="4"/>
      <c r="I17" s="3"/>
    </row>
    <row r="18" spans="1:14" ht="20.100000000000001" customHeight="1">
      <c r="A18" s="48" t="s">
        <v>154</v>
      </c>
      <c r="B18" s="52" t="s">
        <v>171</v>
      </c>
      <c r="C18" s="90"/>
      <c r="D18" s="50">
        <f>ROUNDUP(D16*0.1,0)</f>
        <v>615366</v>
      </c>
      <c r="E18" s="53"/>
      <c r="F18" s="526"/>
      <c r="G18" s="526"/>
      <c r="H18" s="259"/>
      <c r="I18" s="3"/>
      <c r="J18" s="528"/>
      <c r="K18" s="529"/>
    </row>
    <row r="19" spans="1:14" ht="20.100000000000001" customHeight="1" thickBot="1">
      <c r="A19" s="54"/>
      <c r="B19" s="55" t="s">
        <v>30</v>
      </c>
      <c r="C19" s="56"/>
      <c r="D19" s="56">
        <f>SUM(D16:D18)</f>
        <v>6769024.981901641</v>
      </c>
      <c r="E19" s="57"/>
      <c r="F19" s="527"/>
      <c r="G19" s="527"/>
      <c r="I19" s="6"/>
      <c r="J19" s="530"/>
      <c r="K19" s="527"/>
    </row>
    <row r="20" spans="1:14" ht="20.100000000000001" customHeight="1" outlineLevel="1" thickTop="1">
      <c r="A20" s="45"/>
      <c r="B20" s="46" t="s">
        <v>31</v>
      </c>
      <c r="C20" s="58"/>
      <c r="D20" s="58">
        <f>ROUNDUP(D19*7%,2)</f>
        <v>473831.75</v>
      </c>
      <c r="E20" s="47"/>
      <c r="N20" s="5">
        <v>515921.81</v>
      </c>
    </row>
    <row r="21" spans="1:14" ht="20.100000000000001" customHeight="1" outlineLevel="1" thickBot="1">
      <c r="A21" s="318"/>
      <c r="B21" s="319" t="s">
        <v>32</v>
      </c>
      <c r="C21" s="320"/>
      <c r="D21" s="320">
        <f>SUM(D19:D20)</f>
        <v>7242856.731901641</v>
      </c>
      <c r="E21" s="321"/>
    </row>
    <row r="22" spans="1:14">
      <c r="A22" s="137" t="s">
        <v>33</v>
      </c>
      <c r="B22" s="138"/>
      <c r="C22" s="138"/>
      <c r="D22" s="138"/>
      <c r="E22" s="139"/>
    </row>
    <row r="24" spans="1:14">
      <c r="B24" s="135"/>
      <c r="D24" s="522">
        <f>D21/4</f>
        <v>1810714.1829754103</v>
      </c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72"/>
  <sheetViews>
    <sheetView view="pageBreakPreview" zoomScaleNormal="75" zoomScaleSheetLayoutView="100" workbookViewId="0">
      <pane xSplit="7" ySplit="8" topLeftCell="H51" activePane="bottomRight" state="frozen"/>
      <selection activeCell="P4" sqref="P4"/>
      <selection pane="topRight" activeCell="P4" sqref="P4"/>
      <selection pane="bottomLeft" activeCell="P4" sqref="P4"/>
      <selection pane="bottomRight" activeCell="A8" sqref="A8:M57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11.44140625" style="5" hidden="1" customWidth="1" outlineLevel="1"/>
    <col min="5" max="5" width="11.5546875" style="5" hidden="1" customWidth="1" outlineLevel="1"/>
    <col min="6" max="6" width="9.109375" style="5" hidden="1" customWidth="1" outlineLevel="1"/>
    <col min="7" max="7" width="10.6640625" style="5" customWidth="1" collapsed="1"/>
    <col min="8" max="11" width="13.5546875" style="5" customWidth="1"/>
    <col min="12" max="12" width="15.5546875" style="5" customWidth="1"/>
    <col min="13" max="13" width="21.5546875" style="5" customWidth="1"/>
    <col min="14" max="15" width="9.109375" style="5"/>
    <col min="16" max="16" width="9.109375" style="290"/>
    <col min="17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3.5546875" style="5" customWidth="1"/>
    <col min="268" max="268" width="15.554687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3.5546875" style="5" customWidth="1"/>
    <col min="524" max="524" width="15.554687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3.5546875" style="5" customWidth="1"/>
    <col min="780" max="780" width="15.554687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3.5546875" style="5" customWidth="1"/>
    <col min="1036" max="1036" width="15.554687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3.5546875" style="5" customWidth="1"/>
    <col min="1292" max="1292" width="15.554687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3.5546875" style="5" customWidth="1"/>
    <col min="1548" max="1548" width="15.554687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3.5546875" style="5" customWidth="1"/>
    <col min="1804" max="1804" width="15.554687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3.5546875" style="5" customWidth="1"/>
    <col min="2060" max="2060" width="15.554687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3.5546875" style="5" customWidth="1"/>
    <col min="2316" max="2316" width="15.554687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3.5546875" style="5" customWidth="1"/>
    <col min="2572" max="2572" width="15.554687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3.5546875" style="5" customWidth="1"/>
    <col min="2828" max="2828" width="15.554687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3.5546875" style="5" customWidth="1"/>
    <col min="3084" max="3084" width="15.554687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3.5546875" style="5" customWidth="1"/>
    <col min="3340" max="3340" width="15.554687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3.5546875" style="5" customWidth="1"/>
    <col min="3596" max="3596" width="15.554687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3.5546875" style="5" customWidth="1"/>
    <col min="3852" max="3852" width="15.554687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3.5546875" style="5" customWidth="1"/>
    <col min="4108" max="4108" width="15.554687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3.5546875" style="5" customWidth="1"/>
    <col min="4364" max="4364" width="15.554687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3.5546875" style="5" customWidth="1"/>
    <col min="4620" max="4620" width="15.554687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3.5546875" style="5" customWidth="1"/>
    <col min="4876" max="4876" width="15.554687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3.5546875" style="5" customWidth="1"/>
    <col min="5132" max="5132" width="15.554687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3.5546875" style="5" customWidth="1"/>
    <col min="5388" max="5388" width="15.554687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3.5546875" style="5" customWidth="1"/>
    <col min="5644" max="5644" width="15.554687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3.5546875" style="5" customWidth="1"/>
    <col min="5900" max="5900" width="15.554687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3.5546875" style="5" customWidth="1"/>
    <col min="6156" max="6156" width="15.554687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3.5546875" style="5" customWidth="1"/>
    <col min="6412" max="6412" width="15.554687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3.5546875" style="5" customWidth="1"/>
    <col min="6668" max="6668" width="15.554687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3.5546875" style="5" customWidth="1"/>
    <col min="6924" max="6924" width="15.554687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3.5546875" style="5" customWidth="1"/>
    <col min="7180" max="7180" width="15.554687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3.5546875" style="5" customWidth="1"/>
    <col min="7436" max="7436" width="15.554687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3.5546875" style="5" customWidth="1"/>
    <col min="7692" max="7692" width="15.554687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3.5546875" style="5" customWidth="1"/>
    <col min="7948" max="7948" width="15.554687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3.5546875" style="5" customWidth="1"/>
    <col min="8204" max="8204" width="15.554687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3.5546875" style="5" customWidth="1"/>
    <col min="8460" max="8460" width="15.554687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3.5546875" style="5" customWidth="1"/>
    <col min="8716" max="8716" width="15.554687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3.5546875" style="5" customWidth="1"/>
    <col min="8972" max="8972" width="15.554687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3.5546875" style="5" customWidth="1"/>
    <col min="9228" max="9228" width="15.554687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3.5546875" style="5" customWidth="1"/>
    <col min="9484" max="9484" width="15.554687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3.5546875" style="5" customWidth="1"/>
    <col min="9740" max="9740" width="15.554687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3.5546875" style="5" customWidth="1"/>
    <col min="9996" max="9996" width="15.554687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3.5546875" style="5" customWidth="1"/>
    <col min="10252" max="10252" width="15.554687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3.5546875" style="5" customWidth="1"/>
    <col min="10508" max="10508" width="15.554687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3.5546875" style="5" customWidth="1"/>
    <col min="10764" max="10764" width="15.554687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3.5546875" style="5" customWidth="1"/>
    <col min="11020" max="11020" width="15.554687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3.5546875" style="5" customWidth="1"/>
    <col min="11276" max="11276" width="15.554687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3.5546875" style="5" customWidth="1"/>
    <col min="11532" max="11532" width="15.554687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3.5546875" style="5" customWidth="1"/>
    <col min="11788" max="11788" width="15.554687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3.5546875" style="5" customWidth="1"/>
    <col min="12044" max="12044" width="15.554687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3.5546875" style="5" customWidth="1"/>
    <col min="12300" max="12300" width="15.554687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3.5546875" style="5" customWidth="1"/>
    <col min="12556" max="12556" width="15.554687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3.5546875" style="5" customWidth="1"/>
    <col min="12812" max="12812" width="15.554687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3.5546875" style="5" customWidth="1"/>
    <col min="13068" max="13068" width="15.554687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3.5546875" style="5" customWidth="1"/>
    <col min="13324" max="13324" width="15.554687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3.5546875" style="5" customWidth="1"/>
    <col min="13580" max="13580" width="15.554687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3.5546875" style="5" customWidth="1"/>
    <col min="13836" max="13836" width="15.554687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3.5546875" style="5" customWidth="1"/>
    <col min="14092" max="14092" width="15.554687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3.5546875" style="5" customWidth="1"/>
    <col min="14348" max="14348" width="15.554687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3.5546875" style="5" customWidth="1"/>
    <col min="14604" max="14604" width="15.554687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3.5546875" style="5" customWidth="1"/>
    <col min="14860" max="14860" width="15.554687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3.5546875" style="5" customWidth="1"/>
    <col min="15116" max="15116" width="15.554687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3.5546875" style="5" customWidth="1"/>
    <col min="15372" max="15372" width="15.554687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3.5546875" style="5" customWidth="1"/>
    <col min="15628" max="15628" width="15.554687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3.5546875" style="5" customWidth="1"/>
    <col min="15884" max="15884" width="15.554687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3.5546875" style="5" customWidth="1"/>
    <col min="16140" max="16140" width="15.5546875" style="5" customWidth="1"/>
    <col min="16141" max="16141" width="21.5546875" style="5" customWidth="1"/>
    <col min="16142" max="16384" width="9.109375" style="5"/>
  </cols>
  <sheetData>
    <row r="1" spans="1:16" s="7" customFormat="1" ht="20.100000000000001" customHeight="1">
      <c r="A1" s="535" t="s">
        <v>36</v>
      </c>
      <c r="B1" s="536"/>
      <c r="C1" s="536"/>
      <c r="D1" s="536"/>
      <c r="E1" s="536"/>
      <c r="F1" s="536"/>
      <c r="G1" s="536"/>
      <c r="H1" s="536"/>
      <c r="I1" s="536"/>
      <c r="J1" s="536"/>
      <c r="K1" s="536"/>
      <c r="L1" s="536"/>
      <c r="M1" s="537"/>
    </row>
    <row r="2" spans="1:16" s="7" customFormat="1" ht="20.100000000000001" customHeight="1">
      <c r="A2" s="538" t="s">
        <v>45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540"/>
    </row>
    <row r="3" spans="1:16" s="7" customFormat="1" ht="20.100000000000001" customHeight="1">
      <c r="A3" s="127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8"/>
      <c r="C3" s="129"/>
      <c r="D3" s="496"/>
      <c r="E3" s="497"/>
      <c r="F3" s="497"/>
      <c r="G3" s="497"/>
      <c r="H3" s="498"/>
      <c r="I3" s="498"/>
      <c r="J3" s="499"/>
      <c r="K3" s="499"/>
      <c r="L3" s="500"/>
      <c r="M3" s="134" t="str">
        <f>'[1]cover '!D2</f>
        <v xml:space="preserve">จัดทำโดย คณะสถาปัตยกรรมศาสตร์ 
</v>
      </c>
    </row>
    <row r="4" spans="1:16" s="7" customFormat="1" ht="20.100000000000001" customHeight="1">
      <c r="A4" s="127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29"/>
      <c r="C4" s="129"/>
      <c r="D4" s="496"/>
      <c r="E4" s="497"/>
      <c r="F4" s="497"/>
      <c r="G4" s="497"/>
      <c r="H4" s="498"/>
      <c r="I4" s="498"/>
      <c r="J4" s="533" t="s">
        <v>228</v>
      </c>
      <c r="K4" s="533"/>
      <c r="L4" s="533"/>
      <c r="M4" s="534"/>
    </row>
    <row r="5" spans="1:16" s="7" customFormat="1" ht="20.100000000000001" customHeight="1" thickBot="1">
      <c r="A5" s="127" t="str">
        <f>'[1]cover '!A4</f>
        <v>แบบบ้าน  :  บ้านดีดีรักษ์กัน 1</v>
      </c>
      <c r="B5" s="129"/>
      <c r="C5" s="129"/>
      <c r="D5" s="496"/>
      <c r="E5" s="497"/>
      <c r="F5" s="497"/>
      <c r="G5" s="497"/>
      <c r="H5" s="498"/>
      <c r="I5" s="498"/>
      <c r="J5" s="501"/>
      <c r="K5" s="501"/>
      <c r="L5" s="497"/>
      <c r="M5" s="134"/>
    </row>
    <row r="6" spans="1:16" s="8" customFormat="1" ht="20.100000000000001" customHeight="1">
      <c r="A6" s="541" t="s">
        <v>2</v>
      </c>
      <c r="B6" s="543" t="s">
        <v>3</v>
      </c>
      <c r="C6" s="543" t="s">
        <v>37</v>
      </c>
      <c r="D6" s="502" t="s">
        <v>46</v>
      </c>
      <c r="E6" s="503" t="s">
        <v>38</v>
      </c>
      <c r="F6" s="503" t="s">
        <v>38</v>
      </c>
      <c r="G6" s="545" t="s">
        <v>38</v>
      </c>
      <c r="H6" s="547" t="s">
        <v>39</v>
      </c>
      <c r="I6" s="548"/>
      <c r="J6" s="549" t="s">
        <v>40</v>
      </c>
      <c r="K6" s="550"/>
      <c r="L6" s="504" t="s">
        <v>5</v>
      </c>
      <c r="M6" s="551" t="s">
        <v>41</v>
      </c>
    </row>
    <row r="7" spans="1:16" s="8" customFormat="1" ht="20.100000000000001" customHeight="1" thickBot="1">
      <c r="A7" s="542"/>
      <c r="B7" s="544"/>
      <c r="C7" s="544"/>
      <c r="D7" s="505" t="s">
        <v>47</v>
      </c>
      <c r="E7" s="506"/>
      <c r="F7" s="507"/>
      <c r="G7" s="546"/>
      <c r="H7" s="508" t="s">
        <v>42</v>
      </c>
      <c r="I7" s="508" t="s">
        <v>43</v>
      </c>
      <c r="J7" s="508" t="s">
        <v>42</v>
      </c>
      <c r="K7" s="508" t="s">
        <v>43</v>
      </c>
      <c r="L7" s="509" t="s">
        <v>44</v>
      </c>
      <c r="M7" s="552"/>
    </row>
    <row r="8" spans="1:16" s="1" customFormat="1" ht="20.100000000000001" customHeight="1">
      <c r="A8" s="144" t="s">
        <v>48</v>
      </c>
      <c r="B8" s="145" t="s">
        <v>49</v>
      </c>
      <c r="C8" s="146"/>
      <c r="D8" s="565"/>
      <c r="E8" s="566"/>
      <c r="F8" s="567"/>
      <c r="G8" s="568"/>
      <c r="H8" s="568"/>
      <c r="I8" s="568"/>
      <c r="J8" s="568"/>
      <c r="K8" s="568"/>
      <c r="L8" s="569"/>
      <c r="M8" s="147"/>
    </row>
    <row r="9" spans="1:16" s="1" customFormat="1" ht="20.100000000000001" customHeight="1">
      <c r="A9" s="148" t="s">
        <v>10</v>
      </c>
      <c r="B9" s="149" t="s">
        <v>175</v>
      </c>
      <c r="C9" s="150"/>
      <c r="D9" s="151"/>
      <c r="E9" s="152"/>
      <c r="F9" s="152"/>
      <c r="G9" s="123"/>
      <c r="H9" s="123"/>
      <c r="I9" s="123"/>
      <c r="J9" s="123"/>
      <c r="K9" s="123"/>
      <c r="L9" s="154"/>
      <c r="M9" s="155"/>
    </row>
    <row r="10" spans="1:16" s="16" customFormat="1" ht="18.899999999999999" customHeight="1">
      <c r="A10" s="184" t="s">
        <v>50</v>
      </c>
      <c r="B10" s="185" t="s">
        <v>236</v>
      </c>
      <c r="C10" s="103" t="s">
        <v>51</v>
      </c>
      <c r="D10" s="104">
        <v>0</v>
      </c>
      <c r="E10" s="105">
        <v>58</v>
      </c>
      <c r="F10" s="106"/>
      <c r="G10" s="107">
        <v>33</v>
      </c>
      <c r="H10" s="106">
        <v>5460</v>
      </c>
      <c r="I10" s="107">
        <f>G10*H10</f>
        <v>180180</v>
      </c>
      <c r="J10" s="107">
        <v>0</v>
      </c>
      <c r="K10" s="107">
        <f>SUM(G10*J10)</f>
        <v>0</v>
      </c>
      <c r="L10" s="108">
        <f t="shared" ref="L10:L18" si="0">SUM(I10+K10)</f>
        <v>180180</v>
      </c>
      <c r="M10" s="109"/>
      <c r="O10" s="16">
        <v>1</v>
      </c>
      <c r="P10" s="499">
        <v>21</v>
      </c>
    </row>
    <row r="11" spans="1:16" s="16" customFormat="1" ht="18.899999999999999" customHeight="1">
      <c r="A11" s="184" t="s">
        <v>177</v>
      </c>
      <c r="B11" s="186" t="s">
        <v>237</v>
      </c>
      <c r="C11" s="103" t="s">
        <v>51</v>
      </c>
      <c r="D11" s="104">
        <v>0</v>
      </c>
      <c r="E11" s="105">
        <v>58</v>
      </c>
      <c r="F11" s="106"/>
      <c r="G11" s="107">
        <v>33</v>
      </c>
      <c r="H11" s="106">
        <v>0</v>
      </c>
      <c r="I11" s="107">
        <f>G11*H11</f>
        <v>0</v>
      </c>
      <c r="J11" s="107">
        <v>230</v>
      </c>
      <c r="K11" s="107">
        <f t="shared" ref="K11:K18" si="1">SUM(G11*J11)</f>
        <v>7590</v>
      </c>
      <c r="L11" s="108">
        <f t="shared" si="0"/>
        <v>7590</v>
      </c>
      <c r="M11" s="109"/>
      <c r="O11" s="16">
        <v>1</v>
      </c>
      <c r="P11" s="499">
        <f>P10</f>
        <v>21</v>
      </c>
    </row>
    <row r="12" spans="1:16" s="16" customFormat="1" ht="18.899999999999999" customHeight="1">
      <c r="A12" s="184" t="s">
        <v>52</v>
      </c>
      <c r="B12" s="185" t="s">
        <v>238</v>
      </c>
      <c r="C12" s="103" t="s">
        <v>164</v>
      </c>
      <c r="D12" s="104">
        <v>0</v>
      </c>
      <c r="E12" s="105">
        <v>58</v>
      </c>
      <c r="F12" s="106"/>
      <c r="G12" s="107">
        <v>33</v>
      </c>
      <c r="H12" s="106">
        <v>0</v>
      </c>
      <c r="I12" s="107">
        <f>G12*H12</f>
        <v>0</v>
      </c>
      <c r="J12" s="107">
        <v>1450</v>
      </c>
      <c r="K12" s="107">
        <f t="shared" si="1"/>
        <v>47850</v>
      </c>
      <c r="L12" s="108">
        <f t="shared" si="0"/>
        <v>47850</v>
      </c>
      <c r="M12" s="109"/>
      <c r="O12" s="16">
        <v>1</v>
      </c>
      <c r="P12" s="499">
        <f>P10</f>
        <v>21</v>
      </c>
    </row>
    <row r="13" spans="1:16" s="16" customFormat="1" ht="18.899999999999999" customHeight="1">
      <c r="A13" s="184" t="s">
        <v>55</v>
      </c>
      <c r="B13" s="186" t="s">
        <v>53</v>
      </c>
      <c r="C13" s="103" t="s">
        <v>54</v>
      </c>
      <c r="D13" s="104">
        <v>0</v>
      </c>
      <c r="E13" s="105">
        <v>153</v>
      </c>
      <c r="F13" s="106"/>
      <c r="G13" s="107">
        <v>12.870000000000001</v>
      </c>
      <c r="H13" s="106">
        <v>0</v>
      </c>
      <c r="I13" s="107">
        <f>G13*H13</f>
        <v>0</v>
      </c>
      <c r="J13" s="107">
        <v>125</v>
      </c>
      <c r="K13" s="107">
        <f t="shared" si="1"/>
        <v>1608.7500000000002</v>
      </c>
      <c r="L13" s="108">
        <f t="shared" si="0"/>
        <v>1608.7500000000002</v>
      </c>
      <c r="M13" s="109"/>
      <c r="O13" s="16">
        <v>1</v>
      </c>
      <c r="P13" s="499">
        <v>22</v>
      </c>
    </row>
    <row r="14" spans="1:16" s="16" customFormat="1" ht="18.899999999999999" customHeight="1">
      <c r="A14" s="184" t="s">
        <v>57</v>
      </c>
      <c r="B14" s="187" t="s">
        <v>56</v>
      </c>
      <c r="C14" s="103" t="s">
        <v>54</v>
      </c>
      <c r="D14" s="104">
        <v>0</v>
      </c>
      <c r="E14" s="105">
        <v>141</v>
      </c>
      <c r="F14" s="106"/>
      <c r="G14" s="107">
        <v>3.8610000000000011</v>
      </c>
      <c r="H14" s="106">
        <v>0</v>
      </c>
      <c r="I14" s="107">
        <f>G14*H14</f>
        <v>0</v>
      </c>
      <c r="J14" s="107">
        <v>99</v>
      </c>
      <c r="K14" s="107">
        <f t="shared" si="1"/>
        <v>382.23900000000009</v>
      </c>
      <c r="L14" s="108">
        <f t="shared" si="0"/>
        <v>382.23900000000009</v>
      </c>
      <c r="M14" s="109"/>
      <c r="O14" s="16">
        <v>1</v>
      </c>
      <c r="P14" s="499">
        <v>14</v>
      </c>
    </row>
    <row r="15" spans="1:16" s="16" customFormat="1" ht="18.899999999999999" customHeight="1">
      <c r="A15" s="184" t="s">
        <v>58</v>
      </c>
      <c r="B15" s="187" t="s">
        <v>176</v>
      </c>
      <c r="C15" s="103" t="s">
        <v>54</v>
      </c>
      <c r="D15" s="104">
        <v>0.3</v>
      </c>
      <c r="E15" s="105">
        <v>0.85</v>
      </c>
      <c r="F15" s="106"/>
      <c r="G15" s="107">
        <v>2.0625</v>
      </c>
      <c r="H15" s="106">
        <v>453.33</v>
      </c>
      <c r="I15" s="107">
        <f t="shared" ref="I15:I20" si="2">SUM(G15*H15)</f>
        <v>934.99312499999996</v>
      </c>
      <c r="J15" s="107">
        <v>91</v>
      </c>
      <c r="K15" s="107">
        <f t="shared" si="1"/>
        <v>187.6875</v>
      </c>
      <c r="L15" s="108">
        <f t="shared" si="0"/>
        <v>1122.680625</v>
      </c>
      <c r="M15" s="109"/>
      <c r="O15" s="16">
        <v>1</v>
      </c>
      <c r="P15" s="499">
        <v>0.5</v>
      </c>
    </row>
    <row r="16" spans="1:16" s="16" customFormat="1" ht="18.899999999999999" customHeight="1">
      <c r="A16" s="184" t="s">
        <v>59</v>
      </c>
      <c r="B16" s="187" t="s">
        <v>60</v>
      </c>
      <c r="C16" s="103" t="s">
        <v>54</v>
      </c>
      <c r="D16" s="104">
        <v>0.1</v>
      </c>
      <c r="E16" s="105">
        <v>0.85</v>
      </c>
      <c r="F16" s="106"/>
      <c r="G16" s="107">
        <v>1.6500000000000001</v>
      </c>
      <c r="H16" s="106">
        <v>2034</v>
      </c>
      <c r="I16" s="107">
        <f t="shared" si="2"/>
        <v>3356.1000000000004</v>
      </c>
      <c r="J16" s="107">
        <v>398</v>
      </c>
      <c r="K16" s="107">
        <f t="shared" si="1"/>
        <v>656.7</v>
      </c>
      <c r="L16" s="108">
        <f t="shared" si="0"/>
        <v>4012.8</v>
      </c>
      <c r="M16" s="109"/>
      <c r="O16" s="16">
        <v>1</v>
      </c>
      <c r="P16" s="499">
        <v>0.3</v>
      </c>
    </row>
    <row r="17" spans="1:16" s="16" customFormat="1" ht="18.899999999999999" customHeight="1">
      <c r="A17" s="184" t="s">
        <v>61</v>
      </c>
      <c r="B17" s="187" t="s">
        <v>86</v>
      </c>
      <c r="C17" s="103" t="s">
        <v>54</v>
      </c>
      <c r="D17" s="104">
        <v>0.05</v>
      </c>
      <c r="E17" s="105">
        <v>29</v>
      </c>
      <c r="F17" s="106"/>
      <c r="G17" s="107">
        <v>9.9</v>
      </c>
      <c r="H17" s="106">
        <v>2259</v>
      </c>
      <c r="I17" s="107">
        <f t="shared" si="2"/>
        <v>22364.100000000002</v>
      </c>
      <c r="J17" s="107">
        <v>391</v>
      </c>
      <c r="K17" s="107">
        <f t="shared" si="1"/>
        <v>3870.9</v>
      </c>
      <c r="L17" s="108">
        <f t="shared" si="0"/>
        <v>26235.000000000004</v>
      </c>
      <c r="M17" s="109"/>
      <c r="O17" s="16">
        <v>1</v>
      </c>
      <c r="P17" s="499">
        <v>2.5</v>
      </c>
    </row>
    <row r="18" spans="1:16" s="16" customFormat="1" ht="18.899999999999999" customHeight="1">
      <c r="A18" s="184" t="s">
        <v>62</v>
      </c>
      <c r="B18" s="187" t="s">
        <v>182</v>
      </c>
      <c r="C18" s="103" t="s">
        <v>63</v>
      </c>
      <c r="D18" s="104">
        <v>0</v>
      </c>
      <c r="E18" s="105">
        <v>423</v>
      </c>
      <c r="F18" s="106"/>
      <c r="G18" s="107">
        <v>23.76</v>
      </c>
      <c r="H18" s="106">
        <v>400</v>
      </c>
      <c r="I18" s="107">
        <f t="shared" si="2"/>
        <v>9504</v>
      </c>
      <c r="J18" s="107">
        <v>105</v>
      </c>
      <c r="K18" s="107">
        <f t="shared" si="1"/>
        <v>2494.8000000000002</v>
      </c>
      <c r="L18" s="108">
        <f t="shared" si="0"/>
        <v>11998.8</v>
      </c>
      <c r="M18" s="109"/>
      <c r="O18" s="16">
        <v>1</v>
      </c>
      <c r="P18" s="499">
        <v>19.899999999999999</v>
      </c>
    </row>
    <row r="19" spans="1:16" s="16" customFormat="1" ht="18.899999999999999" customHeight="1">
      <c r="A19" s="184" t="s">
        <v>64</v>
      </c>
      <c r="B19" s="510" t="s">
        <v>466</v>
      </c>
      <c r="C19" s="103" t="s">
        <v>63</v>
      </c>
      <c r="D19" s="219"/>
      <c r="E19" s="220"/>
      <c r="F19" s="221"/>
      <c r="G19" s="222">
        <v>39.6</v>
      </c>
      <c r="H19" s="221">
        <v>0</v>
      </c>
      <c r="I19" s="222">
        <f t="shared" si="2"/>
        <v>0</v>
      </c>
      <c r="J19" s="107">
        <v>105</v>
      </c>
      <c r="K19" s="107">
        <f>SUM(G19*J19)</f>
        <v>4158</v>
      </c>
      <c r="L19" s="108">
        <f>SUM(I19+K19)</f>
        <v>4158</v>
      </c>
      <c r="M19" s="109"/>
      <c r="P19" s="499"/>
    </row>
    <row r="20" spans="1:16" s="16" customFormat="1" ht="18.899999999999999" customHeight="1">
      <c r="A20" s="184" t="s">
        <v>69</v>
      </c>
      <c r="B20" s="187" t="s">
        <v>467</v>
      </c>
      <c r="C20" s="103" t="s">
        <v>63</v>
      </c>
      <c r="D20" s="104">
        <v>0</v>
      </c>
      <c r="E20" s="105">
        <v>423</v>
      </c>
      <c r="F20" s="106"/>
      <c r="G20" s="107">
        <f>G18*0.3</f>
        <v>7.1280000000000001</v>
      </c>
      <c r="H20" s="106">
        <v>400</v>
      </c>
      <c r="I20" s="107">
        <f t="shared" si="2"/>
        <v>2851.2</v>
      </c>
      <c r="J20" s="107">
        <v>0</v>
      </c>
      <c r="K20" s="107">
        <f>SUM(G20*J20)</f>
        <v>0</v>
      </c>
      <c r="L20" s="108">
        <f>SUM(I20+K20)</f>
        <v>2851.2</v>
      </c>
      <c r="M20" s="109"/>
      <c r="P20" s="499"/>
    </row>
    <row r="21" spans="1:16" s="16" customFormat="1" ht="18.899999999999999" customHeight="1">
      <c r="A21" s="184" t="s">
        <v>71</v>
      </c>
      <c r="B21" s="187" t="s">
        <v>65</v>
      </c>
      <c r="C21" s="103"/>
      <c r="D21" s="570"/>
      <c r="E21" s="106"/>
      <c r="F21" s="106"/>
      <c r="G21" s="107"/>
      <c r="H21" s="107"/>
      <c r="I21" s="107"/>
      <c r="J21" s="107"/>
      <c r="K21" s="107"/>
      <c r="L21" s="108"/>
      <c r="M21" s="109"/>
      <c r="O21" s="16">
        <v>1</v>
      </c>
      <c r="P21" s="499"/>
    </row>
    <row r="22" spans="1:16" s="16" customFormat="1" ht="18.899999999999999" customHeight="1">
      <c r="A22" s="188"/>
      <c r="B22" s="187" t="s">
        <v>153</v>
      </c>
      <c r="C22" s="103" t="s">
        <v>67</v>
      </c>
      <c r="D22" s="104">
        <v>0.11</v>
      </c>
      <c r="E22" s="105">
        <v>1174</v>
      </c>
      <c r="F22" s="106"/>
      <c r="G22" s="107">
        <v>958.24080000000015</v>
      </c>
      <c r="H22" s="106">
        <v>17.100000000000001</v>
      </c>
      <c r="I22" s="107">
        <f>SUM(G22*H22)</f>
        <v>16385.917680000002</v>
      </c>
      <c r="J22" s="107">
        <v>3.3</v>
      </c>
      <c r="K22" s="107">
        <f>SUM(G22*J22)</f>
        <v>3162.1946400000002</v>
      </c>
      <c r="L22" s="108">
        <f>SUM(I22+K22)</f>
        <v>19548.112320000004</v>
      </c>
      <c r="M22" s="109"/>
      <c r="O22" s="16">
        <v>1</v>
      </c>
      <c r="P22" s="499">
        <v>311</v>
      </c>
    </row>
    <row r="23" spans="1:16" s="16" customFormat="1" ht="18.899999999999999" customHeight="1">
      <c r="A23" s="184" t="s">
        <v>195</v>
      </c>
      <c r="B23" s="187" t="s">
        <v>70</v>
      </c>
      <c r="C23" s="103" t="s">
        <v>67</v>
      </c>
      <c r="D23" s="104">
        <v>0</v>
      </c>
      <c r="E23" s="106">
        <v>211</v>
      </c>
      <c r="F23" s="106"/>
      <c r="G23" s="107">
        <v>28.747224000000003</v>
      </c>
      <c r="H23" s="106">
        <v>21.11</v>
      </c>
      <c r="I23" s="107">
        <f>SUM(G23*H23)</f>
        <v>606.85389864000001</v>
      </c>
      <c r="J23" s="107">
        <v>0</v>
      </c>
      <c r="K23" s="107">
        <f>SUM(G23*J23)</f>
        <v>0</v>
      </c>
      <c r="L23" s="108">
        <f>SUM(I23+K23)</f>
        <v>606.85389864000001</v>
      </c>
      <c r="M23" s="109"/>
      <c r="O23" s="16">
        <v>1</v>
      </c>
      <c r="P23" s="499">
        <v>15</v>
      </c>
    </row>
    <row r="24" spans="1:16" s="16" customFormat="1" ht="18.899999999999999" customHeight="1">
      <c r="A24" s="184" t="s">
        <v>239</v>
      </c>
      <c r="B24" s="186" t="s">
        <v>72</v>
      </c>
      <c r="C24" s="103" t="s">
        <v>67</v>
      </c>
      <c r="D24" s="104">
        <v>0</v>
      </c>
      <c r="E24" s="106">
        <v>127</v>
      </c>
      <c r="F24" s="106"/>
      <c r="G24" s="107">
        <v>9.9</v>
      </c>
      <c r="H24" s="106">
        <v>23.7</v>
      </c>
      <c r="I24" s="107">
        <f>SUM(G24*H24)</f>
        <v>234.63</v>
      </c>
      <c r="J24" s="107">
        <v>0</v>
      </c>
      <c r="K24" s="107">
        <f>SUM(G24*J24)</f>
        <v>0</v>
      </c>
      <c r="L24" s="108">
        <f>SUM(I24+K24)</f>
        <v>234.63</v>
      </c>
      <c r="M24" s="109"/>
      <c r="O24" s="16">
        <v>1</v>
      </c>
      <c r="P24" s="499">
        <v>10</v>
      </c>
    </row>
    <row r="25" spans="1:16" s="16" customFormat="1" ht="18.899999999999999" customHeight="1" thickBot="1">
      <c r="A25" s="189"/>
      <c r="B25" s="190"/>
      <c r="C25" s="111"/>
      <c r="D25" s="112"/>
      <c r="E25" s="113"/>
      <c r="F25" s="114"/>
      <c r="G25" s="115"/>
      <c r="H25" s="115"/>
      <c r="I25" s="115"/>
      <c r="J25" s="115"/>
      <c r="K25" s="115"/>
      <c r="L25" s="116"/>
      <c r="M25" s="117" t="s">
        <v>33</v>
      </c>
      <c r="O25" s="16">
        <v>1</v>
      </c>
      <c r="P25" s="499"/>
    </row>
    <row r="26" spans="1:16" s="1" customFormat="1" ht="20.100000000000001" customHeight="1" thickTop="1">
      <c r="A26" s="141"/>
      <c r="B26" s="65"/>
      <c r="C26" s="65"/>
      <c r="D26" s="66"/>
      <c r="E26" s="142"/>
      <c r="F26" s="67"/>
      <c r="G26" s="68"/>
      <c r="H26" s="68"/>
      <c r="I26" s="68"/>
      <c r="J26" s="68"/>
      <c r="K26" s="68"/>
      <c r="L26" s="68"/>
      <c r="M26" s="70"/>
      <c r="O26" s="16">
        <v>1</v>
      </c>
      <c r="P26" s="501"/>
    </row>
    <row r="27" spans="1:16" s="1" customFormat="1" ht="20.100000000000001" customHeight="1">
      <c r="A27" s="78" t="s">
        <v>11</v>
      </c>
      <c r="B27" s="79" t="s">
        <v>468</v>
      </c>
      <c r="C27" s="80"/>
      <c r="D27" s="81"/>
      <c r="E27" s="156"/>
      <c r="F27" s="82"/>
      <c r="G27" s="83"/>
      <c r="H27" s="83"/>
      <c r="I27" s="83"/>
      <c r="J27" s="83"/>
      <c r="K27" s="83"/>
      <c r="L27" s="84"/>
      <c r="M27" s="126"/>
      <c r="O27" s="16">
        <v>1</v>
      </c>
      <c r="P27" s="501"/>
    </row>
    <row r="28" spans="1:16" s="16" customFormat="1" ht="18.899999999999999" customHeight="1">
      <c r="A28" s="184" t="s">
        <v>73</v>
      </c>
      <c r="B28" s="187" t="s">
        <v>198</v>
      </c>
      <c r="C28" s="103" t="s">
        <v>54</v>
      </c>
      <c r="D28" s="104">
        <v>0</v>
      </c>
      <c r="E28" s="105">
        <v>0</v>
      </c>
      <c r="F28" s="106"/>
      <c r="G28" s="107">
        <v>29.520400000000002</v>
      </c>
      <c r="H28" s="106">
        <v>0</v>
      </c>
      <c r="I28" s="107">
        <f t="shared" ref="I28:I35" si="3">SUM(G28*H28)</f>
        <v>0</v>
      </c>
      <c r="J28" s="107">
        <v>125</v>
      </c>
      <c r="K28" s="107">
        <f t="shared" ref="K28:K33" si="4">SUM(G28*J28)</f>
        <v>3690.05</v>
      </c>
      <c r="L28" s="108">
        <f t="shared" ref="L28:L33" si="5">SUM(I28+K28)</f>
        <v>3690.05</v>
      </c>
      <c r="M28" s="109" t="s">
        <v>33</v>
      </c>
      <c r="O28" s="16">
        <v>1</v>
      </c>
      <c r="P28" s="499">
        <v>10</v>
      </c>
    </row>
    <row r="29" spans="1:16" s="16" customFormat="1" ht="18.899999999999999" customHeight="1">
      <c r="A29" s="184" t="s">
        <v>74</v>
      </c>
      <c r="B29" s="187" t="s">
        <v>76</v>
      </c>
      <c r="C29" s="103" t="s">
        <v>54</v>
      </c>
      <c r="D29" s="104">
        <v>0.3</v>
      </c>
      <c r="E29" s="105">
        <v>21.7</v>
      </c>
      <c r="F29" s="106"/>
      <c r="G29" s="107">
        <v>3.2755000000000001</v>
      </c>
      <c r="H29" s="106">
        <v>453.33</v>
      </c>
      <c r="I29" s="107">
        <f t="shared" si="3"/>
        <v>1484.882415</v>
      </c>
      <c r="J29" s="107">
        <v>91</v>
      </c>
      <c r="K29" s="107">
        <f t="shared" si="4"/>
        <v>298.07049999999998</v>
      </c>
      <c r="L29" s="108">
        <f t="shared" si="5"/>
        <v>1782.9529150000001</v>
      </c>
      <c r="M29" s="109"/>
      <c r="O29" s="16">
        <v>1</v>
      </c>
      <c r="P29" s="499">
        <v>13</v>
      </c>
    </row>
    <row r="30" spans="1:16" s="16" customFormat="1" ht="18.899999999999999" customHeight="1">
      <c r="A30" s="184" t="s">
        <v>75</v>
      </c>
      <c r="B30" s="186" t="s">
        <v>456</v>
      </c>
      <c r="C30" s="103" t="s">
        <v>63</v>
      </c>
      <c r="D30" s="104">
        <v>0.15</v>
      </c>
      <c r="E30" s="105">
        <v>217</v>
      </c>
      <c r="F30" s="106"/>
      <c r="G30" s="107">
        <v>2.6204000000000001</v>
      </c>
      <c r="H30" s="106">
        <v>2034</v>
      </c>
      <c r="I30" s="107">
        <f t="shared" si="3"/>
        <v>5329.8936000000003</v>
      </c>
      <c r="J30" s="107">
        <v>398</v>
      </c>
      <c r="K30" s="107">
        <f t="shared" si="4"/>
        <v>1042.9192</v>
      </c>
      <c r="L30" s="108">
        <f t="shared" si="5"/>
        <v>6372.8128000000006</v>
      </c>
      <c r="M30" s="109"/>
      <c r="O30" s="16">
        <v>1</v>
      </c>
      <c r="P30" s="499">
        <v>40</v>
      </c>
    </row>
    <row r="31" spans="1:16" s="16" customFormat="1" ht="18.899999999999999" customHeight="1">
      <c r="A31" s="184" t="s">
        <v>77</v>
      </c>
      <c r="B31" s="187" t="s">
        <v>86</v>
      </c>
      <c r="C31" s="103" t="s">
        <v>54</v>
      </c>
      <c r="D31" s="104">
        <v>0.05</v>
      </c>
      <c r="E31" s="105">
        <v>46</v>
      </c>
      <c r="F31" s="106"/>
      <c r="G31" s="107">
        <v>89.656000000000006</v>
      </c>
      <c r="H31" s="106">
        <v>2259</v>
      </c>
      <c r="I31" s="107">
        <f t="shared" si="3"/>
        <v>202532.90400000001</v>
      </c>
      <c r="J31" s="107">
        <v>391</v>
      </c>
      <c r="K31" s="107">
        <f t="shared" si="4"/>
        <v>35055.495999999999</v>
      </c>
      <c r="L31" s="108">
        <f t="shared" si="5"/>
        <v>237588.40000000002</v>
      </c>
      <c r="M31" s="109"/>
      <c r="O31" s="16">
        <v>1</v>
      </c>
      <c r="P31" s="499">
        <v>20</v>
      </c>
    </row>
    <row r="32" spans="1:16" s="16" customFormat="1" ht="18.899999999999999" customHeight="1">
      <c r="A32" s="184" t="s">
        <v>78</v>
      </c>
      <c r="B32" s="187" t="s">
        <v>469</v>
      </c>
      <c r="C32" s="103" t="s">
        <v>54</v>
      </c>
      <c r="D32" s="104"/>
      <c r="E32" s="105"/>
      <c r="F32" s="106"/>
      <c r="G32" s="107">
        <v>30.820000000000004</v>
      </c>
      <c r="H32" s="106">
        <v>2417</v>
      </c>
      <c r="I32" s="107">
        <f t="shared" si="3"/>
        <v>74491.94</v>
      </c>
      <c r="J32" s="107">
        <v>391</v>
      </c>
      <c r="K32" s="107">
        <f t="shared" si="4"/>
        <v>12050.62</v>
      </c>
      <c r="L32" s="108">
        <f t="shared" si="5"/>
        <v>86542.56</v>
      </c>
      <c r="M32" s="109"/>
      <c r="P32" s="499"/>
    </row>
    <row r="33" spans="1:16" s="16" customFormat="1" ht="18.899999999999999" customHeight="1">
      <c r="A33" s="184" t="s">
        <v>79</v>
      </c>
      <c r="B33" s="187" t="s">
        <v>182</v>
      </c>
      <c r="C33" s="103" t="s">
        <v>63</v>
      </c>
      <c r="D33" s="104">
        <v>0</v>
      </c>
      <c r="E33" s="105">
        <v>197</v>
      </c>
      <c r="F33" s="106"/>
      <c r="G33" s="107">
        <v>899.02800000000002</v>
      </c>
      <c r="H33" s="106">
        <v>400</v>
      </c>
      <c r="I33" s="107">
        <f t="shared" si="3"/>
        <v>359611.2</v>
      </c>
      <c r="J33" s="107">
        <v>0</v>
      </c>
      <c r="K33" s="107">
        <f t="shared" si="4"/>
        <v>0</v>
      </c>
      <c r="L33" s="108">
        <f t="shared" si="5"/>
        <v>359611.2</v>
      </c>
      <c r="M33" s="109"/>
      <c r="O33" s="16">
        <v>1</v>
      </c>
      <c r="P33" s="499">
        <v>138.5</v>
      </c>
    </row>
    <row r="34" spans="1:16" s="16" customFormat="1" ht="18.899999999999999" customHeight="1">
      <c r="A34" s="184" t="s">
        <v>80</v>
      </c>
      <c r="B34" s="510" t="s">
        <v>466</v>
      </c>
      <c r="C34" s="103" t="s">
        <v>63</v>
      </c>
      <c r="D34" s="219"/>
      <c r="E34" s="220"/>
      <c r="F34" s="221"/>
      <c r="G34" s="222">
        <v>1498.38</v>
      </c>
      <c r="H34" s="221">
        <v>0</v>
      </c>
      <c r="I34" s="222">
        <f t="shared" si="3"/>
        <v>0</v>
      </c>
      <c r="J34" s="107">
        <v>105</v>
      </c>
      <c r="K34" s="107">
        <f>SUM(G34*J34)</f>
        <v>157329.90000000002</v>
      </c>
      <c r="L34" s="108">
        <f>SUM(I34+K34)</f>
        <v>157329.90000000002</v>
      </c>
      <c r="M34" s="223"/>
      <c r="P34" s="499"/>
    </row>
    <row r="35" spans="1:16" s="16" customFormat="1" ht="18.899999999999999" customHeight="1">
      <c r="A35" s="230" t="s">
        <v>81</v>
      </c>
      <c r="B35" s="187" t="s">
        <v>467</v>
      </c>
      <c r="C35" s="103" t="s">
        <v>63</v>
      </c>
      <c r="D35" s="104">
        <v>0</v>
      </c>
      <c r="E35" s="105">
        <v>423</v>
      </c>
      <c r="F35" s="106"/>
      <c r="G35" s="107">
        <f>G33*0.3</f>
        <v>269.70839999999998</v>
      </c>
      <c r="H35" s="106">
        <v>400</v>
      </c>
      <c r="I35" s="107">
        <f t="shared" si="3"/>
        <v>107883.35999999999</v>
      </c>
      <c r="J35" s="107">
        <v>0</v>
      </c>
      <c r="K35" s="107">
        <f>SUM(G35*J35)</f>
        <v>0</v>
      </c>
      <c r="L35" s="108">
        <f>SUM(I35+K35)</f>
        <v>107883.35999999999</v>
      </c>
      <c r="M35" s="223"/>
      <c r="P35" s="499"/>
    </row>
    <row r="36" spans="1:16" s="16" customFormat="1" ht="18.899999999999999" customHeight="1">
      <c r="A36" s="230" t="s">
        <v>82</v>
      </c>
      <c r="B36" s="193" t="s">
        <v>65</v>
      </c>
      <c r="C36" s="194"/>
      <c r="D36" s="571"/>
      <c r="E36" s="124"/>
      <c r="F36" s="124"/>
      <c r="G36" s="125"/>
      <c r="H36" s="125"/>
      <c r="I36" s="125"/>
      <c r="J36" s="125"/>
      <c r="K36" s="125"/>
      <c r="L36" s="572"/>
      <c r="M36" s="195"/>
      <c r="O36" s="16">
        <v>1</v>
      </c>
      <c r="P36" s="499"/>
    </row>
    <row r="37" spans="1:16" s="16" customFormat="1" ht="18.899999999999999" customHeight="1">
      <c r="A37" s="196"/>
      <c r="B37" s="197" t="s">
        <v>66</v>
      </c>
      <c r="C37" s="198" t="s">
        <v>67</v>
      </c>
      <c r="D37" s="199">
        <v>0.09</v>
      </c>
      <c r="E37" s="200">
        <v>473</v>
      </c>
      <c r="F37" s="201"/>
      <c r="G37" s="107">
        <v>822.12505199999998</v>
      </c>
      <c r="H37" s="201">
        <v>18.37</v>
      </c>
      <c r="I37" s="202">
        <f>SUM(G37*H37)</f>
        <v>15102.437205240001</v>
      </c>
      <c r="J37" s="202">
        <v>4.0999999999999996</v>
      </c>
      <c r="K37" s="202">
        <f>SUM(G37*J37)</f>
        <v>3370.7127131999996</v>
      </c>
      <c r="L37" s="573">
        <f>SUM(I37+K37)</f>
        <v>18473.149918440002</v>
      </c>
      <c r="M37" s="203"/>
      <c r="O37" s="16">
        <v>1</v>
      </c>
      <c r="P37" s="499">
        <v>20</v>
      </c>
    </row>
    <row r="38" spans="1:16" s="16" customFormat="1" ht="18.899999999999999" customHeight="1">
      <c r="A38" s="188"/>
      <c r="B38" s="187" t="s">
        <v>68</v>
      </c>
      <c r="C38" s="103" t="s">
        <v>67</v>
      </c>
      <c r="D38" s="104">
        <v>0.1</v>
      </c>
      <c r="E38" s="105">
        <v>199</v>
      </c>
      <c r="F38" s="106"/>
      <c r="G38" s="107">
        <v>6318.7839064</v>
      </c>
      <c r="H38" s="106">
        <v>17.54</v>
      </c>
      <c r="I38" s="107">
        <f>SUM(G38*H38)</f>
        <v>110831.46971825599</v>
      </c>
      <c r="J38" s="107">
        <v>4.0999999999999996</v>
      </c>
      <c r="K38" s="107">
        <f>SUM(G38*J38)</f>
        <v>25907.014016239998</v>
      </c>
      <c r="L38" s="108">
        <f>SUM(I38+K38)</f>
        <v>136738.483734496</v>
      </c>
      <c r="M38" s="109"/>
      <c r="O38" s="16">
        <v>1</v>
      </c>
      <c r="P38" s="499">
        <v>1098</v>
      </c>
    </row>
    <row r="39" spans="1:16" s="16" customFormat="1" ht="18.899999999999999" customHeight="1">
      <c r="A39" s="188"/>
      <c r="B39" s="187" t="s">
        <v>153</v>
      </c>
      <c r="C39" s="103" t="s">
        <v>67</v>
      </c>
      <c r="D39" s="104">
        <v>0.11</v>
      </c>
      <c r="E39" s="105">
        <v>257</v>
      </c>
      <c r="F39" s="106"/>
      <c r="G39" s="107">
        <v>10652.375805600002</v>
      </c>
      <c r="H39" s="106">
        <v>17.100000000000001</v>
      </c>
      <c r="I39" s="107">
        <f>SUM(G39*H39)</f>
        <v>182155.62627576006</v>
      </c>
      <c r="J39" s="107">
        <v>3.3</v>
      </c>
      <c r="K39" s="107">
        <f>SUM(G39*J39)</f>
        <v>35152.840158480009</v>
      </c>
      <c r="L39" s="108">
        <f>SUM(I39+K39)</f>
        <v>217308.46643424008</v>
      </c>
      <c r="M39" s="109"/>
      <c r="O39" s="16">
        <v>1</v>
      </c>
      <c r="P39" s="499">
        <v>586</v>
      </c>
    </row>
    <row r="40" spans="1:16" s="16" customFormat="1" ht="18.899999999999999" customHeight="1">
      <c r="A40" s="184" t="s">
        <v>83</v>
      </c>
      <c r="B40" s="187" t="s">
        <v>70</v>
      </c>
      <c r="C40" s="103" t="s">
        <v>67</v>
      </c>
      <c r="D40" s="104">
        <v>0</v>
      </c>
      <c r="E40" s="106">
        <v>89</v>
      </c>
      <c r="F40" s="106"/>
      <c r="G40" s="107">
        <v>533.79854292000005</v>
      </c>
      <c r="H40" s="106">
        <v>21.11</v>
      </c>
      <c r="I40" s="107">
        <f>SUM(G40*H40)</f>
        <v>11268.487241041201</v>
      </c>
      <c r="J40" s="107">
        <v>0</v>
      </c>
      <c r="K40" s="107">
        <f>SUM(G40*J40)</f>
        <v>0</v>
      </c>
      <c r="L40" s="108">
        <f>SUM(I40+K40)</f>
        <v>11268.487241041201</v>
      </c>
      <c r="M40" s="109"/>
      <c r="O40" s="16">
        <v>1</v>
      </c>
      <c r="P40" s="499">
        <v>60</v>
      </c>
    </row>
    <row r="41" spans="1:16" s="16" customFormat="1" ht="18.899999999999999" customHeight="1">
      <c r="A41" s="184" t="s">
        <v>470</v>
      </c>
      <c r="B41" s="186" t="s">
        <v>72</v>
      </c>
      <c r="C41" s="103" t="s">
        <v>67</v>
      </c>
      <c r="D41" s="104">
        <v>0</v>
      </c>
      <c r="E41" s="106">
        <v>59</v>
      </c>
      <c r="F41" s="106"/>
      <c r="G41" s="107">
        <v>374.59500000000003</v>
      </c>
      <c r="H41" s="106">
        <v>23.7</v>
      </c>
      <c r="I41" s="107">
        <f>SUM(G41*H41)</f>
        <v>8877.9014999999999</v>
      </c>
      <c r="J41" s="107">
        <v>0</v>
      </c>
      <c r="K41" s="107">
        <f>SUM(G41*J41)</f>
        <v>0</v>
      </c>
      <c r="L41" s="108">
        <f>SUM(I41+K41)</f>
        <v>8877.9014999999999</v>
      </c>
      <c r="M41" s="109"/>
      <c r="O41" s="16">
        <v>1</v>
      </c>
      <c r="P41" s="499">
        <v>55</v>
      </c>
    </row>
    <row r="42" spans="1:16" s="16" customFormat="1" ht="18.899999999999999" customHeight="1">
      <c r="A42" s="184" t="s">
        <v>471</v>
      </c>
      <c r="B42" s="185" t="s">
        <v>150</v>
      </c>
      <c r="C42" s="103"/>
      <c r="D42" s="104"/>
      <c r="E42" s="105"/>
      <c r="F42" s="106"/>
      <c r="G42" s="107"/>
      <c r="H42" s="107"/>
      <c r="I42" s="107"/>
      <c r="J42" s="107"/>
      <c r="K42" s="107"/>
      <c r="L42" s="108"/>
      <c r="M42" s="109"/>
      <c r="O42" s="16">
        <v>1</v>
      </c>
      <c r="P42" s="499"/>
    </row>
    <row r="43" spans="1:16" s="16" customFormat="1" ht="35.1" customHeight="1">
      <c r="A43" s="188"/>
      <c r="B43" s="191" t="s">
        <v>178</v>
      </c>
      <c r="C43" s="103" t="s">
        <v>63</v>
      </c>
      <c r="D43" s="104">
        <v>0</v>
      </c>
      <c r="E43" s="105">
        <v>108</v>
      </c>
      <c r="F43" s="106"/>
      <c r="G43" s="107">
        <v>514.79999999999995</v>
      </c>
      <c r="H43" s="106">
        <v>220</v>
      </c>
      <c r="I43" s="107">
        <f>SUM(G43*H43)</f>
        <v>113255.99999999999</v>
      </c>
      <c r="J43" s="107">
        <v>60</v>
      </c>
      <c r="K43" s="107">
        <f>SUM(G43*J43)</f>
        <v>30887.999999999996</v>
      </c>
      <c r="L43" s="108">
        <f>SUM(I43+K43)</f>
        <v>144143.99999999997</v>
      </c>
      <c r="M43" s="109"/>
      <c r="O43" s="16">
        <v>1</v>
      </c>
      <c r="P43" s="499">
        <v>40</v>
      </c>
    </row>
    <row r="44" spans="1:16" s="16" customFormat="1" ht="18.899999999999999" customHeight="1">
      <c r="A44" s="188"/>
      <c r="B44" s="192" t="s">
        <v>152</v>
      </c>
      <c r="C44" s="103" t="s">
        <v>54</v>
      </c>
      <c r="D44" s="104">
        <v>0.05</v>
      </c>
      <c r="E44" s="105">
        <f>+E43*0.05</f>
        <v>5.4</v>
      </c>
      <c r="F44" s="106"/>
      <c r="G44" s="107">
        <v>25.74</v>
      </c>
      <c r="H44" s="106">
        <v>2259</v>
      </c>
      <c r="I44" s="107">
        <f>SUM(G44*H44)</f>
        <v>58146.659999999996</v>
      </c>
      <c r="J44" s="107">
        <v>391</v>
      </c>
      <c r="K44" s="107">
        <f>SUM(G44*J44)</f>
        <v>10064.34</v>
      </c>
      <c r="L44" s="108">
        <f>SUM(I44+K44)</f>
        <v>68211</v>
      </c>
      <c r="M44" s="109"/>
      <c r="O44" s="16">
        <v>1</v>
      </c>
      <c r="P44" s="499">
        <v>2</v>
      </c>
    </row>
    <row r="45" spans="1:16" s="16" customFormat="1" ht="18.899999999999999" customHeight="1">
      <c r="A45" s="188"/>
      <c r="B45" s="187" t="s">
        <v>472</v>
      </c>
      <c r="C45" s="103" t="s">
        <v>67</v>
      </c>
      <c r="D45" s="104">
        <v>0.09</v>
      </c>
      <c r="E45" s="105">
        <v>473</v>
      </c>
      <c r="F45" s="106"/>
      <c r="G45" s="107">
        <v>1439.9985600000002</v>
      </c>
      <c r="H45" s="106">
        <v>18.37</v>
      </c>
      <c r="I45" s="107">
        <f>SUM(G45*H45)</f>
        <v>26452.773547200006</v>
      </c>
      <c r="J45" s="107">
        <v>4.0999999999999996</v>
      </c>
      <c r="K45" s="107">
        <f>SUM(G45*J45)</f>
        <v>5903.9940960000004</v>
      </c>
      <c r="L45" s="108">
        <f>SUM(I45+K45)</f>
        <v>32356.767643200008</v>
      </c>
      <c r="M45" s="109"/>
      <c r="O45" s="16">
        <v>1</v>
      </c>
      <c r="P45" s="499">
        <v>105</v>
      </c>
    </row>
    <row r="46" spans="1:16" s="16" customFormat="1" ht="18.899999999999999" customHeight="1">
      <c r="A46" s="188"/>
      <c r="B46" s="191" t="s">
        <v>181</v>
      </c>
      <c r="C46" s="103" t="s">
        <v>67</v>
      </c>
      <c r="D46" s="104">
        <v>0.09</v>
      </c>
      <c r="E46" s="105">
        <v>0</v>
      </c>
      <c r="F46" s="106"/>
      <c r="G46" s="107">
        <v>109.94686560000001</v>
      </c>
      <c r="H46" s="106">
        <v>17.54</v>
      </c>
      <c r="I46" s="107">
        <f>SUM(G46*H46)</f>
        <v>1928.468022624</v>
      </c>
      <c r="J46" s="107">
        <v>4.0999999999999996</v>
      </c>
      <c r="K46" s="107">
        <f>SUM(G46*J46)</f>
        <v>450.78214895999997</v>
      </c>
      <c r="L46" s="108">
        <f>SUM(I46+K46)</f>
        <v>2379.2501715839999</v>
      </c>
      <c r="M46" s="109"/>
      <c r="O46" s="16">
        <v>1</v>
      </c>
      <c r="P46" s="499">
        <v>10</v>
      </c>
    </row>
    <row r="47" spans="1:16" s="16" customFormat="1" ht="18.899999999999999" customHeight="1">
      <c r="A47" s="184" t="s">
        <v>473</v>
      </c>
      <c r="B47" s="186" t="s">
        <v>84</v>
      </c>
      <c r="C47" s="103" t="s">
        <v>63</v>
      </c>
      <c r="D47" s="104">
        <v>0</v>
      </c>
      <c r="E47" s="105">
        <v>310</v>
      </c>
      <c r="F47" s="106"/>
      <c r="G47" s="107">
        <v>345</v>
      </c>
      <c r="H47" s="106">
        <v>120</v>
      </c>
      <c r="I47" s="107">
        <f>SUM(G47*H47)</f>
        <v>41400</v>
      </c>
      <c r="J47" s="107">
        <v>0</v>
      </c>
      <c r="K47" s="107">
        <f>SUM(G47*J47)</f>
        <v>0</v>
      </c>
      <c r="L47" s="108">
        <f>SUM(I47+K47)</f>
        <v>41400</v>
      </c>
      <c r="M47" s="109"/>
      <c r="O47" s="16">
        <v>1</v>
      </c>
      <c r="P47" s="499">
        <v>112</v>
      </c>
    </row>
    <row r="48" spans="1:16" s="16" customFormat="1" ht="18.899999999999999" customHeight="1" thickBot="1">
      <c r="A48" s="189"/>
      <c r="B48" s="110"/>
      <c r="C48" s="111"/>
      <c r="D48" s="112"/>
      <c r="E48" s="113"/>
      <c r="F48" s="114"/>
      <c r="G48" s="115"/>
      <c r="H48" s="115"/>
      <c r="I48" s="115"/>
      <c r="J48" s="115"/>
      <c r="K48" s="115"/>
      <c r="L48" s="116"/>
      <c r="M48" s="117"/>
      <c r="O48" s="16">
        <v>1</v>
      </c>
      <c r="P48" s="499"/>
    </row>
    <row r="49" spans="1:16" s="16" customFormat="1" ht="20.100000000000001" customHeight="1" thickTop="1" thickBot="1">
      <c r="A49" s="189"/>
      <c r="B49" s="110"/>
      <c r="C49" s="111"/>
      <c r="D49" s="112"/>
      <c r="E49" s="113"/>
      <c r="F49" s="114"/>
      <c r="G49" s="115"/>
      <c r="H49" s="115"/>
      <c r="I49" s="115"/>
      <c r="J49" s="115"/>
      <c r="K49" s="115"/>
      <c r="L49" s="116"/>
      <c r="M49" s="117"/>
      <c r="O49" s="16">
        <v>1</v>
      </c>
      <c r="P49" s="499"/>
    </row>
    <row r="50" spans="1:16" s="1" customFormat="1" ht="18.899999999999999" customHeight="1" thickTop="1">
      <c r="A50" s="141" t="s">
        <v>12</v>
      </c>
      <c r="B50" s="159" t="s">
        <v>474</v>
      </c>
      <c r="C50" s="65"/>
      <c r="D50" s="66"/>
      <c r="E50" s="142"/>
      <c r="F50" s="67"/>
      <c r="G50" s="68"/>
      <c r="H50" s="68"/>
      <c r="I50" s="68"/>
      <c r="J50" s="68"/>
      <c r="K50" s="68"/>
      <c r="L50" s="69"/>
      <c r="M50" s="70"/>
      <c r="O50" s="16">
        <v>1</v>
      </c>
      <c r="P50" s="501"/>
    </row>
    <row r="51" spans="1:16" s="16" customFormat="1" ht="18.899999999999999" customHeight="1">
      <c r="A51" s="184" t="s">
        <v>475</v>
      </c>
      <c r="B51" s="204" t="s">
        <v>151</v>
      </c>
      <c r="C51" s="103"/>
      <c r="D51" s="104"/>
      <c r="E51" s="106"/>
      <c r="F51" s="106"/>
      <c r="G51" s="107"/>
      <c r="H51" s="107"/>
      <c r="I51" s="107"/>
      <c r="J51" s="107"/>
      <c r="K51" s="107"/>
      <c r="L51" s="108"/>
      <c r="M51" s="109"/>
      <c r="O51" s="16">
        <v>1</v>
      </c>
      <c r="P51" s="499"/>
    </row>
    <row r="52" spans="1:16" s="16" customFormat="1" ht="18.899999999999999" customHeight="1">
      <c r="A52" s="184"/>
      <c r="B52" s="511" t="s">
        <v>476</v>
      </c>
      <c r="C52" s="103" t="s">
        <v>67</v>
      </c>
      <c r="D52" s="104"/>
      <c r="E52" s="105"/>
      <c r="F52" s="106"/>
      <c r="G52" s="107">
        <v>3646.16</v>
      </c>
      <c r="H52" s="106">
        <v>18.100000000000001</v>
      </c>
      <c r="I52" s="107">
        <f>SUM(G52*H52)</f>
        <v>65995.495999999999</v>
      </c>
      <c r="J52" s="107">
        <v>14</v>
      </c>
      <c r="K52" s="107">
        <f>G52*J52</f>
        <v>51046.239999999998</v>
      </c>
      <c r="L52" s="108">
        <f>SUM(I52+K52)</f>
        <v>117041.736</v>
      </c>
      <c r="M52" s="109"/>
      <c r="P52" s="499"/>
    </row>
    <row r="53" spans="1:16" s="16" customFormat="1" ht="18.899999999999999" customHeight="1">
      <c r="A53" s="184"/>
      <c r="B53" s="187" t="s">
        <v>477</v>
      </c>
      <c r="C53" s="103" t="s">
        <v>67</v>
      </c>
      <c r="D53" s="104">
        <v>7.0000000000000007E-2</v>
      </c>
      <c r="E53" s="105">
        <f>88.55*9.72</f>
        <v>860.70600000000002</v>
      </c>
      <c r="F53" s="106"/>
      <c r="G53" s="107">
        <v>2057.94</v>
      </c>
      <c r="H53" s="106">
        <v>18.100000000000001</v>
      </c>
      <c r="I53" s="107">
        <f>SUM(G53*H53)</f>
        <v>37248.714000000007</v>
      </c>
      <c r="J53" s="107">
        <v>14</v>
      </c>
      <c r="K53" s="107">
        <f>G53*J53</f>
        <v>28811.16</v>
      </c>
      <c r="L53" s="108">
        <f>SUM(I53+K53)</f>
        <v>66059.874000000011</v>
      </c>
      <c r="M53" s="109"/>
      <c r="O53" s="16">
        <v>1</v>
      </c>
      <c r="P53" s="499">
        <v>441.4</v>
      </c>
    </row>
    <row r="54" spans="1:16" s="16" customFormat="1" ht="18.899999999999999" customHeight="1">
      <c r="A54" s="184"/>
      <c r="B54" s="205" t="s">
        <v>478</v>
      </c>
      <c r="C54" s="103" t="s">
        <v>67</v>
      </c>
      <c r="D54" s="104">
        <v>7.0000000000000007E-2</v>
      </c>
      <c r="E54" s="105">
        <v>8</v>
      </c>
      <c r="F54" s="106"/>
      <c r="G54" s="107">
        <v>1500.72</v>
      </c>
      <c r="H54" s="106">
        <v>18.100000000000001</v>
      </c>
      <c r="I54" s="107">
        <f>SUM(G54*H54)</f>
        <v>27163.032000000003</v>
      </c>
      <c r="J54" s="107">
        <v>14</v>
      </c>
      <c r="K54" s="107">
        <f>G54*J54</f>
        <v>21010.080000000002</v>
      </c>
      <c r="L54" s="108">
        <f>SUM(I54+K54)</f>
        <v>48173.112000000008</v>
      </c>
      <c r="M54" s="109"/>
      <c r="O54" s="16">
        <v>1</v>
      </c>
      <c r="P54" s="499">
        <v>105</v>
      </c>
    </row>
    <row r="55" spans="1:16" s="16" customFormat="1" ht="18.899999999999999" customHeight="1">
      <c r="A55" s="217"/>
      <c r="B55" s="205" t="s">
        <v>479</v>
      </c>
      <c r="C55" s="103" t="s">
        <v>63</v>
      </c>
      <c r="D55" s="104">
        <v>7.0000000000000007E-2</v>
      </c>
      <c r="E55" s="105">
        <v>30</v>
      </c>
      <c r="F55" s="106"/>
      <c r="G55" s="107">
        <v>372.26960000000003</v>
      </c>
      <c r="H55" s="106">
        <v>56</v>
      </c>
      <c r="I55" s="107">
        <f>SUM(G55*H55)</f>
        <v>20847.097600000001</v>
      </c>
      <c r="J55" s="107">
        <v>35</v>
      </c>
      <c r="K55" s="107">
        <f>G55*J55</f>
        <v>13029.436000000002</v>
      </c>
      <c r="L55" s="108">
        <f>SUM(I55+K55)</f>
        <v>33876.533600000002</v>
      </c>
      <c r="M55" s="223"/>
      <c r="P55" s="499"/>
    </row>
    <row r="56" spans="1:16" s="16" customFormat="1" ht="18.899999999999999" customHeight="1" thickBot="1">
      <c r="A56" s="189"/>
      <c r="B56" s="110"/>
      <c r="C56" s="111"/>
      <c r="D56" s="112"/>
      <c r="E56" s="113"/>
      <c r="F56" s="114"/>
      <c r="G56" s="115"/>
      <c r="H56" s="115"/>
      <c r="I56" s="115"/>
      <c r="J56" s="115"/>
      <c r="K56" s="115"/>
      <c r="L56" s="116"/>
      <c r="M56" s="117"/>
      <c r="P56" s="499"/>
    </row>
    <row r="57" spans="1:16" s="1" customFormat="1" ht="20.100000000000001" customHeight="1" thickTop="1" thickBot="1">
      <c r="A57" s="31"/>
      <c r="B57" s="32" t="s">
        <v>85</v>
      </c>
      <c r="C57" s="32"/>
      <c r="D57" s="574"/>
      <c r="E57" s="575"/>
      <c r="F57" s="33"/>
      <c r="G57" s="34"/>
      <c r="H57" s="34"/>
      <c r="I57" s="34">
        <f>SUM(I10:I56)/2</f>
        <v>854213.06891438051</v>
      </c>
      <c r="J57" s="34"/>
      <c r="K57" s="34">
        <f>SUM(K10:K56)/2</f>
        <v>253531.46298643999</v>
      </c>
      <c r="L57" s="34">
        <f>SUM(L8:L56)</f>
        <v>2215489.0638016416</v>
      </c>
      <c r="M57" s="35"/>
    </row>
    <row r="58" spans="1:16" s="7" customFormat="1" ht="18" customHeight="1">
      <c r="D58" s="512"/>
      <c r="E58" s="513"/>
      <c r="F58" s="514"/>
      <c r="G58" s="515"/>
      <c r="H58" s="515"/>
      <c r="I58" s="515"/>
      <c r="J58" s="515"/>
      <c r="K58" s="515"/>
      <c r="L58" s="515"/>
    </row>
    <row r="59" spans="1:16" s="7" customFormat="1" ht="20.100000000000001" customHeight="1">
      <c r="B59" s="17"/>
      <c r="C59" s="516"/>
      <c r="D59" s="512"/>
      <c r="E59" s="517"/>
      <c r="F59" s="518"/>
      <c r="G59" s="515"/>
      <c r="H59" s="515"/>
      <c r="I59" s="515"/>
      <c r="J59" s="515"/>
      <c r="K59" s="515"/>
      <c r="L59" s="515"/>
    </row>
    <row r="60" spans="1:16" s="7" customFormat="1" ht="20.100000000000001" customHeight="1">
      <c r="B60" s="17"/>
      <c r="C60" s="519"/>
      <c r="D60" s="512"/>
      <c r="E60" s="513"/>
      <c r="F60" s="513"/>
      <c r="G60" s="515"/>
      <c r="H60" s="515"/>
      <c r="I60" s="515"/>
      <c r="J60" s="515"/>
      <c r="K60" s="515"/>
      <c r="L60" s="515"/>
    </row>
    <row r="61" spans="1:16" s="7" customFormat="1" ht="20.100000000000001" customHeight="1">
      <c r="B61" s="17"/>
      <c r="C61" s="519"/>
      <c r="D61" s="512"/>
      <c r="E61" s="513"/>
      <c r="F61" s="513"/>
      <c r="G61" s="515"/>
      <c r="H61" s="515"/>
      <c r="I61" s="515"/>
      <c r="J61" s="515"/>
      <c r="K61" s="515"/>
      <c r="L61" s="515"/>
    </row>
    <row r="62" spans="1:16" s="7" customFormat="1" ht="20.100000000000001" customHeight="1">
      <c r="B62" s="17"/>
      <c r="C62" s="519"/>
      <c r="D62" s="512"/>
      <c r="E62" s="513"/>
      <c r="F62" s="513"/>
      <c r="G62" s="515"/>
      <c r="H62" s="515"/>
      <c r="I62" s="515"/>
      <c r="J62" s="515"/>
      <c r="K62" s="515"/>
      <c r="L62" s="515"/>
    </row>
    <row r="63" spans="1:16" s="7" customFormat="1" ht="20.100000000000001" customHeight="1">
      <c r="B63" s="17"/>
      <c r="C63" s="519"/>
      <c r="D63" s="520"/>
      <c r="E63" s="513"/>
      <c r="F63" s="513"/>
      <c r="G63" s="515"/>
      <c r="H63" s="515"/>
      <c r="I63" s="515"/>
      <c r="J63" s="515"/>
      <c r="K63" s="515"/>
      <c r="L63" s="515"/>
    </row>
    <row r="64" spans="1:16" s="7" customFormat="1" ht="20.100000000000001" customHeight="1">
      <c r="B64" s="17"/>
      <c r="C64" s="519"/>
      <c r="D64" s="520"/>
      <c r="E64" s="513"/>
      <c r="F64" s="514"/>
      <c r="G64" s="515"/>
      <c r="H64" s="515"/>
      <c r="I64" s="515"/>
      <c r="J64" s="515"/>
      <c r="K64" s="515"/>
      <c r="L64" s="515"/>
    </row>
    <row r="65" spans="2:12" s="7" customFormat="1" ht="20.100000000000001" customHeight="1">
      <c r="B65" s="17"/>
      <c r="C65" s="519"/>
      <c r="D65" s="512"/>
      <c r="E65" s="513"/>
      <c r="F65" s="513"/>
      <c r="G65" s="515"/>
      <c r="H65" s="515"/>
      <c r="I65" s="515"/>
      <c r="J65" s="515"/>
      <c r="K65" s="515"/>
      <c r="L65" s="515"/>
    </row>
    <row r="66" spans="2:12" s="7" customFormat="1" ht="20.100000000000001" customHeight="1">
      <c r="B66" s="17"/>
      <c r="C66" s="519"/>
      <c r="D66" s="512"/>
      <c r="E66" s="513"/>
      <c r="F66" s="513"/>
      <c r="G66" s="515"/>
      <c r="H66" s="515"/>
      <c r="I66" s="515"/>
      <c r="J66" s="515"/>
      <c r="K66" s="515"/>
      <c r="L66" s="515"/>
    </row>
    <row r="67" spans="2:12" s="7" customFormat="1" ht="20.100000000000001" customHeight="1">
      <c r="B67" s="17"/>
      <c r="C67" s="519"/>
      <c r="D67" s="512"/>
      <c r="E67" s="513"/>
      <c r="F67" s="513"/>
      <c r="G67" s="515"/>
      <c r="H67" s="515"/>
      <c r="I67" s="515"/>
      <c r="J67" s="515"/>
      <c r="K67" s="515"/>
      <c r="L67" s="515"/>
    </row>
    <row r="68" spans="2:12" s="7" customFormat="1" ht="20.100000000000001" customHeight="1">
      <c r="B68" s="17"/>
      <c r="C68" s="519"/>
      <c r="D68" s="521"/>
      <c r="E68" s="513"/>
      <c r="F68" s="513"/>
      <c r="G68" s="515"/>
      <c r="H68" s="515"/>
      <c r="I68" s="515"/>
      <c r="J68" s="515"/>
      <c r="K68" s="515"/>
      <c r="L68" s="515"/>
    </row>
    <row r="69" spans="2:12" s="7" customFormat="1" ht="20.100000000000001" customHeight="1">
      <c r="B69" s="17"/>
      <c r="C69" s="18"/>
      <c r="D69" s="512"/>
      <c r="E69" s="513"/>
      <c r="F69" s="514"/>
      <c r="G69" s="515"/>
      <c r="H69" s="515"/>
      <c r="I69" s="515"/>
      <c r="J69" s="515"/>
      <c r="K69" s="515"/>
      <c r="L69" s="515"/>
    </row>
    <row r="370" spans="2:7">
      <c r="B370" s="5">
        <v>676.7</v>
      </c>
      <c r="G370" s="5" t="s">
        <v>179</v>
      </c>
    </row>
    <row r="372" spans="2:7">
      <c r="B372" s="5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U172"/>
  <sheetViews>
    <sheetView view="pageBreakPreview" topLeftCell="A141" zoomScale="80" zoomScaleNormal="75" workbookViewId="0">
      <selection activeCell="T79" sqref="T79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10.109375" style="446" customWidth="1"/>
    <col min="16" max="16" width="11.109375" style="446" customWidth="1"/>
    <col min="17" max="17" width="11.21875" style="441" bestFit="1" customWidth="1"/>
    <col min="18" max="18" width="11.33203125" style="441" customWidth="1"/>
    <col min="19" max="19" width="10.88671875" style="447" customWidth="1"/>
    <col min="20" max="20" width="9.109375" style="447"/>
    <col min="21" max="21" width="11.21875" style="448" bestFit="1" customWidth="1"/>
    <col min="22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5546875" style="5" customWidth="1"/>
    <col min="269" max="269" width="20.88671875" style="5" customWidth="1"/>
    <col min="270" max="270" width="6.6640625" style="5" customWidth="1"/>
    <col min="271" max="271" width="7.44140625" style="5" customWidth="1"/>
    <col min="272" max="272" width="7.5546875" style="5" customWidth="1"/>
    <col min="273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5546875" style="5" customWidth="1"/>
    <col min="525" max="525" width="20.88671875" style="5" customWidth="1"/>
    <col min="526" max="526" width="6.6640625" style="5" customWidth="1"/>
    <col min="527" max="527" width="7.44140625" style="5" customWidth="1"/>
    <col min="528" max="528" width="7.5546875" style="5" customWidth="1"/>
    <col min="529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5546875" style="5" customWidth="1"/>
    <col min="781" max="781" width="20.88671875" style="5" customWidth="1"/>
    <col min="782" max="782" width="6.6640625" style="5" customWidth="1"/>
    <col min="783" max="783" width="7.44140625" style="5" customWidth="1"/>
    <col min="784" max="784" width="7.5546875" style="5" customWidth="1"/>
    <col min="785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5546875" style="5" customWidth="1"/>
    <col min="1037" max="1037" width="20.88671875" style="5" customWidth="1"/>
    <col min="1038" max="1038" width="6.6640625" style="5" customWidth="1"/>
    <col min="1039" max="1039" width="7.44140625" style="5" customWidth="1"/>
    <col min="1040" max="1040" width="7.5546875" style="5" customWidth="1"/>
    <col min="1041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5546875" style="5" customWidth="1"/>
    <col min="1293" max="1293" width="20.88671875" style="5" customWidth="1"/>
    <col min="1294" max="1294" width="6.6640625" style="5" customWidth="1"/>
    <col min="1295" max="1295" width="7.44140625" style="5" customWidth="1"/>
    <col min="1296" max="1296" width="7.5546875" style="5" customWidth="1"/>
    <col min="1297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5546875" style="5" customWidth="1"/>
    <col min="1549" max="1549" width="20.88671875" style="5" customWidth="1"/>
    <col min="1550" max="1550" width="6.6640625" style="5" customWidth="1"/>
    <col min="1551" max="1551" width="7.44140625" style="5" customWidth="1"/>
    <col min="1552" max="1552" width="7.5546875" style="5" customWidth="1"/>
    <col min="1553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5546875" style="5" customWidth="1"/>
    <col min="1805" max="1805" width="20.88671875" style="5" customWidth="1"/>
    <col min="1806" max="1806" width="6.6640625" style="5" customWidth="1"/>
    <col min="1807" max="1807" width="7.44140625" style="5" customWidth="1"/>
    <col min="1808" max="1808" width="7.5546875" style="5" customWidth="1"/>
    <col min="1809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5546875" style="5" customWidth="1"/>
    <col min="2061" max="2061" width="20.88671875" style="5" customWidth="1"/>
    <col min="2062" max="2062" width="6.6640625" style="5" customWidth="1"/>
    <col min="2063" max="2063" width="7.44140625" style="5" customWidth="1"/>
    <col min="2064" max="2064" width="7.5546875" style="5" customWidth="1"/>
    <col min="2065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5546875" style="5" customWidth="1"/>
    <col min="2317" max="2317" width="20.88671875" style="5" customWidth="1"/>
    <col min="2318" max="2318" width="6.6640625" style="5" customWidth="1"/>
    <col min="2319" max="2319" width="7.44140625" style="5" customWidth="1"/>
    <col min="2320" max="2320" width="7.5546875" style="5" customWidth="1"/>
    <col min="2321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5546875" style="5" customWidth="1"/>
    <col min="2573" max="2573" width="20.88671875" style="5" customWidth="1"/>
    <col min="2574" max="2574" width="6.6640625" style="5" customWidth="1"/>
    <col min="2575" max="2575" width="7.44140625" style="5" customWidth="1"/>
    <col min="2576" max="2576" width="7.5546875" style="5" customWidth="1"/>
    <col min="2577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5546875" style="5" customWidth="1"/>
    <col min="2829" max="2829" width="20.88671875" style="5" customWidth="1"/>
    <col min="2830" max="2830" width="6.6640625" style="5" customWidth="1"/>
    <col min="2831" max="2831" width="7.44140625" style="5" customWidth="1"/>
    <col min="2832" max="2832" width="7.5546875" style="5" customWidth="1"/>
    <col min="2833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5546875" style="5" customWidth="1"/>
    <col min="3085" max="3085" width="20.88671875" style="5" customWidth="1"/>
    <col min="3086" max="3086" width="6.6640625" style="5" customWidth="1"/>
    <col min="3087" max="3087" width="7.44140625" style="5" customWidth="1"/>
    <col min="3088" max="3088" width="7.5546875" style="5" customWidth="1"/>
    <col min="3089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5546875" style="5" customWidth="1"/>
    <col min="3341" max="3341" width="20.88671875" style="5" customWidth="1"/>
    <col min="3342" max="3342" width="6.6640625" style="5" customWidth="1"/>
    <col min="3343" max="3343" width="7.44140625" style="5" customWidth="1"/>
    <col min="3344" max="3344" width="7.5546875" style="5" customWidth="1"/>
    <col min="3345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5546875" style="5" customWidth="1"/>
    <col min="3597" max="3597" width="20.88671875" style="5" customWidth="1"/>
    <col min="3598" max="3598" width="6.6640625" style="5" customWidth="1"/>
    <col min="3599" max="3599" width="7.44140625" style="5" customWidth="1"/>
    <col min="3600" max="3600" width="7.5546875" style="5" customWidth="1"/>
    <col min="3601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5546875" style="5" customWidth="1"/>
    <col min="3853" max="3853" width="20.88671875" style="5" customWidth="1"/>
    <col min="3854" max="3854" width="6.6640625" style="5" customWidth="1"/>
    <col min="3855" max="3855" width="7.44140625" style="5" customWidth="1"/>
    <col min="3856" max="3856" width="7.5546875" style="5" customWidth="1"/>
    <col min="3857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5546875" style="5" customWidth="1"/>
    <col min="4109" max="4109" width="20.88671875" style="5" customWidth="1"/>
    <col min="4110" max="4110" width="6.6640625" style="5" customWidth="1"/>
    <col min="4111" max="4111" width="7.44140625" style="5" customWidth="1"/>
    <col min="4112" max="4112" width="7.5546875" style="5" customWidth="1"/>
    <col min="4113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5546875" style="5" customWidth="1"/>
    <col min="4365" max="4365" width="20.88671875" style="5" customWidth="1"/>
    <col min="4366" max="4366" width="6.6640625" style="5" customWidth="1"/>
    <col min="4367" max="4367" width="7.44140625" style="5" customWidth="1"/>
    <col min="4368" max="4368" width="7.5546875" style="5" customWidth="1"/>
    <col min="4369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5546875" style="5" customWidth="1"/>
    <col min="4621" max="4621" width="20.88671875" style="5" customWidth="1"/>
    <col min="4622" max="4622" width="6.6640625" style="5" customWidth="1"/>
    <col min="4623" max="4623" width="7.44140625" style="5" customWidth="1"/>
    <col min="4624" max="4624" width="7.5546875" style="5" customWidth="1"/>
    <col min="4625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5546875" style="5" customWidth="1"/>
    <col min="4877" max="4877" width="20.88671875" style="5" customWidth="1"/>
    <col min="4878" max="4878" width="6.6640625" style="5" customWidth="1"/>
    <col min="4879" max="4879" width="7.44140625" style="5" customWidth="1"/>
    <col min="4880" max="4880" width="7.5546875" style="5" customWidth="1"/>
    <col min="4881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5546875" style="5" customWidth="1"/>
    <col min="5133" max="5133" width="20.88671875" style="5" customWidth="1"/>
    <col min="5134" max="5134" width="6.6640625" style="5" customWidth="1"/>
    <col min="5135" max="5135" width="7.44140625" style="5" customWidth="1"/>
    <col min="5136" max="5136" width="7.5546875" style="5" customWidth="1"/>
    <col min="5137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5546875" style="5" customWidth="1"/>
    <col min="5389" max="5389" width="20.88671875" style="5" customWidth="1"/>
    <col min="5390" max="5390" width="6.6640625" style="5" customWidth="1"/>
    <col min="5391" max="5391" width="7.44140625" style="5" customWidth="1"/>
    <col min="5392" max="5392" width="7.5546875" style="5" customWidth="1"/>
    <col min="5393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5546875" style="5" customWidth="1"/>
    <col min="5645" max="5645" width="20.88671875" style="5" customWidth="1"/>
    <col min="5646" max="5646" width="6.6640625" style="5" customWidth="1"/>
    <col min="5647" max="5647" width="7.44140625" style="5" customWidth="1"/>
    <col min="5648" max="5648" width="7.5546875" style="5" customWidth="1"/>
    <col min="5649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5546875" style="5" customWidth="1"/>
    <col min="5901" max="5901" width="20.88671875" style="5" customWidth="1"/>
    <col min="5902" max="5902" width="6.6640625" style="5" customWidth="1"/>
    <col min="5903" max="5903" width="7.44140625" style="5" customWidth="1"/>
    <col min="5904" max="5904" width="7.5546875" style="5" customWidth="1"/>
    <col min="5905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5546875" style="5" customWidth="1"/>
    <col min="6157" max="6157" width="20.88671875" style="5" customWidth="1"/>
    <col min="6158" max="6158" width="6.6640625" style="5" customWidth="1"/>
    <col min="6159" max="6159" width="7.44140625" style="5" customWidth="1"/>
    <col min="6160" max="6160" width="7.5546875" style="5" customWidth="1"/>
    <col min="6161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5546875" style="5" customWidth="1"/>
    <col min="6413" max="6413" width="20.88671875" style="5" customWidth="1"/>
    <col min="6414" max="6414" width="6.6640625" style="5" customWidth="1"/>
    <col min="6415" max="6415" width="7.44140625" style="5" customWidth="1"/>
    <col min="6416" max="6416" width="7.5546875" style="5" customWidth="1"/>
    <col min="6417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5546875" style="5" customWidth="1"/>
    <col min="6669" max="6669" width="20.88671875" style="5" customWidth="1"/>
    <col min="6670" max="6670" width="6.6640625" style="5" customWidth="1"/>
    <col min="6671" max="6671" width="7.44140625" style="5" customWidth="1"/>
    <col min="6672" max="6672" width="7.5546875" style="5" customWidth="1"/>
    <col min="6673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5546875" style="5" customWidth="1"/>
    <col min="6925" max="6925" width="20.88671875" style="5" customWidth="1"/>
    <col min="6926" max="6926" width="6.6640625" style="5" customWidth="1"/>
    <col min="6927" max="6927" width="7.44140625" style="5" customWidth="1"/>
    <col min="6928" max="6928" width="7.5546875" style="5" customWidth="1"/>
    <col min="6929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5546875" style="5" customWidth="1"/>
    <col min="7181" max="7181" width="20.88671875" style="5" customWidth="1"/>
    <col min="7182" max="7182" width="6.6640625" style="5" customWidth="1"/>
    <col min="7183" max="7183" width="7.44140625" style="5" customWidth="1"/>
    <col min="7184" max="7184" width="7.5546875" style="5" customWidth="1"/>
    <col min="7185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5546875" style="5" customWidth="1"/>
    <col min="7437" max="7437" width="20.88671875" style="5" customWidth="1"/>
    <col min="7438" max="7438" width="6.6640625" style="5" customWidth="1"/>
    <col min="7439" max="7439" width="7.44140625" style="5" customWidth="1"/>
    <col min="7440" max="7440" width="7.5546875" style="5" customWidth="1"/>
    <col min="7441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5546875" style="5" customWidth="1"/>
    <col min="7693" max="7693" width="20.88671875" style="5" customWidth="1"/>
    <col min="7694" max="7694" width="6.6640625" style="5" customWidth="1"/>
    <col min="7695" max="7695" width="7.44140625" style="5" customWidth="1"/>
    <col min="7696" max="7696" width="7.5546875" style="5" customWidth="1"/>
    <col min="7697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5546875" style="5" customWidth="1"/>
    <col min="7949" max="7949" width="20.88671875" style="5" customWidth="1"/>
    <col min="7950" max="7950" width="6.6640625" style="5" customWidth="1"/>
    <col min="7951" max="7951" width="7.44140625" style="5" customWidth="1"/>
    <col min="7952" max="7952" width="7.5546875" style="5" customWidth="1"/>
    <col min="7953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5546875" style="5" customWidth="1"/>
    <col min="8205" max="8205" width="20.88671875" style="5" customWidth="1"/>
    <col min="8206" max="8206" width="6.6640625" style="5" customWidth="1"/>
    <col min="8207" max="8207" width="7.44140625" style="5" customWidth="1"/>
    <col min="8208" max="8208" width="7.5546875" style="5" customWidth="1"/>
    <col min="8209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5546875" style="5" customWidth="1"/>
    <col min="8461" max="8461" width="20.88671875" style="5" customWidth="1"/>
    <col min="8462" max="8462" width="6.6640625" style="5" customWidth="1"/>
    <col min="8463" max="8463" width="7.44140625" style="5" customWidth="1"/>
    <col min="8464" max="8464" width="7.5546875" style="5" customWidth="1"/>
    <col min="8465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5546875" style="5" customWidth="1"/>
    <col min="8717" max="8717" width="20.88671875" style="5" customWidth="1"/>
    <col min="8718" max="8718" width="6.6640625" style="5" customWidth="1"/>
    <col min="8719" max="8719" width="7.44140625" style="5" customWidth="1"/>
    <col min="8720" max="8720" width="7.5546875" style="5" customWidth="1"/>
    <col min="8721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5546875" style="5" customWidth="1"/>
    <col min="8973" max="8973" width="20.88671875" style="5" customWidth="1"/>
    <col min="8974" max="8974" width="6.6640625" style="5" customWidth="1"/>
    <col min="8975" max="8975" width="7.44140625" style="5" customWidth="1"/>
    <col min="8976" max="8976" width="7.5546875" style="5" customWidth="1"/>
    <col min="8977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5546875" style="5" customWidth="1"/>
    <col min="9229" max="9229" width="20.88671875" style="5" customWidth="1"/>
    <col min="9230" max="9230" width="6.6640625" style="5" customWidth="1"/>
    <col min="9231" max="9231" width="7.44140625" style="5" customWidth="1"/>
    <col min="9232" max="9232" width="7.5546875" style="5" customWidth="1"/>
    <col min="9233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5546875" style="5" customWidth="1"/>
    <col min="9485" max="9485" width="20.88671875" style="5" customWidth="1"/>
    <col min="9486" max="9486" width="6.6640625" style="5" customWidth="1"/>
    <col min="9487" max="9487" width="7.44140625" style="5" customWidth="1"/>
    <col min="9488" max="9488" width="7.5546875" style="5" customWidth="1"/>
    <col min="9489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5546875" style="5" customWidth="1"/>
    <col min="9741" max="9741" width="20.88671875" style="5" customWidth="1"/>
    <col min="9742" max="9742" width="6.6640625" style="5" customWidth="1"/>
    <col min="9743" max="9743" width="7.44140625" style="5" customWidth="1"/>
    <col min="9744" max="9744" width="7.5546875" style="5" customWidth="1"/>
    <col min="9745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5546875" style="5" customWidth="1"/>
    <col min="9997" max="9997" width="20.88671875" style="5" customWidth="1"/>
    <col min="9998" max="9998" width="6.6640625" style="5" customWidth="1"/>
    <col min="9999" max="9999" width="7.44140625" style="5" customWidth="1"/>
    <col min="10000" max="10000" width="7.5546875" style="5" customWidth="1"/>
    <col min="10001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5546875" style="5" customWidth="1"/>
    <col min="10253" max="10253" width="20.88671875" style="5" customWidth="1"/>
    <col min="10254" max="10254" width="6.6640625" style="5" customWidth="1"/>
    <col min="10255" max="10255" width="7.44140625" style="5" customWidth="1"/>
    <col min="10256" max="10256" width="7.5546875" style="5" customWidth="1"/>
    <col min="10257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5546875" style="5" customWidth="1"/>
    <col min="10509" max="10509" width="20.88671875" style="5" customWidth="1"/>
    <col min="10510" max="10510" width="6.6640625" style="5" customWidth="1"/>
    <col min="10511" max="10511" width="7.44140625" style="5" customWidth="1"/>
    <col min="10512" max="10512" width="7.5546875" style="5" customWidth="1"/>
    <col min="10513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5546875" style="5" customWidth="1"/>
    <col min="10765" max="10765" width="20.88671875" style="5" customWidth="1"/>
    <col min="10766" max="10766" width="6.6640625" style="5" customWidth="1"/>
    <col min="10767" max="10767" width="7.44140625" style="5" customWidth="1"/>
    <col min="10768" max="10768" width="7.5546875" style="5" customWidth="1"/>
    <col min="10769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5546875" style="5" customWidth="1"/>
    <col min="11021" max="11021" width="20.88671875" style="5" customWidth="1"/>
    <col min="11022" max="11022" width="6.6640625" style="5" customWidth="1"/>
    <col min="11023" max="11023" width="7.44140625" style="5" customWidth="1"/>
    <col min="11024" max="11024" width="7.5546875" style="5" customWidth="1"/>
    <col min="11025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5546875" style="5" customWidth="1"/>
    <col min="11277" max="11277" width="20.88671875" style="5" customWidth="1"/>
    <col min="11278" max="11278" width="6.6640625" style="5" customWidth="1"/>
    <col min="11279" max="11279" width="7.44140625" style="5" customWidth="1"/>
    <col min="11280" max="11280" width="7.5546875" style="5" customWidth="1"/>
    <col min="11281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5546875" style="5" customWidth="1"/>
    <col min="11533" max="11533" width="20.88671875" style="5" customWidth="1"/>
    <col min="11534" max="11534" width="6.6640625" style="5" customWidth="1"/>
    <col min="11535" max="11535" width="7.44140625" style="5" customWidth="1"/>
    <col min="11536" max="11536" width="7.5546875" style="5" customWidth="1"/>
    <col min="11537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5546875" style="5" customWidth="1"/>
    <col min="11789" max="11789" width="20.88671875" style="5" customWidth="1"/>
    <col min="11790" max="11790" width="6.6640625" style="5" customWidth="1"/>
    <col min="11791" max="11791" width="7.44140625" style="5" customWidth="1"/>
    <col min="11792" max="11792" width="7.5546875" style="5" customWidth="1"/>
    <col min="11793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5546875" style="5" customWidth="1"/>
    <col min="12045" max="12045" width="20.88671875" style="5" customWidth="1"/>
    <col min="12046" max="12046" width="6.6640625" style="5" customWidth="1"/>
    <col min="12047" max="12047" width="7.44140625" style="5" customWidth="1"/>
    <col min="12048" max="12048" width="7.5546875" style="5" customWidth="1"/>
    <col min="12049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5546875" style="5" customWidth="1"/>
    <col min="12301" max="12301" width="20.88671875" style="5" customWidth="1"/>
    <col min="12302" max="12302" width="6.6640625" style="5" customWidth="1"/>
    <col min="12303" max="12303" width="7.44140625" style="5" customWidth="1"/>
    <col min="12304" max="12304" width="7.5546875" style="5" customWidth="1"/>
    <col min="12305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5546875" style="5" customWidth="1"/>
    <col min="12557" max="12557" width="20.88671875" style="5" customWidth="1"/>
    <col min="12558" max="12558" width="6.6640625" style="5" customWidth="1"/>
    <col min="12559" max="12559" width="7.44140625" style="5" customWidth="1"/>
    <col min="12560" max="12560" width="7.5546875" style="5" customWidth="1"/>
    <col min="12561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5546875" style="5" customWidth="1"/>
    <col min="12813" max="12813" width="20.88671875" style="5" customWidth="1"/>
    <col min="12814" max="12814" width="6.6640625" style="5" customWidth="1"/>
    <col min="12815" max="12815" width="7.44140625" style="5" customWidth="1"/>
    <col min="12816" max="12816" width="7.5546875" style="5" customWidth="1"/>
    <col min="12817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5546875" style="5" customWidth="1"/>
    <col min="13069" max="13069" width="20.88671875" style="5" customWidth="1"/>
    <col min="13070" max="13070" width="6.6640625" style="5" customWidth="1"/>
    <col min="13071" max="13071" width="7.44140625" style="5" customWidth="1"/>
    <col min="13072" max="13072" width="7.5546875" style="5" customWidth="1"/>
    <col min="13073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5546875" style="5" customWidth="1"/>
    <col min="13325" max="13325" width="20.88671875" style="5" customWidth="1"/>
    <col min="13326" max="13326" width="6.6640625" style="5" customWidth="1"/>
    <col min="13327" max="13327" width="7.44140625" style="5" customWidth="1"/>
    <col min="13328" max="13328" width="7.5546875" style="5" customWidth="1"/>
    <col min="13329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5546875" style="5" customWidth="1"/>
    <col min="13581" max="13581" width="20.88671875" style="5" customWidth="1"/>
    <col min="13582" max="13582" width="6.6640625" style="5" customWidth="1"/>
    <col min="13583" max="13583" width="7.44140625" style="5" customWidth="1"/>
    <col min="13584" max="13584" width="7.5546875" style="5" customWidth="1"/>
    <col min="13585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5546875" style="5" customWidth="1"/>
    <col min="13837" max="13837" width="20.88671875" style="5" customWidth="1"/>
    <col min="13838" max="13838" width="6.6640625" style="5" customWidth="1"/>
    <col min="13839" max="13839" width="7.44140625" style="5" customWidth="1"/>
    <col min="13840" max="13840" width="7.5546875" style="5" customWidth="1"/>
    <col min="13841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5546875" style="5" customWidth="1"/>
    <col min="14093" max="14093" width="20.88671875" style="5" customWidth="1"/>
    <col min="14094" max="14094" width="6.6640625" style="5" customWidth="1"/>
    <col min="14095" max="14095" width="7.44140625" style="5" customWidth="1"/>
    <col min="14096" max="14096" width="7.5546875" style="5" customWidth="1"/>
    <col min="14097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5546875" style="5" customWidth="1"/>
    <col min="14349" max="14349" width="20.88671875" style="5" customWidth="1"/>
    <col min="14350" max="14350" width="6.6640625" style="5" customWidth="1"/>
    <col min="14351" max="14351" width="7.44140625" style="5" customWidth="1"/>
    <col min="14352" max="14352" width="7.5546875" style="5" customWidth="1"/>
    <col min="14353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5546875" style="5" customWidth="1"/>
    <col min="14605" max="14605" width="20.88671875" style="5" customWidth="1"/>
    <col min="14606" max="14606" width="6.6640625" style="5" customWidth="1"/>
    <col min="14607" max="14607" width="7.44140625" style="5" customWidth="1"/>
    <col min="14608" max="14608" width="7.5546875" style="5" customWidth="1"/>
    <col min="14609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5546875" style="5" customWidth="1"/>
    <col min="14861" max="14861" width="20.88671875" style="5" customWidth="1"/>
    <col min="14862" max="14862" width="6.6640625" style="5" customWidth="1"/>
    <col min="14863" max="14863" width="7.44140625" style="5" customWidth="1"/>
    <col min="14864" max="14864" width="7.5546875" style="5" customWidth="1"/>
    <col min="14865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5546875" style="5" customWidth="1"/>
    <col min="15117" max="15117" width="20.88671875" style="5" customWidth="1"/>
    <col min="15118" max="15118" width="6.6640625" style="5" customWidth="1"/>
    <col min="15119" max="15119" width="7.44140625" style="5" customWidth="1"/>
    <col min="15120" max="15120" width="7.5546875" style="5" customWidth="1"/>
    <col min="15121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5546875" style="5" customWidth="1"/>
    <col min="15373" max="15373" width="20.88671875" style="5" customWidth="1"/>
    <col min="15374" max="15374" width="6.6640625" style="5" customWidth="1"/>
    <col min="15375" max="15375" width="7.44140625" style="5" customWidth="1"/>
    <col min="15376" max="15376" width="7.5546875" style="5" customWidth="1"/>
    <col min="15377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5546875" style="5" customWidth="1"/>
    <col min="15629" max="15629" width="20.88671875" style="5" customWidth="1"/>
    <col min="15630" max="15630" width="6.6640625" style="5" customWidth="1"/>
    <col min="15631" max="15631" width="7.44140625" style="5" customWidth="1"/>
    <col min="15632" max="15632" width="7.5546875" style="5" customWidth="1"/>
    <col min="15633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5546875" style="5" customWidth="1"/>
    <col min="15885" max="15885" width="20.88671875" style="5" customWidth="1"/>
    <col min="15886" max="15886" width="6.6640625" style="5" customWidth="1"/>
    <col min="15887" max="15887" width="7.44140625" style="5" customWidth="1"/>
    <col min="15888" max="15888" width="7.5546875" style="5" customWidth="1"/>
    <col min="15889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5546875" style="5" customWidth="1"/>
    <col min="16141" max="16141" width="20.88671875" style="5" customWidth="1"/>
    <col min="16142" max="16142" width="6.6640625" style="5" customWidth="1"/>
    <col min="16143" max="16143" width="7.44140625" style="5" customWidth="1"/>
    <col min="16144" max="16144" width="7.5546875" style="5" customWidth="1"/>
    <col min="16145" max="16384" width="9.109375" style="5"/>
  </cols>
  <sheetData>
    <row r="1" spans="1:21" s="1" customFormat="1" ht="20.100000000000001" customHeight="1">
      <c r="A1" s="180" t="s">
        <v>36</v>
      </c>
      <c r="B1" s="206"/>
      <c r="C1" s="206"/>
      <c r="D1" s="207"/>
      <c r="E1" s="208"/>
      <c r="F1" s="208"/>
      <c r="G1" s="208"/>
      <c r="H1" s="209"/>
      <c r="I1" s="208"/>
      <c r="J1" s="208"/>
      <c r="K1" s="208"/>
      <c r="L1" s="209"/>
      <c r="M1" s="210"/>
      <c r="O1" s="427"/>
      <c r="P1" s="427"/>
      <c r="Q1" s="427"/>
      <c r="R1" s="427"/>
      <c r="S1" s="428"/>
      <c r="T1" s="428"/>
      <c r="U1" s="428"/>
    </row>
    <row r="2" spans="1:21" s="1" customFormat="1" ht="20.100000000000001" customHeight="1">
      <c r="A2" s="181" t="s">
        <v>45</v>
      </c>
      <c r="B2" s="211"/>
      <c r="C2" s="211"/>
      <c r="D2" s="212"/>
      <c r="E2" s="213"/>
      <c r="F2" s="213"/>
      <c r="G2" s="213"/>
      <c r="H2" s="214"/>
      <c r="I2" s="213"/>
      <c r="J2" s="213"/>
      <c r="K2" s="213"/>
      <c r="L2" s="214"/>
      <c r="M2" s="215"/>
      <c r="O2" s="427"/>
      <c r="P2" s="427"/>
      <c r="Q2" s="427"/>
      <c r="R2" s="427"/>
      <c r="S2" s="428"/>
      <c r="T2" s="428"/>
      <c r="U2" s="428"/>
    </row>
    <row r="3" spans="1:21" s="1" customFormat="1" ht="20.100000000000001" customHeight="1">
      <c r="A3" s="127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8"/>
      <c r="C3" s="129"/>
      <c r="D3" s="157"/>
      <c r="E3" s="130"/>
      <c r="F3" s="130"/>
      <c r="G3" s="130"/>
      <c r="H3" s="131"/>
      <c r="I3" s="131"/>
      <c r="J3" s="158"/>
      <c r="K3" s="158"/>
      <c r="L3" s="133"/>
      <c r="M3" s="134" t="str">
        <f>'[2]cover '!D2</f>
        <v xml:space="preserve">จัดทำโดย คณะสถาปัตยกรรมศาสตร์ 
</v>
      </c>
      <c r="O3" s="427"/>
      <c r="P3" s="427"/>
      <c r="Q3" s="427"/>
      <c r="R3" s="427"/>
      <c r="S3" s="428"/>
      <c r="T3" s="428"/>
      <c r="U3" s="428"/>
    </row>
    <row r="4" spans="1:21" s="1" customFormat="1" ht="20.100000000000001" customHeight="1">
      <c r="A4" s="127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129"/>
      <c r="C4" s="129"/>
      <c r="D4" s="157"/>
      <c r="E4" s="130"/>
      <c r="F4" s="130"/>
      <c r="G4" s="130"/>
      <c r="H4" s="131"/>
      <c r="I4" s="131"/>
      <c r="J4" s="533" t="s">
        <v>228</v>
      </c>
      <c r="K4" s="533"/>
      <c r="L4" s="533"/>
      <c r="M4" s="534"/>
      <c r="O4" s="427"/>
      <c r="P4" s="427"/>
      <c r="Q4" s="427"/>
      <c r="R4" s="427"/>
      <c r="S4" s="428"/>
      <c r="T4" s="428"/>
      <c r="U4" s="428"/>
    </row>
    <row r="5" spans="1:21" s="1" customFormat="1" ht="20.100000000000001" customHeight="1" thickBot="1">
      <c r="A5" s="127" t="s">
        <v>439</v>
      </c>
      <c r="B5" s="129"/>
      <c r="C5" s="129"/>
      <c r="D5" s="157"/>
      <c r="E5" s="130"/>
      <c r="F5" s="130"/>
      <c r="G5" s="130"/>
      <c r="H5" s="131"/>
      <c r="I5" s="131"/>
      <c r="J5" s="132"/>
      <c r="K5" s="132"/>
      <c r="L5" s="130"/>
      <c r="M5" s="134"/>
      <c r="O5" s="427"/>
      <c r="P5" s="427"/>
      <c r="Q5" s="427"/>
      <c r="R5" s="427"/>
      <c r="S5" s="428"/>
      <c r="T5" s="428"/>
      <c r="U5" s="428"/>
    </row>
    <row r="6" spans="1:21" s="19" customFormat="1" ht="20.100000000000001" customHeight="1">
      <c r="A6" s="559" t="s">
        <v>2</v>
      </c>
      <c r="B6" s="561" t="s">
        <v>3</v>
      </c>
      <c r="C6" s="561" t="s">
        <v>37</v>
      </c>
      <c r="D6" s="24" t="s">
        <v>46</v>
      </c>
      <c r="E6" s="361" t="s">
        <v>38</v>
      </c>
      <c r="F6" s="361" t="s">
        <v>38</v>
      </c>
      <c r="G6" s="563" t="s">
        <v>38</v>
      </c>
      <c r="H6" s="555" t="s">
        <v>39</v>
      </c>
      <c r="I6" s="556"/>
      <c r="J6" s="557" t="s">
        <v>40</v>
      </c>
      <c r="K6" s="558"/>
      <c r="L6" s="25" t="s">
        <v>5</v>
      </c>
      <c r="M6" s="553" t="s">
        <v>41</v>
      </c>
      <c r="O6" s="429"/>
      <c r="P6" s="429"/>
      <c r="Q6" s="430"/>
      <c r="R6" s="430"/>
      <c r="S6" s="431"/>
      <c r="T6" s="431"/>
      <c r="U6" s="432"/>
    </row>
    <row r="7" spans="1:21" s="19" customFormat="1" ht="20.100000000000001" customHeight="1" thickBot="1">
      <c r="A7" s="560"/>
      <c r="B7" s="562"/>
      <c r="C7" s="562"/>
      <c r="D7" s="26" t="s">
        <v>47</v>
      </c>
      <c r="E7" s="362"/>
      <c r="F7" s="362"/>
      <c r="G7" s="564"/>
      <c r="H7" s="27" t="s">
        <v>42</v>
      </c>
      <c r="I7" s="27" t="s">
        <v>43</v>
      </c>
      <c r="J7" s="27" t="s">
        <v>42</v>
      </c>
      <c r="K7" s="27" t="s">
        <v>43</v>
      </c>
      <c r="L7" s="28" t="s">
        <v>44</v>
      </c>
      <c r="M7" s="554"/>
      <c r="O7" s="429"/>
      <c r="P7" s="429"/>
      <c r="Q7" s="430"/>
      <c r="R7" s="430"/>
      <c r="S7" s="431"/>
      <c r="T7" s="431"/>
      <c r="U7" s="432"/>
    </row>
    <row r="8" spans="1:21" s="1" customFormat="1" ht="20.100000000000001" customHeight="1">
      <c r="A8" s="160" t="s">
        <v>87</v>
      </c>
      <c r="B8" s="161" t="s">
        <v>155</v>
      </c>
      <c r="C8" s="162"/>
      <c r="D8" s="163"/>
      <c r="E8" s="164"/>
      <c r="F8" s="165"/>
      <c r="G8" s="165"/>
      <c r="H8" s="166"/>
      <c r="I8" s="166"/>
      <c r="J8" s="166"/>
      <c r="K8" s="166"/>
      <c r="L8" s="167"/>
      <c r="M8" s="168"/>
      <c r="O8" s="427"/>
      <c r="P8" s="427"/>
      <c r="Q8" s="427"/>
      <c r="R8" s="427"/>
      <c r="S8" s="428"/>
      <c r="T8" s="428"/>
      <c r="U8" s="428"/>
    </row>
    <row r="9" spans="1:21" s="1" customFormat="1" ht="20.100000000000001" customHeight="1">
      <c r="A9" s="78" t="s">
        <v>15</v>
      </c>
      <c r="B9" s="79" t="s">
        <v>88</v>
      </c>
      <c r="C9" s="80"/>
      <c r="D9" s="81"/>
      <c r="E9" s="82" t="e">
        <f>SUM(E10:E14)</f>
        <v>#REF!</v>
      </c>
      <c r="F9" s="82">
        <f>SUM(F10:F14)</f>
        <v>0</v>
      </c>
      <c r="G9" s="82"/>
      <c r="H9" s="83"/>
      <c r="I9" s="83"/>
      <c r="J9" s="83"/>
      <c r="K9" s="83"/>
      <c r="L9" s="84"/>
      <c r="M9" s="100"/>
      <c r="O9" s="427"/>
      <c r="P9" s="427"/>
      <c r="Q9" s="427"/>
      <c r="R9" s="427"/>
      <c r="S9" s="428"/>
      <c r="T9" s="428"/>
      <c r="U9" s="428"/>
    </row>
    <row r="10" spans="1:21" s="7" customFormat="1" ht="39.9" customHeight="1">
      <c r="A10" s="184" t="s">
        <v>89</v>
      </c>
      <c r="B10" s="216" t="s">
        <v>199</v>
      </c>
      <c r="C10" s="103" t="s">
        <v>63</v>
      </c>
      <c r="D10" s="104">
        <v>0</v>
      </c>
      <c r="E10" s="105">
        <v>174</v>
      </c>
      <c r="F10" s="106"/>
      <c r="G10" s="106">
        <v>281</v>
      </c>
      <c r="H10" s="106">
        <v>350</v>
      </c>
      <c r="I10" s="107">
        <f>G10*H10</f>
        <v>98350</v>
      </c>
      <c r="J10" s="107">
        <v>250</v>
      </c>
      <c r="K10" s="107">
        <f>G10*J10</f>
        <v>70250</v>
      </c>
      <c r="L10" s="108">
        <f t="shared" ref="L10:L17" si="0">SUM(I10+K10)</f>
        <v>168600</v>
      </c>
      <c r="M10" s="109"/>
      <c r="O10" s="427"/>
      <c r="P10" s="427"/>
      <c r="Q10" s="433"/>
      <c r="R10" s="433"/>
      <c r="S10" s="428"/>
      <c r="T10" s="428"/>
      <c r="U10" s="434"/>
    </row>
    <row r="11" spans="1:21" s="7" customFormat="1" ht="20.100000000000001" customHeight="1">
      <c r="A11" s="184" t="s">
        <v>90</v>
      </c>
      <c r="B11" s="344" t="s">
        <v>355</v>
      </c>
      <c r="C11" s="218" t="s">
        <v>63</v>
      </c>
      <c r="D11" s="219">
        <v>0</v>
      </c>
      <c r="E11" s="220">
        <v>435</v>
      </c>
      <c r="F11" s="221"/>
      <c r="G11" s="221">
        <v>138</v>
      </c>
      <c r="H11" s="221">
        <v>470</v>
      </c>
      <c r="I11" s="107">
        <f t="shared" ref="I11:I16" si="1">G11*H11</f>
        <v>64860</v>
      </c>
      <c r="J11" s="222">
        <v>35</v>
      </c>
      <c r="K11" s="107">
        <f t="shared" ref="K11:K16" si="2">G11*J11</f>
        <v>4830</v>
      </c>
      <c r="L11" s="108">
        <f t="shared" si="0"/>
        <v>69690</v>
      </c>
      <c r="M11" s="223"/>
      <c r="O11" s="427"/>
      <c r="P11" s="427"/>
      <c r="Q11" s="433"/>
      <c r="R11" s="433"/>
      <c r="S11" s="428"/>
      <c r="T11" s="428"/>
      <c r="U11" s="434"/>
    </row>
    <row r="12" spans="1:21" s="7" customFormat="1" ht="20.100000000000001" customHeight="1">
      <c r="A12" s="370"/>
      <c r="B12" s="345" t="s">
        <v>356</v>
      </c>
      <c r="C12" s="198" t="s">
        <v>63</v>
      </c>
      <c r="D12" s="199">
        <v>0</v>
      </c>
      <c r="E12" s="200">
        <v>435</v>
      </c>
      <c r="F12" s="201"/>
      <c r="G12" s="201">
        <v>138</v>
      </c>
      <c r="H12" s="201">
        <v>30</v>
      </c>
      <c r="I12" s="107">
        <f t="shared" si="1"/>
        <v>4140</v>
      </c>
      <c r="J12" s="202"/>
      <c r="K12" s="107"/>
      <c r="L12" s="108">
        <f t="shared" si="0"/>
        <v>4140</v>
      </c>
      <c r="M12" s="203"/>
      <c r="O12" s="427"/>
      <c r="P12" s="427"/>
      <c r="Q12" s="433"/>
      <c r="R12" s="433"/>
      <c r="S12" s="428"/>
      <c r="T12" s="428"/>
      <c r="U12" s="434"/>
    </row>
    <row r="13" spans="1:21" s="7" customFormat="1" ht="20.100000000000001" customHeight="1">
      <c r="A13" s="184" t="s">
        <v>91</v>
      </c>
      <c r="B13" s="216" t="s">
        <v>200</v>
      </c>
      <c r="C13" s="103" t="s">
        <v>63</v>
      </c>
      <c r="D13" s="104">
        <v>0</v>
      </c>
      <c r="E13" s="105">
        <v>38</v>
      </c>
      <c r="F13" s="106"/>
      <c r="G13" s="106">
        <v>66.319999999999993</v>
      </c>
      <c r="H13" s="106">
        <v>300</v>
      </c>
      <c r="I13" s="107">
        <f t="shared" si="1"/>
        <v>19895.999999999996</v>
      </c>
      <c r="J13" s="107">
        <v>250</v>
      </c>
      <c r="K13" s="107">
        <f t="shared" si="2"/>
        <v>16580</v>
      </c>
      <c r="L13" s="108">
        <f t="shared" si="0"/>
        <v>36476</v>
      </c>
      <c r="M13" s="109"/>
      <c r="O13" s="427"/>
      <c r="P13" s="427"/>
      <c r="Q13" s="433"/>
      <c r="R13" s="433"/>
      <c r="S13" s="428"/>
      <c r="T13" s="428"/>
      <c r="U13" s="434"/>
    </row>
    <row r="14" spans="1:21" s="7" customFormat="1" ht="20.100000000000001" customHeight="1">
      <c r="A14" s="184" t="s">
        <v>92</v>
      </c>
      <c r="B14" s="224" t="s">
        <v>183</v>
      </c>
      <c r="C14" s="103" t="s">
        <v>63</v>
      </c>
      <c r="D14" s="104">
        <v>0</v>
      </c>
      <c r="E14" s="105" t="e">
        <f>E13+#REF!+#REF!+#REF!</f>
        <v>#REF!</v>
      </c>
      <c r="F14" s="105"/>
      <c r="G14" s="106">
        <v>237</v>
      </c>
      <c r="H14" s="106">
        <v>20</v>
      </c>
      <c r="I14" s="107">
        <f t="shared" si="1"/>
        <v>4740</v>
      </c>
      <c r="J14" s="107">
        <v>30</v>
      </c>
      <c r="K14" s="107">
        <f t="shared" si="2"/>
        <v>7110</v>
      </c>
      <c r="L14" s="108">
        <f t="shared" si="0"/>
        <v>11850</v>
      </c>
      <c r="M14" s="109"/>
      <c r="O14" s="427"/>
      <c r="P14" s="427"/>
      <c r="Q14" s="433"/>
      <c r="R14" s="433"/>
      <c r="S14" s="428"/>
      <c r="T14" s="428"/>
      <c r="U14" s="434"/>
    </row>
    <row r="15" spans="1:21" s="7" customFormat="1" ht="20.100000000000001" customHeight="1">
      <c r="A15" s="184" t="s">
        <v>93</v>
      </c>
      <c r="B15" s="224" t="s">
        <v>357</v>
      </c>
      <c r="C15" s="103" t="s">
        <v>63</v>
      </c>
      <c r="D15" s="104">
        <v>0</v>
      </c>
      <c r="E15" s="105" t="e">
        <f>#REF!</f>
        <v>#REF!</v>
      </c>
      <c r="F15" s="105"/>
      <c r="G15" s="106">
        <v>44.95</v>
      </c>
      <c r="H15" s="106">
        <v>30</v>
      </c>
      <c r="I15" s="107">
        <f t="shared" si="1"/>
        <v>1348.5</v>
      </c>
      <c r="J15" s="107">
        <v>35</v>
      </c>
      <c r="K15" s="107">
        <f t="shared" si="2"/>
        <v>1573.25</v>
      </c>
      <c r="L15" s="108">
        <f t="shared" si="0"/>
        <v>2921.75</v>
      </c>
      <c r="M15" s="109"/>
      <c r="O15" s="427"/>
      <c r="P15" s="427"/>
      <c r="Q15" s="433"/>
      <c r="R15" s="433"/>
      <c r="S15" s="428"/>
      <c r="T15" s="428"/>
      <c r="U15" s="434"/>
    </row>
    <row r="16" spans="1:21" s="7" customFormat="1" ht="20.100000000000001" customHeight="1">
      <c r="A16" s="184" t="s">
        <v>386</v>
      </c>
      <c r="B16" s="224" t="s">
        <v>226</v>
      </c>
      <c r="C16" s="103" t="s">
        <v>165</v>
      </c>
      <c r="D16" s="104">
        <v>0</v>
      </c>
      <c r="E16" s="105" t="e">
        <f>E14</f>
        <v>#REF!</v>
      </c>
      <c r="F16" s="105"/>
      <c r="G16" s="106">
        <v>138</v>
      </c>
      <c r="H16" s="106">
        <v>60</v>
      </c>
      <c r="I16" s="107">
        <f t="shared" si="1"/>
        <v>8280</v>
      </c>
      <c r="J16" s="107">
        <v>45</v>
      </c>
      <c r="K16" s="107">
        <f t="shared" si="2"/>
        <v>6210</v>
      </c>
      <c r="L16" s="108">
        <f t="shared" si="0"/>
        <v>14490</v>
      </c>
      <c r="M16" s="109"/>
      <c r="O16" s="427"/>
      <c r="P16" s="427"/>
      <c r="Q16" s="433"/>
      <c r="R16" s="433"/>
      <c r="S16" s="428"/>
      <c r="T16" s="428"/>
      <c r="U16" s="434"/>
    </row>
    <row r="17" spans="1:21" s="7" customFormat="1" ht="20.100000000000001" customHeight="1" thickBot="1">
      <c r="A17" s="184"/>
      <c r="B17" s="190"/>
      <c r="C17" s="111"/>
      <c r="D17" s="112"/>
      <c r="E17" s="113"/>
      <c r="F17" s="114"/>
      <c r="G17" s="114"/>
      <c r="H17" s="115"/>
      <c r="J17" s="115"/>
      <c r="L17" s="108">
        <f t="shared" si="0"/>
        <v>0</v>
      </c>
      <c r="M17" s="117"/>
      <c r="O17" s="427"/>
      <c r="P17" s="427"/>
      <c r="Q17" s="433"/>
      <c r="R17" s="433"/>
      <c r="S17" s="428"/>
      <c r="T17" s="428"/>
      <c r="U17" s="434"/>
    </row>
    <row r="18" spans="1:21" s="7" customFormat="1" ht="20.100000000000001" customHeight="1" thickTop="1" thickBot="1">
      <c r="A18" s="44"/>
      <c r="B18" s="37" t="s">
        <v>95</v>
      </c>
      <c r="C18" s="37"/>
      <c r="D18" s="37"/>
      <c r="E18" s="37"/>
      <c r="F18" s="37"/>
      <c r="G18" s="37"/>
      <c r="H18" s="37"/>
      <c r="I18" s="37">
        <f>SUM(I10:I16)</f>
        <v>201614.5</v>
      </c>
      <c r="J18" s="37"/>
      <c r="K18" s="37">
        <f>SUM(K10:K16)</f>
        <v>106553.25</v>
      </c>
      <c r="L18" s="37">
        <f>SUM(L10:L16)</f>
        <v>308167.75</v>
      </c>
      <c r="M18" s="386"/>
      <c r="O18" s="427"/>
      <c r="P18" s="427"/>
      <c r="Q18" s="433"/>
      <c r="R18" s="433"/>
      <c r="S18" s="428"/>
      <c r="T18" s="428"/>
      <c r="U18" s="434"/>
    </row>
    <row r="19" spans="1:21" s="1" customFormat="1" ht="20.100000000000001" customHeight="1" thickTop="1">
      <c r="A19" s="347" t="s">
        <v>16</v>
      </c>
      <c r="B19" s="348" t="s">
        <v>156</v>
      </c>
      <c r="C19" s="349"/>
      <c r="D19" s="350"/>
      <c r="E19" s="176" t="e">
        <f>SUM(E20:E20)*2</f>
        <v>#REF!</v>
      </c>
      <c r="F19" s="176">
        <f>SUM(F20:F20)*2</f>
        <v>0</v>
      </c>
      <c r="G19" s="176"/>
      <c r="H19" s="177"/>
      <c r="I19" s="177"/>
      <c r="J19" s="177"/>
      <c r="K19" s="177"/>
      <c r="L19" s="178"/>
      <c r="M19" s="179"/>
      <c r="O19" s="427"/>
      <c r="P19" s="427"/>
      <c r="Q19" s="433"/>
      <c r="R19" s="433"/>
      <c r="S19" s="428"/>
      <c r="T19" s="428"/>
      <c r="U19" s="434"/>
    </row>
    <row r="20" spans="1:21" s="7" customFormat="1" ht="20.100000000000001" customHeight="1">
      <c r="A20" s="226" t="s">
        <v>96</v>
      </c>
      <c r="B20" s="227" t="s">
        <v>201</v>
      </c>
      <c r="C20" s="95" t="s">
        <v>63</v>
      </c>
      <c r="D20" s="96">
        <v>0</v>
      </c>
      <c r="E20" s="97" t="e">
        <f>#REF!*2-#REF!</f>
        <v>#REF!</v>
      </c>
      <c r="F20" s="98"/>
      <c r="G20" s="98">
        <v>1210.2</v>
      </c>
      <c r="H20" s="98">
        <v>200</v>
      </c>
      <c r="I20" s="107">
        <f>G20*H20</f>
        <v>242040</v>
      </c>
      <c r="J20" s="99">
        <v>80</v>
      </c>
      <c r="K20" s="107">
        <f>G20*J20</f>
        <v>96816</v>
      </c>
      <c r="L20" s="108">
        <f t="shared" ref="L20:L32" si="3">SUM(I20+K20)</f>
        <v>338856</v>
      </c>
      <c r="M20" s="100"/>
      <c r="O20" s="427"/>
      <c r="P20" s="427"/>
      <c r="Q20" s="427"/>
      <c r="R20" s="427"/>
      <c r="S20" s="428"/>
      <c r="T20" s="428"/>
      <c r="U20" s="428"/>
    </row>
    <row r="21" spans="1:21" s="7" customFormat="1" ht="20.100000000000001" customHeight="1">
      <c r="A21" s="184" t="s">
        <v>97</v>
      </c>
      <c r="B21" s="228" t="s">
        <v>358</v>
      </c>
      <c r="C21" s="103" t="s">
        <v>63</v>
      </c>
      <c r="D21" s="104">
        <v>0</v>
      </c>
      <c r="E21" s="105">
        <f>35*2</f>
        <v>70</v>
      </c>
      <c r="F21" s="106"/>
      <c r="G21" s="106">
        <v>121.5</v>
      </c>
      <c r="H21" s="106">
        <v>400</v>
      </c>
      <c r="I21" s="107">
        <f t="shared" ref="I21:I32" si="4">G21*H21</f>
        <v>48600</v>
      </c>
      <c r="J21" s="107">
        <v>160</v>
      </c>
      <c r="K21" s="107">
        <f t="shared" ref="K21:K32" si="5">G21*J21</f>
        <v>19440</v>
      </c>
      <c r="L21" s="108">
        <f t="shared" si="3"/>
        <v>68040</v>
      </c>
      <c r="M21" s="109"/>
      <c r="O21" s="427"/>
      <c r="P21" s="427"/>
      <c r="Q21" s="433"/>
      <c r="R21" s="433"/>
      <c r="S21" s="428"/>
      <c r="T21" s="428"/>
      <c r="U21" s="434"/>
    </row>
    <row r="22" spans="1:21" s="7" customFormat="1" ht="20.100000000000001" customHeight="1">
      <c r="A22" s="184" t="s">
        <v>98</v>
      </c>
      <c r="B22" s="228" t="s">
        <v>166</v>
      </c>
      <c r="C22" s="103" t="s">
        <v>63</v>
      </c>
      <c r="D22" s="104">
        <v>0</v>
      </c>
      <c r="E22" s="105">
        <f>35*2</f>
        <v>70</v>
      </c>
      <c r="F22" s="106"/>
      <c r="G22" s="106">
        <v>982.2</v>
      </c>
      <c r="H22" s="106">
        <v>45</v>
      </c>
      <c r="I22" s="107">
        <f t="shared" si="4"/>
        <v>44199</v>
      </c>
      <c r="J22" s="107">
        <v>80</v>
      </c>
      <c r="K22" s="107">
        <f t="shared" si="5"/>
        <v>78576</v>
      </c>
      <c r="L22" s="108">
        <f t="shared" si="3"/>
        <v>122775</v>
      </c>
      <c r="M22" s="109"/>
      <c r="O22" s="427"/>
      <c r="P22" s="427"/>
      <c r="Q22" s="433"/>
      <c r="R22" s="433"/>
      <c r="S22" s="428"/>
      <c r="T22" s="428"/>
      <c r="U22" s="434"/>
    </row>
    <row r="23" spans="1:21" s="7" customFormat="1" ht="20.100000000000001" customHeight="1">
      <c r="A23" s="184" t="s">
        <v>99</v>
      </c>
      <c r="B23" s="228" t="s">
        <v>167</v>
      </c>
      <c r="C23" s="103" t="s">
        <v>63</v>
      </c>
      <c r="D23" s="104">
        <v>0</v>
      </c>
      <c r="E23" s="105">
        <f>35*2</f>
        <v>70</v>
      </c>
      <c r="F23" s="106"/>
      <c r="G23" s="106">
        <v>769.8</v>
      </c>
      <c r="H23" s="106">
        <v>45</v>
      </c>
      <c r="I23" s="107">
        <f t="shared" si="4"/>
        <v>34641</v>
      </c>
      <c r="J23" s="107">
        <v>80</v>
      </c>
      <c r="K23" s="107">
        <f t="shared" si="5"/>
        <v>61584</v>
      </c>
      <c r="L23" s="108">
        <f t="shared" si="3"/>
        <v>96225</v>
      </c>
      <c r="M23" s="109"/>
      <c r="O23" s="427">
        <v>250</v>
      </c>
      <c r="P23" s="427">
        <f>G23*O23</f>
        <v>192450</v>
      </c>
      <c r="Q23" s="435">
        <f>I20-P23</f>
        <v>49590</v>
      </c>
      <c r="R23" s="435"/>
      <c r="S23" s="428">
        <v>730</v>
      </c>
      <c r="T23" s="428">
        <f>G23*S23</f>
        <v>561954</v>
      </c>
      <c r="U23" s="436">
        <f>I21-T23</f>
        <v>-513354</v>
      </c>
    </row>
    <row r="24" spans="1:21" s="7" customFormat="1" ht="20.100000000000001" customHeight="1">
      <c r="A24" s="184" t="s">
        <v>100</v>
      </c>
      <c r="B24" s="229" t="s">
        <v>101</v>
      </c>
      <c r="C24" s="103" t="s">
        <v>94</v>
      </c>
      <c r="D24" s="104">
        <v>0</v>
      </c>
      <c r="E24" s="105" t="e">
        <f>#REF!</f>
        <v>#REF!</v>
      </c>
      <c r="F24" s="106"/>
      <c r="G24" s="106">
        <v>646</v>
      </c>
      <c r="H24" s="106">
        <v>70</v>
      </c>
      <c r="I24" s="107">
        <f t="shared" si="4"/>
        <v>45220</v>
      </c>
      <c r="J24" s="107">
        <v>50</v>
      </c>
      <c r="K24" s="107">
        <f t="shared" si="5"/>
        <v>32300</v>
      </c>
      <c r="L24" s="108">
        <f t="shared" si="3"/>
        <v>77520</v>
      </c>
      <c r="M24" s="109"/>
      <c r="O24" s="427"/>
      <c r="P24" s="427"/>
      <c r="Q24" s="433"/>
      <c r="R24" s="433"/>
      <c r="S24" s="428"/>
      <c r="T24" s="428"/>
      <c r="U24" s="434"/>
    </row>
    <row r="25" spans="1:21" s="7" customFormat="1" ht="20.100000000000001" customHeight="1">
      <c r="A25" s="184" t="s">
        <v>387</v>
      </c>
      <c r="B25" s="229" t="s">
        <v>388</v>
      </c>
      <c r="C25" s="103" t="s">
        <v>94</v>
      </c>
      <c r="D25" s="104">
        <v>0</v>
      </c>
      <c r="E25" s="105" t="e">
        <f>#REF!</f>
        <v>#REF!</v>
      </c>
      <c r="F25" s="106"/>
      <c r="G25" s="106">
        <v>120</v>
      </c>
      <c r="H25" s="106">
        <v>110</v>
      </c>
      <c r="I25" s="107">
        <f t="shared" si="4"/>
        <v>13200</v>
      </c>
      <c r="J25" s="107">
        <v>70</v>
      </c>
      <c r="K25" s="107">
        <f t="shared" si="5"/>
        <v>8400</v>
      </c>
      <c r="L25" s="108">
        <f t="shared" si="3"/>
        <v>21600</v>
      </c>
      <c r="M25" s="109"/>
      <c r="O25" s="427"/>
      <c r="P25" s="427"/>
      <c r="Q25" s="433"/>
      <c r="R25" s="433"/>
      <c r="S25" s="428"/>
      <c r="T25" s="428"/>
      <c r="U25" s="434"/>
    </row>
    <row r="26" spans="1:21" s="7" customFormat="1" ht="20.100000000000001" customHeight="1">
      <c r="A26" s="184" t="s">
        <v>102</v>
      </c>
      <c r="B26" s="228" t="s">
        <v>233</v>
      </c>
      <c r="C26" s="103" t="s">
        <v>94</v>
      </c>
      <c r="D26" s="104">
        <v>0</v>
      </c>
      <c r="E26" s="105" t="e">
        <f>#REF!</f>
        <v>#REF!</v>
      </c>
      <c r="F26" s="106"/>
      <c r="G26" s="106">
        <v>480</v>
      </c>
      <c r="H26" s="106">
        <v>25</v>
      </c>
      <c r="I26" s="107">
        <f t="shared" si="4"/>
        <v>12000</v>
      </c>
      <c r="J26" s="107">
        <v>35</v>
      </c>
      <c r="K26" s="107">
        <f t="shared" si="5"/>
        <v>16800</v>
      </c>
      <c r="L26" s="108">
        <f t="shared" si="3"/>
        <v>28800</v>
      </c>
      <c r="M26" s="109"/>
      <c r="O26" s="427"/>
      <c r="P26" s="427"/>
      <c r="Q26" s="433"/>
      <c r="R26" s="433"/>
      <c r="S26" s="428"/>
      <c r="T26" s="428"/>
      <c r="U26" s="434"/>
    </row>
    <row r="27" spans="1:21" s="7" customFormat="1" ht="21" customHeight="1">
      <c r="A27" s="217" t="s">
        <v>359</v>
      </c>
      <c r="B27" s="351" t="s">
        <v>229</v>
      </c>
      <c r="C27" s="218" t="s">
        <v>63</v>
      </c>
      <c r="D27" s="219">
        <v>0</v>
      </c>
      <c r="E27" s="220">
        <v>530</v>
      </c>
      <c r="F27" s="221"/>
      <c r="G27" s="221">
        <v>196</v>
      </c>
      <c r="H27" s="107">
        <v>280</v>
      </c>
      <c r="I27" s="107">
        <f t="shared" si="4"/>
        <v>54880</v>
      </c>
      <c r="J27" s="222">
        <v>180</v>
      </c>
      <c r="K27" s="107">
        <f t="shared" si="5"/>
        <v>35280</v>
      </c>
      <c r="L27" s="108">
        <f t="shared" si="3"/>
        <v>90160</v>
      </c>
      <c r="M27" s="109"/>
      <c r="O27" s="427"/>
      <c r="P27" s="427"/>
      <c r="Q27" s="433"/>
      <c r="R27" s="433"/>
      <c r="S27" s="428"/>
      <c r="T27" s="428"/>
      <c r="U27" s="434"/>
    </row>
    <row r="28" spans="1:21" s="7" customFormat="1" ht="20.100000000000001" customHeight="1">
      <c r="A28" s="365"/>
      <c r="B28" s="352" t="s">
        <v>194</v>
      </c>
      <c r="C28" s="267" t="s">
        <v>63</v>
      </c>
      <c r="D28" s="268">
        <v>0</v>
      </c>
      <c r="E28" s="269">
        <v>530</v>
      </c>
      <c r="F28" s="270"/>
      <c r="G28" s="270">
        <v>196</v>
      </c>
      <c r="H28" s="107">
        <v>60</v>
      </c>
      <c r="I28" s="107">
        <f t="shared" si="4"/>
        <v>11760</v>
      </c>
      <c r="J28" s="107">
        <v>70</v>
      </c>
      <c r="K28" s="107">
        <f t="shared" si="5"/>
        <v>13720</v>
      </c>
      <c r="L28" s="108">
        <f t="shared" si="3"/>
        <v>25480</v>
      </c>
      <c r="M28" s="195"/>
      <c r="O28" s="427"/>
      <c r="P28" s="427"/>
      <c r="Q28" s="433"/>
      <c r="R28" s="433"/>
      <c r="S28" s="428"/>
      <c r="T28" s="428"/>
      <c r="U28" s="434"/>
    </row>
    <row r="29" spans="1:21" s="7" customFormat="1" ht="20.100000000000001" customHeight="1">
      <c r="A29" s="251" t="s">
        <v>360</v>
      </c>
      <c r="B29" s="263" t="s">
        <v>174</v>
      </c>
      <c r="C29" s="266"/>
      <c r="D29" s="253"/>
      <c r="E29" s="254"/>
      <c r="F29" s="255"/>
      <c r="G29" s="255"/>
      <c r="I29" s="107">
        <f t="shared" si="4"/>
        <v>0</v>
      </c>
      <c r="J29" s="107"/>
      <c r="K29" s="107">
        <f t="shared" si="5"/>
        <v>0</v>
      </c>
      <c r="L29" s="108">
        <f t="shared" si="3"/>
        <v>0</v>
      </c>
      <c r="M29" s="346"/>
      <c r="O29" s="427"/>
      <c r="P29" s="427"/>
      <c r="Q29" s="433"/>
      <c r="R29" s="433"/>
      <c r="S29" s="428"/>
      <c r="T29" s="428"/>
      <c r="U29" s="434"/>
    </row>
    <row r="30" spans="1:21" s="7" customFormat="1" ht="20.100000000000001" customHeight="1">
      <c r="A30" s="313"/>
      <c r="B30" s="263" t="s">
        <v>197</v>
      </c>
      <c r="C30" s="353" t="s">
        <v>94</v>
      </c>
      <c r="D30" s="253">
        <v>0</v>
      </c>
      <c r="E30" s="254">
        <v>272</v>
      </c>
      <c r="F30" s="255"/>
      <c r="G30" s="255">
        <v>83.8</v>
      </c>
      <c r="H30" s="107">
        <v>110</v>
      </c>
      <c r="I30" s="107">
        <f t="shared" si="4"/>
        <v>9218</v>
      </c>
      <c r="J30" s="256">
        <v>70</v>
      </c>
      <c r="K30" s="107">
        <f t="shared" si="5"/>
        <v>5866</v>
      </c>
      <c r="L30" s="108">
        <f t="shared" si="3"/>
        <v>15084</v>
      </c>
      <c r="M30" s="366"/>
      <c r="O30" s="427"/>
      <c r="P30" s="427"/>
      <c r="Q30" s="433"/>
      <c r="R30" s="433"/>
      <c r="S30" s="428"/>
      <c r="T30" s="428"/>
      <c r="U30" s="434"/>
    </row>
    <row r="31" spans="1:21" s="7" customFormat="1" ht="23.25" customHeight="1">
      <c r="A31" s="312" t="s">
        <v>375</v>
      </c>
      <c r="B31" s="354" t="s">
        <v>383</v>
      </c>
      <c r="C31" s="252" t="s">
        <v>63</v>
      </c>
      <c r="D31" s="354"/>
      <c r="E31" s="354"/>
      <c r="F31" s="354"/>
      <c r="G31" s="354">
        <v>106.3</v>
      </c>
      <c r="H31" s="354">
        <v>100</v>
      </c>
      <c r="I31" s="107">
        <f t="shared" si="4"/>
        <v>10630</v>
      </c>
      <c r="J31" s="354">
        <v>100</v>
      </c>
      <c r="K31" s="107">
        <f t="shared" si="5"/>
        <v>10630</v>
      </c>
      <c r="L31" s="108">
        <f t="shared" si="3"/>
        <v>21260</v>
      </c>
      <c r="M31" s="367"/>
      <c r="O31" s="427"/>
      <c r="P31" s="427"/>
      <c r="Q31" s="433"/>
      <c r="R31" s="433"/>
      <c r="S31" s="428"/>
      <c r="T31" s="428"/>
      <c r="U31" s="434"/>
    </row>
    <row r="32" spans="1:21" s="7" customFormat="1" ht="21" customHeight="1" thickBot="1">
      <c r="A32" s="412"/>
      <c r="B32" s="413"/>
      <c r="C32" s="414"/>
      <c r="D32" s="415"/>
      <c r="E32" s="416"/>
      <c r="F32" s="417"/>
      <c r="G32" s="417"/>
      <c r="H32" s="418"/>
      <c r="I32" s="115">
        <f t="shared" si="4"/>
        <v>0</v>
      </c>
      <c r="J32" s="418"/>
      <c r="K32" s="115">
        <f t="shared" si="5"/>
        <v>0</v>
      </c>
      <c r="L32" s="116">
        <f t="shared" si="3"/>
        <v>0</v>
      </c>
      <c r="M32" s="419" t="s">
        <v>33</v>
      </c>
      <c r="O32" s="427"/>
      <c r="P32" s="427"/>
      <c r="Q32" s="433"/>
      <c r="R32" s="433"/>
      <c r="S32" s="428"/>
      <c r="T32" s="428"/>
      <c r="U32" s="434"/>
    </row>
    <row r="33" spans="1:21" s="7" customFormat="1" ht="20.100000000000001" customHeight="1" thickTop="1" thickBot="1">
      <c r="A33" s="289"/>
      <c r="B33" s="272" t="s">
        <v>103</v>
      </c>
      <c r="C33" s="273"/>
      <c r="D33" s="274"/>
      <c r="E33" s="275"/>
      <c r="F33" s="275"/>
      <c r="G33" s="275"/>
      <c r="H33" s="276"/>
      <c r="I33" s="277">
        <f>SUM(I20:I32)</f>
        <v>526388</v>
      </c>
      <c r="J33" s="276"/>
      <c r="K33" s="277">
        <f>SUM(K20:K32)</f>
        <v>379412</v>
      </c>
      <c r="L33" s="277">
        <f>SUM(L20:L32)</f>
        <v>905800</v>
      </c>
      <c r="M33" s="278"/>
      <c r="O33" s="427"/>
      <c r="P33" s="427"/>
      <c r="Q33" s="433"/>
      <c r="R33" s="433"/>
      <c r="S33" s="428"/>
      <c r="T33" s="428"/>
      <c r="U33" s="434"/>
    </row>
    <row r="34" spans="1:21" s="1" customFormat="1" ht="20.100000000000001" customHeight="1" thickTop="1">
      <c r="A34" s="368"/>
      <c r="M34" s="369"/>
      <c r="O34" s="427"/>
      <c r="P34" s="427"/>
      <c r="Q34" s="433"/>
      <c r="R34" s="433"/>
      <c r="S34" s="428"/>
      <c r="T34" s="428"/>
      <c r="U34" s="434"/>
    </row>
    <row r="35" spans="1:21" s="7" customFormat="1" ht="23.25" customHeight="1">
      <c r="A35" s="119" t="s">
        <v>17</v>
      </c>
      <c r="B35" s="402" t="s">
        <v>157</v>
      </c>
      <c r="C35" s="91"/>
      <c r="D35" s="169"/>
      <c r="E35" s="171">
        <f>SUM(E36:E38)</f>
        <v>749</v>
      </c>
      <c r="F35" s="171">
        <f>SUM(F36:F38)</f>
        <v>0</v>
      </c>
      <c r="G35" s="73"/>
      <c r="H35" s="121"/>
      <c r="I35" s="121"/>
      <c r="J35" s="392"/>
      <c r="K35" s="392"/>
      <c r="L35" s="75"/>
      <c r="M35" s="422"/>
      <c r="O35" s="427"/>
      <c r="P35" s="427"/>
      <c r="Q35" s="433"/>
      <c r="R35" s="433"/>
      <c r="S35" s="428"/>
      <c r="T35" s="428"/>
      <c r="U35" s="434"/>
    </row>
    <row r="36" spans="1:21" s="7" customFormat="1" ht="52.5" customHeight="1">
      <c r="A36" s="398" t="s">
        <v>104</v>
      </c>
      <c r="B36" s="403" t="s">
        <v>204</v>
      </c>
      <c r="C36" s="400" t="s">
        <v>63</v>
      </c>
      <c r="D36" s="96">
        <v>0</v>
      </c>
      <c r="E36" s="97">
        <v>608</v>
      </c>
      <c r="F36" s="97"/>
      <c r="G36" s="106">
        <v>135.6</v>
      </c>
      <c r="H36" s="98">
        <v>480</v>
      </c>
      <c r="I36" s="391">
        <f t="shared" ref="I36:I41" si="6">G36*H36</f>
        <v>65088</v>
      </c>
      <c r="J36" s="393"/>
      <c r="K36" s="396"/>
      <c r="L36" s="420">
        <f t="shared" ref="L36:L101" si="7">SUM(I36+K36)</f>
        <v>65088</v>
      </c>
      <c r="M36" s="423"/>
      <c r="O36" s="437">
        <f t="shared" ref="O36:O37" si="8">H36-250</f>
        <v>230</v>
      </c>
      <c r="P36" s="427">
        <f t="shared" ref="P36:P37" si="9">G36*O36</f>
        <v>31188</v>
      </c>
      <c r="Q36" s="433"/>
      <c r="R36" s="433"/>
      <c r="S36" s="436">
        <f t="shared" ref="S36:S37" si="10">H36+200</f>
        <v>680</v>
      </c>
      <c r="T36" s="428">
        <f t="shared" ref="T36:T37" si="11">G36*S36</f>
        <v>92208</v>
      </c>
      <c r="U36" s="428"/>
    </row>
    <row r="37" spans="1:21" s="7" customFormat="1" ht="53.25" customHeight="1">
      <c r="A37" s="399" t="s">
        <v>105</v>
      </c>
      <c r="B37" s="404" t="s">
        <v>205</v>
      </c>
      <c r="C37" s="401" t="s">
        <v>63</v>
      </c>
      <c r="D37" s="104">
        <v>0</v>
      </c>
      <c r="E37" s="105">
        <v>110</v>
      </c>
      <c r="F37" s="105"/>
      <c r="G37" s="106">
        <v>72.23</v>
      </c>
      <c r="H37" s="106">
        <v>510</v>
      </c>
      <c r="I37" s="391">
        <f t="shared" si="6"/>
        <v>36837.300000000003</v>
      </c>
      <c r="J37" s="394"/>
      <c r="K37" s="256"/>
      <c r="L37" s="420">
        <f t="shared" si="7"/>
        <v>36837.300000000003</v>
      </c>
      <c r="M37" s="424"/>
      <c r="O37" s="437">
        <f t="shared" si="8"/>
        <v>260</v>
      </c>
      <c r="P37" s="427">
        <f t="shared" si="9"/>
        <v>18779.8</v>
      </c>
      <c r="Q37" s="433"/>
      <c r="R37" s="433"/>
      <c r="S37" s="436">
        <f t="shared" si="10"/>
        <v>710</v>
      </c>
      <c r="T37" s="428">
        <f t="shared" si="11"/>
        <v>51283.3</v>
      </c>
      <c r="U37" s="434"/>
    </row>
    <row r="38" spans="1:21" s="7" customFormat="1" ht="56.25" customHeight="1">
      <c r="A38" s="399" t="s">
        <v>106</v>
      </c>
      <c r="B38" s="403" t="s">
        <v>206</v>
      </c>
      <c r="C38" s="401" t="s">
        <v>63</v>
      </c>
      <c r="D38" s="104">
        <v>0</v>
      </c>
      <c r="E38" s="105">
        <v>31</v>
      </c>
      <c r="F38" s="105"/>
      <c r="G38" s="106">
        <v>170</v>
      </c>
      <c r="H38" s="106">
        <v>375</v>
      </c>
      <c r="I38" s="391">
        <f t="shared" si="6"/>
        <v>63750</v>
      </c>
      <c r="J38" s="394"/>
      <c r="K38" s="256"/>
      <c r="L38" s="420">
        <f t="shared" si="7"/>
        <v>63750</v>
      </c>
      <c r="M38" s="425"/>
      <c r="O38" s="437">
        <f>H38-250</f>
        <v>125</v>
      </c>
      <c r="P38" s="427">
        <f>G38*O38</f>
        <v>21250</v>
      </c>
      <c r="Q38" s="433"/>
      <c r="R38" s="433"/>
      <c r="S38" s="436">
        <f>H38+200</f>
        <v>575</v>
      </c>
      <c r="T38" s="428">
        <f>G38*S38</f>
        <v>97750</v>
      </c>
      <c r="U38" s="434"/>
    </row>
    <row r="39" spans="1:21" s="7" customFormat="1" ht="20.100000000000001" customHeight="1" thickBot="1">
      <c r="A39" s="398" t="s">
        <v>440</v>
      </c>
      <c r="B39" s="403" t="s">
        <v>445</v>
      </c>
      <c r="C39" s="401" t="s">
        <v>63</v>
      </c>
      <c r="D39" s="112"/>
      <c r="E39" s="113"/>
      <c r="F39" s="114"/>
      <c r="G39" s="106">
        <v>9.43</v>
      </c>
      <c r="H39" s="106">
        <v>10</v>
      </c>
      <c r="I39" s="391">
        <f t="shared" si="6"/>
        <v>94.3</v>
      </c>
      <c r="J39" s="395"/>
      <c r="K39" s="397"/>
      <c r="L39" s="420">
        <f t="shared" ref="L39:L41" si="12">SUM(I39+K39)</f>
        <v>94.3</v>
      </c>
      <c r="M39" s="425" t="s">
        <v>33</v>
      </c>
      <c r="O39" s="437"/>
      <c r="P39" s="427"/>
      <c r="Q39" s="433"/>
      <c r="R39" s="433"/>
      <c r="S39" s="436"/>
      <c r="T39" s="428"/>
      <c r="U39" s="434"/>
    </row>
    <row r="40" spans="1:21" s="7" customFormat="1" ht="52.5" customHeight="1" thickTop="1">
      <c r="A40" s="399" t="s">
        <v>441</v>
      </c>
      <c r="B40" s="403" t="s">
        <v>443</v>
      </c>
      <c r="C40" s="400" t="s">
        <v>63</v>
      </c>
      <c r="D40" s="96">
        <v>0</v>
      </c>
      <c r="E40" s="97">
        <v>608</v>
      </c>
      <c r="F40" s="97"/>
      <c r="G40" s="106">
        <v>266.60000000000002</v>
      </c>
      <c r="H40" s="98">
        <v>180</v>
      </c>
      <c r="I40" s="391">
        <f t="shared" si="6"/>
        <v>47988.000000000007</v>
      </c>
      <c r="J40" s="394"/>
      <c r="K40" s="256"/>
      <c r="L40" s="420">
        <f t="shared" si="12"/>
        <v>47988.000000000007</v>
      </c>
      <c r="M40" s="425"/>
      <c r="O40" s="437"/>
      <c r="P40" s="427"/>
      <c r="Q40" s="433"/>
      <c r="R40" s="433"/>
      <c r="S40" s="436"/>
      <c r="T40" s="428"/>
      <c r="U40" s="434"/>
    </row>
    <row r="41" spans="1:21" s="7" customFormat="1" ht="53.25" customHeight="1" thickBot="1">
      <c r="A41" s="399" t="s">
        <v>442</v>
      </c>
      <c r="B41" s="404" t="s">
        <v>444</v>
      </c>
      <c r="C41" s="406" t="s">
        <v>63</v>
      </c>
      <c r="D41" s="219">
        <v>0</v>
      </c>
      <c r="E41" s="220">
        <v>110</v>
      </c>
      <c r="F41" s="220"/>
      <c r="G41" s="221">
        <v>28</v>
      </c>
      <c r="H41" s="221">
        <v>210</v>
      </c>
      <c r="I41" s="407">
        <f t="shared" si="6"/>
        <v>5880</v>
      </c>
      <c r="J41" s="394"/>
      <c r="K41" s="256"/>
      <c r="L41" s="421">
        <f t="shared" si="12"/>
        <v>5880</v>
      </c>
      <c r="M41" s="426"/>
      <c r="O41" s="427"/>
      <c r="P41" s="427"/>
      <c r="Q41" s="433"/>
      <c r="R41" s="433"/>
      <c r="S41" s="428"/>
      <c r="T41" s="428"/>
      <c r="U41" s="434"/>
    </row>
    <row r="42" spans="1:21" s="1" customFormat="1" ht="20.100000000000001" customHeight="1" thickTop="1" thickBot="1">
      <c r="A42" s="44"/>
      <c r="B42" s="272" t="s">
        <v>107</v>
      </c>
      <c r="C42" s="408"/>
      <c r="D42" s="409"/>
      <c r="E42" s="410"/>
      <c r="F42" s="410"/>
      <c r="G42" s="410"/>
      <c r="H42" s="411"/>
      <c r="I42" s="405">
        <f>SUM(I36:I41)</f>
        <v>219637.59999999998</v>
      </c>
      <c r="J42" s="411"/>
      <c r="K42" s="405"/>
      <c r="L42" s="405">
        <f>SUM(L36:L41)</f>
        <v>219637.59999999998</v>
      </c>
      <c r="M42" s="278" t="s">
        <v>33</v>
      </c>
      <c r="N42" s="449">
        <f>SUM(L36:L38)</f>
        <v>165675.29999999999</v>
      </c>
      <c r="O42" s="427"/>
      <c r="P42" s="427">
        <f>SUM(P36:P41)</f>
        <v>71217.8</v>
      </c>
      <c r="Q42" s="435">
        <f>N42-P42</f>
        <v>94457.499999999985</v>
      </c>
      <c r="R42" s="435"/>
      <c r="S42" s="428"/>
      <c r="T42" s="428">
        <f>SUM(T36:T41)</f>
        <v>241241.3</v>
      </c>
      <c r="U42" s="436">
        <f>N42-T42</f>
        <v>-75566</v>
      </c>
    </row>
    <row r="43" spans="1:21" s="7" customFormat="1" ht="20.100000000000001" customHeight="1" thickTop="1">
      <c r="A43" s="141" t="s">
        <v>18</v>
      </c>
      <c r="B43" s="89" t="s">
        <v>158</v>
      </c>
      <c r="C43" s="65"/>
      <c r="D43" s="66"/>
      <c r="E43" s="142"/>
      <c r="F43" s="118"/>
      <c r="G43" s="67"/>
      <c r="H43" s="182"/>
      <c r="I43" s="182"/>
      <c r="J43" s="182"/>
      <c r="K43" s="182"/>
      <c r="L43" s="108">
        <f t="shared" si="7"/>
        <v>0</v>
      </c>
      <c r="M43" s="183"/>
      <c r="O43" s="427"/>
      <c r="P43" s="427"/>
      <c r="Q43" s="433"/>
      <c r="R43" s="433"/>
      <c r="S43" s="428"/>
      <c r="T43" s="428"/>
      <c r="U43" s="434"/>
    </row>
    <row r="44" spans="1:21" s="7" customFormat="1" ht="20.100000000000001" customHeight="1">
      <c r="A44" s="184" t="s">
        <v>108</v>
      </c>
      <c r="B44" s="216" t="s">
        <v>207</v>
      </c>
      <c r="C44" s="103" t="s">
        <v>63</v>
      </c>
      <c r="D44" s="104">
        <v>0</v>
      </c>
      <c r="E44" s="105" t="e">
        <f>E20/2</f>
        <v>#REF!</v>
      </c>
      <c r="F44" s="106"/>
      <c r="G44" s="106">
        <v>285.2</v>
      </c>
      <c r="H44" s="106">
        <v>27</v>
      </c>
      <c r="I44" s="107">
        <f t="shared" ref="I44:I50" si="13">G44*H44</f>
        <v>7700.4</v>
      </c>
      <c r="J44" s="107">
        <v>29</v>
      </c>
      <c r="K44" s="107">
        <f>G44*J44</f>
        <v>8270.7999999999993</v>
      </c>
      <c r="L44" s="108">
        <f t="shared" si="7"/>
        <v>15971.199999999999</v>
      </c>
      <c r="M44" s="77"/>
      <c r="O44" s="427"/>
      <c r="P44" s="427"/>
      <c r="Q44" s="433"/>
      <c r="R44" s="433"/>
      <c r="S44" s="428"/>
      <c r="T44" s="428"/>
      <c r="U44" s="434"/>
    </row>
    <row r="45" spans="1:21" s="7" customFormat="1" ht="20.100000000000001" customHeight="1">
      <c r="A45" s="184" t="s">
        <v>109</v>
      </c>
      <c r="B45" s="216" t="s">
        <v>208</v>
      </c>
      <c r="C45" s="103" t="s">
        <v>63</v>
      </c>
      <c r="D45" s="104">
        <v>0</v>
      </c>
      <c r="E45" s="105" t="e">
        <f>E20/2</f>
        <v>#REF!</v>
      </c>
      <c r="F45" s="106"/>
      <c r="G45" s="106">
        <v>482.5</v>
      </c>
      <c r="H45" s="106">
        <v>30</v>
      </c>
      <c r="I45" s="107">
        <f t="shared" si="13"/>
        <v>14475</v>
      </c>
      <c r="J45" s="107">
        <v>29</v>
      </c>
      <c r="K45" s="107">
        <f t="shared" ref="K45:K50" si="14">G45*J45</f>
        <v>13992.5</v>
      </c>
      <c r="L45" s="108">
        <f t="shared" si="7"/>
        <v>28467.5</v>
      </c>
      <c r="M45" s="77"/>
      <c r="O45" s="427"/>
      <c r="P45" s="427"/>
      <c r="Q45" s="433"/>
      <c r="R45" s="433"/>
      <c r="S45" s="428"/>
      <c r="T45" s="428"/>
      <c r="U45" s="434"/>
    </row>
    <row r="46" spans="1:21" s="7" customFormat="1" ht="20.100000000000001" customHeight="1">
      <c r="A46" s="184" t="s">
        <v>110</v>
      </c>
      <c r="B46" s="216" t="s">
        <v>209</v>
      </c>
      <c r="C46" s="103" t="s">
        <v>63</v>
      </c>
      <c r="D46" s="104">
        <v>0</v>
      </c>
      <c r="E46" s="105" t="e">
        <f>#REF!+#REF!+E36+#REF!-26</f>
        <v>#REF!</v>
      </c>
      <c r="F46" s="105"/>
      <c r="G46" s="106">
        <v>590</v>
      </c>
      <c r="H46" s="106">
        <v>30</v>
      </c>
      <c r="I46" s="107">
        <f t="shared" si="13"/>
        <v>17700</v>
      </c>
      <c r="J46" s="107">
        <v>30</v>
      </c>
      <c r="K46" s="107">
        <f t="shared" si="14"/>
        <v>17700</v>
      </c>
      <c r="L46" s="108">
        <f t="shared" si="7"/>
        <v>35400</v>
      </c>
      <c r="M46" s="77"/>
      <c r="O46" s="427"/>
      <c r="P46" s="427"/>
      <c r="Q46" s="433"/>
      <c r="R46" s="433"/>
      <c r="S46" s="428"/>
      <c r="T46" s="428"/>
      <c r="U46" s="434"/>
    </row>
    <row r="47" spans="1:21" s="7" customFormat="1" ht="20.100000000000001" customHeight="1">
      <c r="A47" s="184" t="s">
        <v>111</v>
      </c>
      <c r="B47" s="216" t="s">
        <v>210</v>
      </c>
      <c r="C47" s="103" t="s">
        <v>63</v>
      </c>
      <c r="D47" s="104">
        <v>0</v>
      </c>
      <c r="E47" s="105" t="e">
        <f>#REF!+#REF!+E37+#REF!-26</f>
        <v>#REF!</v>
      </c>
      <c r="F47" s="105"/>
      <c r="G47" s="106">
        <v>360</v>
      </c>
      <c r="H47" s="106">
        <v>35</v>
      </c>
      <c r="I47" s="107">
        <f t="shared" si="13"/>
        <v>12600</v>
      </c>
      <c r="J47" s="107">
        <v>36</v>
      </c>
      <c r="K47" s="107">
        <f t="shared" si="14"/>
        <v>12960</v>
      </c>
      <c r="L47" s="108">
        <f t="shared" si="7"/>
        <v>25560</v>
      </c>
      <c r="M47" s="77"/>
      <c r="O47" s="427"/>
      <c r="P47" s="427"/>
      <c r="Q47" s="433"/>
      <c r="R47" s="433"/>
      <c r="S47" s="428"/>
      <c r="T47" s="428"/>
      <c r="U47" s="434"/>
    </row>
    <row r="48" spans="1:21" s="7" customFormat="1" ht="20.100000000000001" customHeight="1">
      <c r="A48" s="184" t="s">
        <v>0</v>
      </c>
      <c r="B48" s="187" t="s">
        <v>173</v>
      </c>
      <c r="C48" s="103" t="s">
        <v>165</v>
      </c>
      <c r="D48" s="104">
        <v>0</v>
      </c>
      <c r="E48" s="105" t="e">
        <f>#REF!</f>
        <v>#REF!</v>
      </c>
      <c r="F48" s="106"/>
      <c r="G48" s="106">
        <v>53</v>
      </c>
      <c r="H48" s="106">
        <v>35</v>
      </c>
      <c r="I48" s="107">
        <f t="shared" si="13"/>
        <v>1855</v>
      </c>
      <c r="J48" s="107">
        <v>25</v>
      </c>
      <c r="K48" s="107">
        <f t="shared" si="14"/>
        <v>1325</v>
      </c>
      <c r="L48" s="108">
        <f t="shared" si="7"/>
        <v>3180</v>
      </c>
      <c r="M48" s="77"/>
      <c r="O48" s="427"/>
      <c r="P48" s="427"/>
      <c r="Q48" s="433"/>
      <c r="R48" s="433"/>
      <c r="S48" s="428"/>
      <c r="T48" s="428"/>
      <c r="U48" s="434"/>
    </row>
    <row r="49" spans="1:21" s="7" customFormat="1" ht="20.100000000000001" customHeight="1">
      <c r="A49" s="184" t="s">
        <v>172</v>
      </c>
      <c r="B49" s="224" t="s">
        <v>185</v>
      </c>
      <c r="C49" s="103" t="s">
        <v>165</v>
      </c>
      <c r="D49" s="104">
        <v>0</v>
      </c>
      <c r="E49" s="105" t="e">
        <f>#REF!</f>
        <v>#REF!</v>
      </c>
      <c r="F49" s="105"/>
      <c r="G49" s="106">
        <v>138</v>
      </c>
      <c r="H49" s="106">
        <v>30</v>
      </c>
      <c r="I49" s="107">
        <f t="shared" si="13"/>
        <v>4140</v>
      </c>
      <c r="J49" s="107">
        <v>20</v>
      </c>
      <c r="K49" s="107">
        <f t="shared" si="14"/>
        <v>2760</v>
      </c>
      <c r="L49" s="108">
        <f t="shared" si="7"/>
        <v>6900</v>
      </c>
      <c r="M49" s="77"/>
      <c r="O49" s="427"/>
      <c r="P49" s="427"/>
      <c r="Q49" s="433"/>
      <c r="R49" s="433"/>
      <c r="S49" s="428"/>
      <c r="T49" s="428"/>
      <c r="U49" s="434"/>
    </row>
    <row r="50" spans="1:21" s="7" customFormat="1" ht="20.100000000000001" customHeight="1">
      <c r="A50" s="184" t="s">
        <v>361</v>
      </c>
      <c r="B50" s="224" t="s">
        <v>163</v>
      </c>
      <c r="C50" s="103" t="s">
        <v>160</v>
      </c>
      <c r="D50" s="104">
        <v>0</v>
      </c>
      <c r="E50" s="105" t="e">
        <f>#REF!</f>
        <v>#REF!</v>
      </c>
      <c r="F50" s="106"/>
      <c r="G50" s="106">
        <v>1</v>
      </c>
      <c r="H50" s="106">
        <v>3000</v>
      </c>
      <c r="I50" s="107">
        <f t="shared" si="13"/>
        <v>3000</v>
      </c>
      <c r="J50" s="107"/>
      <c r="K50" s="107">
        <f t="shared" si="14"/>
        <v>0</v>
      </c>
      <c r="L50" s="108">
        <f t="shared" si="7"/>
        <v>3000</v>
      </c>
      <c r="M50" s="109"/>
      <c r="O50" s="427"/>
      <c r="P50" s="427"/>
      <c r="Q50" s="433"/>
      <c r="R50" s="433"/>
      <c r="S50" s="428"/>
      <c r="T50" s="428"/>
      <c r="U50" s="434"/>
    </row>
    <row r="51" spans="1:21" s="1" customFormat="1" ht="20.100000000000001" customHeight="1" thickBot="1">
      <c r="A51" s="225"/>
      <c r="B51" s="281"/>
      <c r="C51" s="111"/>
      <c r="D51" s="112"/>
      <c r="E51" s="113"/>
      <c r="F51" s="114"/>
      <c r="G51" s="114"/>
      <c r="H51" s="114"/>
      <c r="I51" s="115"/>
      <c r="J51" s="115"/>
      <c r="K51" s="115"/>
      <c r="L51" s="116">
        <f t="shared" si="7"/>
        <v>0</v>
      </c>
      <c r="M51" s="117"/>
      <c r="O51" s="427"/>
      <c r="P51" s="427"/>
      <c r="Q51" s="433"/>
      <c r="R51" s="433"/>
      <c r="S51" s="428"/>
      <c r="T51" s="428"/>
      <c r="U51" s="434"/>
    </row>
    <row r="52" spans="1:21" s="1" customFormat="1" ht="20.100000000000001" customHeight="1" thickTop="1" thickBot="1">
      <c r="A52" s="271"/>
      <c r="B52" s="272" t="s">
        <v>196</v>
      </c>
      <c r="C52" s="273"/>
      <c r="D52" s="274"/>
      <c r="E52" s="275"/>
      <c r="F52" s="275"/>
      <c r="G52" s="275"/>
      <c r="H52" s="276"/>
      <c r="I52" s="277">
        <f>SUM(I44:I51)</f>
        <v>61470.400000000001</v>
      </c>
      <c r="J52" s="276"/>
      <c r="K52" s="277">
        <f>SUM(K44:K51)</f>
        <v>57008.3</v>
      </c>
      <c r="L52" s="277">
        <f>SUM(L44:L51)</f>
        <v>118478.7</v>
      </c>
      <c r="M52" s="278"/>
      <c r="O52" s="427"/>
      <c r="P52" s="427"/>
      <c r="Q52" s="433"/>
      <c r="R52" s="433"/>
      <c r="S52" s="428"/>
      <c r="T52" s="428"/>
      <c r="U52" s="434"/>
    </row>
    <row r="53" spans="1:21" s="1" customFormat="1" ht="20.100000000000001" customHeight="1" thickTop="1">
      <c r="A53" s="119" t="s">
        <v>19</v>
      </c>
      <c r="B53" s="120" t="s">
        <v>374</v>
      </c>
      <c r="C53" s="91"/>
      <c r="D53" s="92"/>
      <c r="E53" s="93"/>
      <c r="F53" s="73"/>
      <c r="G53" s="73"/>
      <c r="H53" s="121"/>
      <c r="I53" s="121"/>
      <c r="J53" s="121"/>
      <c r="K53" s="121"/>
      <c r="L53" s="108">
        <f t="shared" si="7"/>
        <v>0</v>
      </c>
      <c r="M53" s="122"/>
      <c r="O53" s="427"/>
      <c r="P53" s="427"/>
      <c r="Q53" s="427"/>
      <c r="R53" s="427"/>
      <c r="S53" s="428"/>
      <c r="T53" s="428"/>
      <c r="U53" s="428"/>
    </row>
    <row r="54" spans="1:21" s="1" customFormat="1" ht="20.100000000000001" customHeight="1">
      <c r="A54" s="78" t="s">
        <v>112</v>
      </c>
      <c r="B54" s="94" t="s">
        <v>170</v>
      </c>
      <c r="C54" s="80"/>
      <c r="D54" s="81"/>
      <c r="E54" s="156"/>
      <c r="F54" s="98"/>
      <c r="G54" s="82"/>
      <c r="H54" s="170"/>
      <c r="I54" s="170"/>
      <c r="J54" s="170"/>
      <c r="K54" s="170"/>
      <c r="L54" s="108">
        <f t="shared" si="7"/>
        <v>0</v>
      </c>
      <c r="M54" s="100"/>
      <c r="O54" s="427"/>
      <c r="P54" s="427"/>
      <c r="Q54" s="427"/>
      <c r="R54" s="427"/>
      <c r="S54" s="428"/>
      <c r="T54" s="428"/>
      <c r="U54" s="428"/>
    </row>
    <row r="55" spans="1:21" s="1" customFormat="1" ht="20.100000000000001" customHeight="1">
      <c r="A55" s="184" t="s">
        <v>113</v>
      </c>
      <c r="B55" s="185" t="s">
        <v>186</v>
      </c>
      <c r="C55" s="103" t="s">
        <v>114</v>
      </c>
      <c r="D55" s="104"/>
      <c r="E55" s="105"/>
      <c r="F55" s="106"/>
      <c r="G55" s="106">
        <v>4</v>
      </c>
      <c r="H55" s="106">
        <v>8200</v>
      </c>
      <c r="I55" s="107">
        <f t="shared" ref="I55:I71" si="15">G55*H55</f>
        <v>32800</v>
      </c>
      <c r="J55" s="107"/>
      <c r="K55" s="107"/>
      <c r="L55" s="108">
        <f t="shared" si="7"/>
        <v>32800</v>
      </c>
      <c r="M55" s="109" t="s">
        <v>33</v>
      </c>
      <c r="O55" s="427"/>
      <c r="P55" s="427"/>
      <c r="Q55" s="427"/>
      <c r="R55" s="427"/>
      <c r="S55" s="428"/>
      <c r="T55" s="428"/>
      <c r="U55" s="428"/>
    </row>
    <row r="56" spans="1:21" s="7" customFormat="1" ht="18.899999999999999" customHeight="1">
      <c r="A56" s="148" t="s">
        <v>115</v>
      </c>
      <c r="B56" s="450" t="s">
        <v>187</v>
      </c>
      <c r="C56" s="150" t="s">
        <v>114</v>
      </c>
      <c r="D56" s="151"/>
      <c r="E56" s="152"/>
      <c r="F56" s="153"/>
      <c r="G56" s="153">
        <v>4</v>
      </c>
      <c r="H56" s="153">
        <v>16912.5</v>
      </c>
      <c r="I56" s="123">
        <f t="shared" si="15"/>
        <v>67650</v>
      </c>
      <c r="J56" s="260"/>
      <c r="K56" s="260"/>
      <c r="L56" s="154">
        <f t="shared" si="7"/>
        <v>67650</v>
      </c>
      <c r="M56" s="109" t="s">
        <v>33</v>
      </c>
      <c r="O56" s="435">
        <f>H56/2500</f>
        <v>6.7649999999999997</v>
      </c>
      <c r="P56" s="435">
        <f>O56*2300</f>
        <v>15559.5</v>
      </c>
      <c r="Q56" s="427">
        <f>G56*P56</f>
        <v>62238</v>
      </c>
      <c r="R56" s="427"/>
      <c r="S56" s="436">
        <f>O56*3200</f>
        <v>21648</v>
      </c>
      <c r="T56" s="428">
        <f t="shared" ref="T56" si="16">G56*S56</f>
        <v>86592</v>
      </c>
      <c r="U56" s="428"/>
    </row>
    <row r="57" spans="1:21" s="7" customFormat="1" ht="18.899999999999999" customHeight="1">
      <c r="A57" s="148" t="s">
        <v>116</v>
      </c>
      <c r="B57" s="450" t="s">
        <v>188</v>
      </c>
      <c r="C57" s="150" t="s">
        <v>114</v>
      </c>
      <c r="D57" s="151">
        <v>0</v>
      </c>
      <c r="E57" s="152">
        <v>6</v>
      </c>
      <c r="F57" s="153"/>
      <c r="G57" s="153">
        <v>8</v>
      </c>
      <c r="H57" s="153">
        <v>12500</v>
      </c>
      <c r="I57" s="123">
        <f t="shared" si="15"/>
        <v>100000</v>
      </c>
      <c r="J57" s="260"/>
      <c r="K57" s="260"/>
      <c r="L57" s="154">
        <f t="shared" si="7"/>
        <v>100000</v>
      </c>
      <c r="M57" s="109"/>
      <c r="O57" s="435">
        <f>H57/2500</f>
        <v>5</v>
      </c>
      <c r="P57" s="435">
        <f>O57*2300</f>
        <v>11500</v>
      </c>
      <c r="Q57" s="427">
        <f>G57*P57</f>
        <v>92000</v>
      </c>
      <c r="R57" s="427"/>
      <c r="S57" s="436">
        <f>O57*3200</f>
        <v>16000</v>
      </c>
      <c r="T57" s="428">
        <f t="shared" ref="T57:T62" si="17">G57*S57</f>
        <v>128000</v>
      </c>
      <c r="U57" s="428"/>
    </row>
    <row r="58" spans="1:21" s="7" customFormat="1" ht="18.899999999999999" customHeight="1">
      <c r="A58" s="184" t="s">
        <v>117</v>
      </c>
      <c r="B58" s="185" t="s">
        <v>189</v>
      </c>
      <c r="C58" s="103" t="s">
        <v>114</v>
      </c>
      <c r="D58" s="104"/>
      <c r="E58" s="105"/>
      <c r="F58" s="106"/>
      <c r="G58" s="106">
        <v>12</v>
      </c>
      <c r="H58" s="106">
        <v>5535</v>
      </c>
      <c r="I58" s="107">
        <f t="shared" si="15"/>
        <v>66420</v>
      </c>
      <c r="J58" s="260"/>
      <c r="K58" s="260"/>
      <c r="L58" s="108">
        <f t="shared" si="7"/>
        <v>66420</v>
      </c>
      <c r="M58" s="109"/>
      <c r="O58" s="435"/>
      <c r="P58" s="435"/>
      <c r="Q58" s="427"/>
      <c r="R58" s="427"/>
      <c r="S58" s="436"/>
      <c r="T58" s="428"/>
      <c r="U58" s="434"/>
    </row>
    <row r="59" spans="1:21" s="7" customFormat="1" ht="18.899999999999999" customHeight="1">
      <c r="A59" s="184" t="s">
        <v>118</v>
      </c>
      <c r="B59" s="185" t="s">
        <v>190</v>
      </c>
      <c r="C59" s="103" t="s">
        <v>114</v>
      </c>
      <c r="D59" s="104"/>
      <c r="E59" s="105"/>
      <c r="F59" s="106"/>
      <c r="G59" s="106">
        <v>12</v>
      </c>
      <c r="H59" s="106">
        <v>4612.5</v>
      </c>
      <c r="I59" s="107">
        <f t="shared" si="15"/>
        <v>55350</v>
      </c>
      <c r="J59" s="107"/>
      <c r="K59" s="107"/>
      <c r="L59" s="108">
        <f t="shared" si="7"/>
        <v>55350</v>
      </c>
      <c r="M59" s="109"/>
      <c r="O59" s="435"/>
      <c r="P59" s="435"/>
      <c r="Q59" s="427"/>
      <c r="R59" s="427"/>
      <c r="S59" s="436"/>
      <c r="T59" s="428"/>
      <c r="U59" s="434"/>
    </row>
    <row r="60" spans="1:21" s="7" customFormat="1" ht="18.899999999999999" customHeight="1">
      <c r="A60" s="184" t="s">
        <v>119</v>
      </c>
      <c r="B60" s="185" t="s">
        <v>191</v>
      </c>
      <c r="C60" s="103" t="s">
        <v>114</v>
      </c>
      <c r="D60" s="104">
        <v>0</v>
      </c>
      <c r="E60" s="105"/>
      <c r="F60" s="106"/>
      <c r="G60" s="106">
        <v>8</v>
      </c>
      <c r="H60" s="106">
        <v>4612.5</v>
      </c>
      <c r="I60" s="107">
        <f t="shared" si="15"/>
        <v>36900</v>
      </c>
      <c r="J60" s="107"/>
      <c r="K60" s="107"/>
      <c r="L60" s="108">
        <f t="shared" si="7"/>
        <v>36900</v>
      </c>
      <c r="M60" s="109"/>
      <c r="O60" s="435"/>
      <c r="P60" s="435"/>
      <c r="Q60" s="427"/>
      <c r="R60" s="427"/>
      <c r="S60" s="436"/>
      <c r="T60" s="428"/>
      <c r="U60" s="434"/>
    </row>
    <row r="61" spans="1:21" s="7" customFormat="1" ht="18.899999999999999" customHeight="1">
      <c r="A61" s="184" t="s">
        <v>376</v>
      </c>
      <c r="B61" s="185" t="s">
        <v>377</v>
      </c>
      <c r="C61" s="103" t="s">
        <v>114</v>
      </c>
      <c r="D61" s="104">
        <v>0</v>
      </c>
      <c r="E61" s="105">
        <f>22+6</f>
        <v>28</v>
      </c>
      <c r="F61" s="106"/>
      <c r="G61" s="106">
        <v>4</v>
      </c>
      <c r="H61" s="106">
        <v>2625</v>
      </c>
      <c r="I61" s="107">
        <f t="shared" si="15"/>
        <v>10500</v>
      </c>
      <c r="J61" s="107"/>
      <c r="K61" s="107"/>
      <c r="L61" s="108">
        <f t="shared" si="7"/>
        <v>10500</v>
      </c>
      <c r="M61" s="109"/>
      <c r="O61" s="435"/>
      <c r="P61" s="435"/>
      <c r="Q61" s="427"/>
      <c r="R61" s="427"/>
      <c r="S61" s="436"/>
      <c r="T61" s="428"/>
      <c r="U61" s="434"/>
    </row>
    <row r="62" spans="1:21" s="7" customFormat="1" ht="18.899999999999999" customHeight="1">
      <c r="A62" s="148" t="s">
        <v>378</v>
      </c>
      <c r="B62" s="450" t="s">
        <v>379</v>
      </c>
      <c r="C62" s="150" t="s">
        <v>114</v>
      </c>
      <c r="D62" s="151">
        <v>0</v>
      </c>
      <c r="E62" s="152">
        <f>22+6</f>
        <v>28</v>
      </c>
      <c r="F62" s="153"/>
      <c r="G62" s="153">
        <v>4</v>
      </c>
      <c r="H62" s="153">
        <v>33437.5</v>
      </c>
      <c r="I62" s="123">
        <f t="shared" si="15"/>
        <v>133750</v>
      </c>
      <c r="J62" s="123"/>
      <c r="K62" s="123"/>
      <c r="L62" s="154">
        <f t="shared" si="7"/>
        <v>133750</v>
      </c>
      <c r="M62" s="109"/>
      <c r="O62" s="435">
        <f t="shared" ref="O62" si="18">H62/2500</f>
        <v>13.375</v>
      </c>
      <c r="P62" s="435">
        <f t="shared" ref="P62" si="19">O62*2300</f>
        <v>30762.5</v>
      </c>
      <c r="Q62" s="427">
        <f t="shared" ref="Q62" si="20">G62*P62</f>
        <v>123050</v>
      </c>
      <c r="R62" s="427"/>
      <c r="S62" s="436">
        <f t="shared" ref="S62" si="21">O62*3200</f>
        <v>42800</v>
      </c>
      <c r="T62" s="428">
        <f t="shared" si="17"/>
        <v>171200</v>
      </c>
      <c r="U62" s="434"/>
    </row>
    <row r="63" spans="1:21" s="7" customFormat="1" ht="18.899999999999999" customHeight="1">
      <c r="A63" s="148" t="s">
        <v>380</v>
      </c>
      <c r="B63" s="450" t="s">
        <v>381</v>
      </c>
      <c r="C63" s="150" t="s">
        <v>114</v>
      </c>
      <c r="D63" s="151">
        <v>0</v>
      </c>
      <c r="E63" s="152">
        <f>22+6</f>
        <v>28</v>
      </c>
      <c r="F63" s="153"/>
      <c r="G63" s="153">
        <v>4</v>
      </c>
      <c r="H63" s="153">
        <v>35937.5</v>
      </c>
      <c r="I63" s="123">
        <f t="shared" si="15"/>
        <v>143750</v>
      </c>
      <c r="J63" s="260"/>
      <c r="K63" s="260"/>
      <c r="L63" s="154">
        <f t="shared" si="7"/>
        <v>143750</v>
      </c>
      <c r="M63" s="109"/>
      <c r="O63" s="435">
        <f>H63/2500</f>
        <v>14.375</v>
      </c>
      <c r="P63" s="435">
        <f>O63*2300</f>
        <v>33062.5</v>
      </c>
      <c r="Q63" s="427">
        <f>G63*P63</f>
        <v>132250</v>
      </c>
      <c r="R63" s="427"/>
      <c r="S63" s="436">
        <f>O63*3200</f>
        <v>46000</v>
      </c>
      <c r="T63" s="428">
        <f t="shared" ref="T63" si="22">G63*S63</f>
        <v>184000</v>
      </c>
      <c r="U63" s="434"/>
    </row>
    <row r="64" spans="1:21" s="7" customFormat="1" ht="18.899999999999999" customHeight="1">
      <c r="A64" s="370"/>
      <c r="I64" s="107">
        <f t="shared" si="15"/>
        <v>0</v>
      </c>
      <c r="L64" s="108">
        <f t="shared" si="7"/>
        <v>0</v>
      </c>
      <c r="M64" s="371"/>
      <c r="O64" s="438"/>
      <c r="P64" s="439"/>
      <c r="Q64" s="440"/>
      <c r="R64" s="440"/>
      <c r="S64" s="428"/>
      <c r="T64" s="428"/>
      <c r="U64" s="434"/>
    </row>
    <row r="65" spans="1:21" s="1" customFormat="1" ht="18.899999999999999" customHeight="1">
      <c r="A65" s="148" t="s">
        <v>120</v>
      </c>
      <c r="B65" s="355" t="s">
        <v>121</v>
      </c>
      <c r="C65" s="150"/>
      <c r="D65" s="151"/>
      <c r="E65" s="152"/>
      <c r="F65" s="106"/>
      <c r="G65" s="153"/>
      <c r="H65" s="260"/>
      <c r="I65" s="107">
        <f t="shared" si="15"/>
        <v>0</v>
      </c>
      <c r="J65" s="260"/>
      <c r="K65" s="260"/>
      <c r="L65" s="108">
        <f t="shared" si="7"/>
        <v>0</v>
      </c>
      <c r="M65" s="109"/>
      <c r="O65" s="438"/>
      <c r="P65" s="439"/>
      <c r="Q65" s="440"/>
      <c r="R65" s="440"/>
      <c r="S65" s="428"/>
      <c r="T65" s="428"/>
      <c r="U65" s="434"/>
    </row>
    <row r="66" spans="1:21" s="1" customFormat="1" ht="18.899999999999999" customHeight="1">
      <c r="A66" s="148" t="s">
        <v>122</v>
      </c>
      <c r="B66" s="450" t="s">
        <v>192</v>
      </c>
      <c r="C66" s="150" t="s">
        <v>114</v>
      </c>
      <c r="D66" s="151">
        <v>0</v>
      </c>
      <c r="E66" s="152">
        <v>4</v>
      </c>
      <c r="F66" s="153"/>
      <c r="G66" s="153">
        <v>4</v>
      </c>
      <c r="H66" s="153">
        <v>8000</v>
      </c>
      <c r="I66" s="123">
        <f t="shared" si="15"/>
        <v>32000</v>
      </c>
      <c r="J66" s="260"/>
      <c r="K66" s="260"/>
      <c r="L66" s="154">
        <f t="shared" si="7"/>
        <v>32000</v>
      </c>
      <c r="M66" s="109"/>
      <c r="O66" s="435">
        <f>H66/2500</f>
        <v>3.2</v>
      </c>
      <c r="P66" s="435">
        <f>O66*2300</f>
        <v>7360</v>
      </c>
      <c r="Q66" s="427">
        <f>G66*P66</f>
        <v>29440</v>
      </c>
      <c r="R66" s="427"/>
      <c r="S66" s="436">
        <f>O66*3200</f>
        <v>10240</v>
      </c>
      <c r="T66" s="428">
        <f t="shared" ref="T66" si="23">G66*S66</f>
        <v>40960</v>
      </c>
      <c r="U66" s="434"/>
    </row>
    <row r="67" spans="1:21" s="1" customFormat="1" ht="18.899999999999999" customHeight="1">
      <c r="A67" s="184" t="s">
        <v>123</v>
      </c>
      <c r="B67" s="185" t="s">
        <v>193</v>
      </c>
      <c r="C67" s="103" t="s">
        <v>114</v>
      </c>
      <c r="D67" s="104"/>
      <c r="E67" s="105">
        <v>4</v>
      </c>
      <c r="F67" s="106"/>
      <c r="G67" s="106">
        <v>2</v>
      </c>
      <c r="H67" s="106">
        <v>750</v>
      </c>
      <c r="I67" s="107">
        <f t="shared" si="15"/>
        <v>1500</v>
      </c>
      <c r="J67" s="260"/>
      <c r="K67" s="260"/>
      <c r="L67" s="108">
        <f t="shared" si="7"/>
        <v>1500</v>
      </c>
      <c r="M67" s="109"/>
      <c r="O67" s="438"/>
      <c r="P67" s="439"/>
      <c r="Q67" s="440"/>
      <c r="R67" s="440"/>
      <c r="S67" s="428"/>
      <c r="T67" s="428"/>
      <c r="U67" s="434"/>
    </row>
    <row r="68" spans="1:21" s="1" customFormat="1" ht="18.899999999999999" customHeight="1">
      <c r="A68" s="148" t="s">
        <v>362</v>
      </c>
      <c r="B68" s="450" t="s">
        <v>363</v>
      </c>
      <c r="C68" s="150" t="s">
        <v>114</v>
      </c>
      <c r="D68" s="151"/>
      <c r="E68" s="152">
        <v>4</v>
      </c>
      <c r="F68" s="153"/>
      <c r="G68" s="153">
        <v>4</v>
      </c>
      <c r="H68" s="153">
        <v>3300</v>
      </c>
      <c r="I68" s="123">
        <f t="shared" si="15"/>
        <v>13200</v>
      </c>
      <c r="J68" s="260"/>
      <c r="K68" s="260"/>
      <c r="L68" s="154">
        <f t="shared" si="7"/>
        <v>13200</v>
      </c>
      <c r="M68" s="109"/>
      <c r="O68" s="435">
        <f>H68/2500</f>
        <v>1.32</v>
      </c>
      <c r="P68" s="435">
        <f>O68*2300</f>
        <v>3036</v>
      </c>
      <c r="Q68" s="427">
        <f>G68*P68</f>
        <v>12144</v>
      </c>
      <c r="R68" s="427"/>
      <c r="S68" s="436">
        <f>O68*3200</f>
        <v>4224</v>
      </c>
      <c r="T68" s="428">
        <f t="shared" ref="T68" si="24">G68*S68</f>
        <v>16896</v>
      </c>
      <c r="U68" s="428"/>
    </row>
    <row r="69" spans="1:21" s="1" customFormat="1" ht="18.899999999999999" customHeight="1">
      <c r="A69" s="148" t="s">
        <v>384</v>
      </c>
      <c r="B69" s="450" t="s">
        <v>385</v>
      </c>
      <c r="C69" s="150" t="s">
        <v>114</v>
      </c>
      <c r="D69" s="151"/>
      <c r="E69" s="152">
        <v>4</v>
      </c>
      <c r="F69" s="153"/>
      <c r="G69" s="153">
        <v>4</v>
      </c>
      <c r="H69" s="153">
        <v>4000</v>
      </c>
      <c r="I69" s="123">
        <f t="shared" si="15"/>
        <v>16000</v>
      </c>
      <c r="J69" s="260"/>
      <c r="K69" s="260"/>
      <c r="L69" s="154">
        <f t="shared" si="7"/>
        <v>16000</v>
      </c>
      <c r="M69" s="109"/>
      <c r="O69" s="435">
        <f t="shared" ref="O69:O70" si="25">H69/2500</f>
        <v>1.6</v>
      </c>
      <c r="P69" s="435">
        <f t="shared" ref="P69:P70" si="26">O69*2300</f>
        <v>3680</v>
      </c>
      <c r="Q69" s="427">
        <f t="shared" ref="Q69:Q70" si="27">G69*P69</f>
        <v>14720</v>
      </c>
      <c r="R69" s="427"/>
      <c r="S69" s="436">
        <f t="shared" ref="S69:S70" si="28">O69*3200</f>
        <v>5120</v>
      </c>
      <c r="T69" s="428">
        <f t="shared" ref="T69:T70" si="29">G69*S69</f>
        <v>20480</v>
      </c>
      <c r="U69" s="428"/>
    </row>
    <row r="70" spans="1:21" s="1" customFormat="1" ht="18.899999999999999" customHeight="1">
      <c r="A70" s="148" t="s">
        <v>389</v>
      </c>
      <c r="B70" s="450" t="s">
        <v>390</v>
      </c>
      <c r="C70" s="150" t="s">
        <v>114</v>
      </c>
      <c r="D70" s="451"/>
      <c r="E70" s="452"/>
      <c r="F70" s="453"/>
      <c r="G70" s="123">
        <v>4</v>
      </c>
      <c r="H70" s="123">
        <v>7800</v>
      </c>
      <c r="I70" s="123">
        <f t="shared" si="15"/>
        <v>31200</v>
      </c>
      <c r="J70" s="123"/>
      <c r="K70" s="123"/>
      <c r="L70" s="154">
        <f t="shared" si="7"/>
        <v>31200</v>
      </c>
      <c r="M70" s="387"/>
      <c r="O70" s="435">
        <f t="shared" si="25"/>
        <v>3.12</v>
      </c>
      <c r="P70" s="435">
        <f t="shared" si="26"/>
        <v>7176</v>
      </c>
      <c r="Q70" s="427">
        <f t="shared" si="27"/>
        <v>28704</v>
      </c>
      <c r="R70" s="427"/>
      <c r="S70" s="436">
        <f t="shared" si="28"/>
        <v>9984</v>
      </c>
      <c r="T70" s="428">
        <f t="shared" si="29"/>
        <v>39936</v>
      </c>
      <c r="U70" s="428"/>
    </row>
    <row r="71" spans="1:21" s="1" customFormat="1" ht="18.899999999999999" customHeight="1" thickBot="1">
      <c r="A71" s="251"/>
      <c r="B71" s="373"/>
      <c r="C71" s="252"/>
      <c r="D71" s="253"/>
      <c r="E71" s="254"/>
      <c r="F71" s="255"/>
      <c r="G71" s="255"/>
      <c r="H71" s="374"/>
      <c r="I71" s="107">
        <f t="shared" si="15"/>
        <v>0</v>
      </c>
      <c r="J71" s="375"/>
      <c r="K71" s="375"/>
      <c r="L71" s="108">
        <f t="shared" si="7"/>
        <v>0</v>
      </c>
      <c r="M71" s="346"/>
      <c r="O71" s="435"/>
      <c r="P71" s="435"/>
      <c r="Q71" s="427"/>
      <c r="R71" s="427"/>
      <c r="S71" s="436"/>
      <c r="T71" s="428"/>
      <c r="U71" s="428"/>
    </row>
    <row r="72" spans="1:21" s="1" customFormat="1" ht="18.899999999999999" customHeight="1" thickTop="1" thickBot="1">
      <c r="A72" s="36"/>
      <c r="B72" s="37" t="s">
        <v>124</v>
      </c>
      <c r="C72" s="40"/>
      <c r="D72" s="41"/>
      <c r="E72" s="42"/>
      <c r="F72" s="42"/>
      <c r="G72" s="42"/>
      <c r="H72" s="43"/>
      <c r="I72" s="29">
        <f>SUM(I55:I71)</f>
        <v>741020</v>
      </c>
      <c r="J72" s="43"/>
      <c r="K72" s="29"/>
      <c r="L72" s="29">
        <f>SUM(L55:L71)</f>
        <v>741020</v>
      </c>
      <c r="M72" s="30"/>
      <c r="O72" s="442">
        <f>SUM(I56:I57,I62:I63,I66,I68:I70)</f>
        <v>537550</v>
      </c>
      <c r="P72" s="439"/>
      <c r="Q72" s="440">
        <f>SUM(Q55:Q71)</f>
        <v>494546</v>
      </c>
      <c r="R72" s="443">
        <f>O72-Q72</f>
        <v>43004</v>
      </c>
      <c r="S72" s="436"/>
      <c r="T72" s="440">
        <f>SUM(T55:T71)</f>
        <v>688064</v>
      </c>
      <c r="U72" s="436">
        <f>O72-T72</f>
        <v>-150514</v>
      </c>
    </row>
    <row r="73" spans="1:21" s="1" customFormat="1" ht="18.899999999999999" customHeight="1" thickTop="1">
      <c r="A73" s="71" t="s">
        <v>20</v>
      </c>
      <c r="B73" s="72" t="s">
        <v>184</v>
      </c>
      <c r="C73" s="91"/>
      <c r="D73" s="92"/>
      <c r="E73" s="93"/>
      <c r="F73" s="73"/>
      <c r="G73" s="73"/>
      <c r="H73" s="74"/>
      <c r="I73" s="74"/>
      <c r="J73" s="74"/>
      <c r="K73" s="74"/>
      <c r="L73" s="108">
        <f t="shared" si="7"/>
        <v>0</v>
      </c>
      <c r="M73" s="76"/>
      <c r="O73" s="438"/>
      <c r="P73" s="439"/>
      <c r="Q73" s="440"/>
      <c r="R73" s="440"/>
      <c r="S73" s="428"/>
      <c r="T73" s="428"/>
      <c r="U73" s="428"/>
    </row>
    <row r="74" spans="1:21" s="1" customFormat="1" ht="18.899999999999999" customHeight="1">
      <c r="A74" s="264" t="s">
        <v>125</v>
      </c>
      <c r="B74" s="94" t="s">
        <v>391</v>
      </c>
      <c r="C74" s="95"/>
      <c r="D74" s="96"/>
      <c r="E74" s="97"/>
      <c r="F74" s="98"/>
      <c r="G74" s="98"/>
      <c r="H74" s="99"/>
      <c r="I74" s="99"/>
      <c r="J74" s="99"/>
      <c r="K74" s="99"/>
      <c r="L74" s="108">
        <f t="shared" si="7"/>
        <v>0</v>
      </c>
      <c r="M74" s="100"/>
      <c r="O74" s="438"/>
      <c r="P74" s="439"/>
      <c r="Q74" s="441"/>
      <c r="R74" s="444">
        <f>R72+Q42+Q23</f>
        <v>187051.5</v>
      </c>
      <c r="S74" s="428"/>
      <c r="T74" s="428"/>
      <c r="U74" s="436">
        <f>U72+U42+U23</f>
        <v>-739434</v>
      </c>
    </row>
    <row r="75" spans="1:21" s="7" customFormat="1" ht="18.899999999999999" customHeight="1">
      <c r="A75" s="101" t="s">
        <v>126</v>
      </c>
      <c r="B75" s="185" t="s">
        <v>211</v>
      </c>
      <c r="C75" s="103" t="s">
        <v>114</v>
      </c>
      <c r="D75" s="104">
        <v>0</v>
      </c>
      <c r="E75" s="105">
        <v>12</v>
      </c>
      <c r="F75" s="106"/>
      <c r="G75" s="106">
        <v>4</v>
      </c>
      <c r="H75" s="106">
        <v>4628</v>
      </c>
      <c r="I75" s="107">
        <f t="shared" ref="I75:I119" si="30">G75*H75</f>
        <v>18512</v>
      </c>
      <c r="J75" s="107"/>
      <c r="K75" s="107"/>
      <c r="L75" s="108">
        <f t="shared" si="7"/>
        <v>18512</v>
      </c>
      <c r="M75" s="77"/>
      <c r="O75" s="438"/>
      <c r="P75" s="439"/>
      <c r="Q75" s="441"/>
      <c r="R75" s="444">
        <f>R74*1.1</f>
        <v>205756.65000000002</v>
      </c>
      <c r="S75" s="428"/>
      <c r="T75" s="428"/>
      <c r="U75" s="444">
        <f>U74*1.1</f>
        <v>-813377.4</v>
      </c>
    </row>
    <row r="76" spans="1:21" s="7" customFormat="1" ht="18.899999999999999" customHeight="1">
      <c r="A76" s="101" t="s">
        <v>127</v>
      </c>
      <c r="B76" s="228" t="s">
        <v>212</v>
      </c>
      <c r="C76" s="103" t="s">
        <v>114</v>
      </c>
      <c r="D76" s="104">
        <v>0</v>
      </c>
      <c r="E76" s="105">
        <v>28</v>
      </c>
      <c r="F76" s="106"/>
      <c r="G76" s="106">
        <v>4</v>
      </c>
      <c r="H76" s="106">
        <v>150</v>
      </c>
      <c r="I76" s="107">
        <f t="shared" si="30"/>
        <v>600</v>
      </c>
      <c r="J76" s="107"/>
      <c r="K76" s="107"/>
      <c r="L76" s="108">
        <f t="shared" si="7"/>
        <v>600</v>
      </c>
      <c r="M76" s="77"/>
      <c r="O76" s="438"/>
      <c r="P76" s="439"/>
      <c r="Q76" s="441"/>
      <c r="R76" s="445">
        <f>R75*1.07</f>
        <v>220159.61550000004</v>
      </c>
      <c r="S76" s="428"/>
      <c r="T76" s="428"/>
      <c r="U76" s="445">
        <f>U75*1.07</f>
        <v>-870313.81800000009</v>
      </c>
    </row>
    <row r="77" spans="1:21" s="7" customFormat="1" ht="18.899999999999999" customHeight="1">
      <c r="A77" s="101" t="s">
        <v>128</v>
      </c>
      <c r="B77" s="228" t="s">
        <v>213</v>
      </c>
      <c r="C77" s="103" t="s">
        <v>114</v>
      </c>
      <c r="D77" s="104">
        <v>0</v>
      </c>
      <c r="E77" s="105">
        <v>28</v>
      </c>
      <c r="F77" s="106"/>
      <c r="G77" s="106">
        <v>4</v>
      </c>
      <c r="H77" s="106">
        <v>94</v>
      </c>
      <c r="I77" s="107">
        <f t="shared" si="30"/>
        <v>376</v>
      </c>
      <c r="J77" s="107"/>
      <c r="K77" s="107"/>
      <c r="L77" s="108">
        <f t="shared" si="7"/>
        <v>376</v>
      </c>
      <c r="M77" s="77"/>
      <c r="O77" s="438"/>
      <c r="P77" s="439"/>
      <c r="Q77" s="441"/>
      <c r="R77" s="445">
        <f>R76/4</f>
        <v>55039.903875000011</v>
      </c>
      <c r="S77" s="428"/>
      <c r="T77" s="428"/>
      <c r="U77" s="445">
        <f>U76/4</f>
        <v>-217578.45450000002</v>
      </c>
    </row>
    <row r="78" spans="1:21" s="7" customFormat="1" ht="20.100000000000001" customHeight="1">
      <c r="A78" s="101" t="s">
        <v>129</v>
      </c>
      <c r="B78" s="185" t="s">
        <v>214</v>
      </c>
      <c r="C78" s="103" t="s">
        <v>114</v>
      </c>
      <c r="D78" s="104">
        <v>0</v>
      </c>
      <c r="E78" s="105">
        <v>16</v>
      </c>
      <c r="F78" s="106"/>
      <c r="G78" s="106">
        <v>4</v>
      </c>
      <c r="H78" s="106">
        <v>2440</v>
      </c>
      <c r="I78" s="107">
        <f t="shared" si="30"/>
        <v>9760</v>
      </c>
      <c r="J78" s="107"/>
      <c r="K78" s="107"/>
      <c r="L78" s="108">
        <f t="shared" si="7"/>
        <v>9760</v>
      </c>
      <c r="M78" s="77"/>
      <c r="O78" s="438"/>
      <c r="P78" s="439"/>
      <c r="Q78" s="440"/>
      <c r="R78" s="440"/>
      <c r="S78" s="428"/>
      <c r="T78" s="428"/>
      <c r="U78" s="434"/>
    </row>
    <row r="79" spans="1:21" s="1" customFormat="1" ht="20.100000000000001" customHeight="1">
      <c r="A79" s="101" t="s">
        <v>130</v>
      </c>
      <c r="B79" s="228" t="s">
        <v>215</v>
      </c>
      <c r="C79" s="103" t="s">
        <v>114</v>
      </c>
      <c r="D79" s="104">
        <v>0</v>
      </c>
      <c r="E79" s="105">
        <v>12</v>
      </c>
      <c r="F79" s="106"/>
      <c r="G79" s="106">
        <v>4</v>
      </c>
      <c r="H79" s="106">
        <v>834.6</v>
      </c>
      <c r="I79" s="107">
        <f t="shared" si="30"/>
        <v>3338.4</v>
      </c>
      <c r="J79" s="107"/>
      <c r="K79" s="107"/>
      <c r="L79" s="108">
        <f t="shared" si="7"/>
        <v>3338.4</v>
      </c>
      <c r="M79" s="77"/>
      <c r="O79" s="427"/>
      <c r="P79" s="427"/>
      <c r="Q79" s="433"/>
      <c r="R79" s="433"/>
      <c r="S79" s="428"/>
      <c r="T79" s="428"/>
      <c r="U79" s="434"/>
    </row>
    <row r="80" spans="1:21" s="1" customFormat="1" ht="20.100000000000001" customHeight="1">
      <c r="A80" s="101" t="s">
        <v>131</v>
      </c>
      <c r="B80" s="186" t="s">
        <v>216</v>
      </c>
      <c r="C80" s="103" t="s">
        <v>114</v>
      </c>
      <c r="D80" s="104">
        <v>0</v>
      </c>
      <c r="E80" s="105">
        <v>20</v>
      </c>
      <c r="F80" s="106"/>
      <c r="G80" s="106">
        <v>4</v>
      </c>
      <c r="H80" s="106">
        <v>670</v>
      </c>
      <c r="I80" s="107">
        <f t="shared" si="30"/>
        <v>2680</v>
      </c>
      <c r="J80" s="107"/>
      <c r="K80" s="107"/>
      <c r="L80" s="108">
        <f t="shared" si="7"/>
        <v>2680</v>
      </c>
      <c r="M80" s="77"/>
      <c r="O80" s="427"/>
      <c r="P80" s="427"/>
      <c r="Q80" s="427"/>
      <c r="R80" s="427"/>
      <c r="S80" s="428"/>
      <c r="T80" s="428"/>
      <c r="U80" s="428"/>
    </row>
    <row r="81" spans="1:21" s="1" customFormat="1" ht="20.100000000000001" customHeight="1">
      <c r="A81" s="101" t="s">
        <v>132</v>
      </c>
      <c r="B81" s="186" t="s">
        <v>217</v>
      </c>
      <c r="C81" s="103" t="s">
        <v>114</v>
      </c>
      <c r="D81" s="104">
        <v>0</v>
      </c>
      <c r="E81" s="105">
        <v>20</v>
      </c>
      <c r="F81" s="106"/>
      <c r="G81" s="106">
        <v>4</v>
      </c>
      <c r="H81" s="106">
        <v>300</v>
      </c>
      <c r="I81" s="107">
        <f t="shared" si="30"/>
        <v>1200</v>
      </c>
      <c r="J81" s="107"/>
      <c r="K81" s="107"/>
      <c r="L81" s="108">
        <f t="shared" si="7"/>
        <v>1200</v>
      </c>
      <c r="M81" s="77"/>
      <c r="O81" s="427"/>
      <c r="P81" s="427"/>
      <c r="Q81" s="427"/>
      <c r="R81" s="427"/>
      <c r="S81" s="428"/>
      <c r="T81" s="428"/>
      <c r="U81" s="428"/>
    </row>
    <row r="82" spans="1:21" s="1" customFormat="1" ht="20.100000000000001" customHeight="1">
      <c r="A82" s="101" t="s">
        <v>133</v>
      </c>
      <c r="B82" s="186" t="s">
        <v>218</v>
      </c>
      <c r="C82" s="103" t="s">
        <v>114</v>
      </c>
      <c r="D82" s="104">
        <v>0</v>
      </c>
      <c r="E82" s="105">
        <v>20</v>
      </c>
      <c r="F82" s="106"/>
      <c r="G82" s="106">
        <v>4</v>
      </c>
      <c r="H82" s="106">
        <v>94</v>
      </c>
      <c r="I82" s="107">
        <f t="shared" si="30"/>
        <v>376</v>
      </c>
      <c r="J82" s="107"/>
      <c r="K82" s="107"/>
      <c r="L82" s="108">
        <f t="shared" si="7"/>
        <v>376</v>
      </c>
      <c r="M82" s="77"/>
      <c r="O82" s="427"/>
      <c r="P82" s="427"/>
      <c r="Q82" s="427"/>
      <c r="R82" s="427"/>
      <c r="S82" s="428"/>
      <c r="T82" s="428"/>
      <c r="U82" s="428"/>
    </row>
    <row r="83" spans="1:21" s="7" customFormat="1" ht="20.100000000000001" customHeight="1">
      <c r="A83" s="101" t="s">
        <v>134</v>
      </c>
      <c r="B83" s="186" t="s">
        <v>230</v>
      </c>
      <c r="C83" s="103" t="s">
        <v>114</v>
      </c>
      <c r="D83" s="104">
        <v>0</v>
      </c>
      <c r="E83" s="105">
        <v>20</v>
      </c>
      <c r="F83" s="106"/>
      <c r="G83" s="106">
        <v>4</v>
      </c>
      <c r="H83" s="106">
        <v>315</v>
      </c>
      <c r="I83" s="107">
        <f t="shared" si="30"/>
        <v>1260</v>
      </c>
      <c r="J83" s="107"/>
      <c r="K83" s="107"/>
      <c r="L83" s="108">
        <f t="shared" si="7"/>
        <v>1260</v>
      </c>
      <c r="M83" s="77"/>
      <c r="O83" s="427"/>
      <c r="P83" s="427"/>
      <c r="Q83" s="427"/>
      <c r="R83" s="427"/>
      <c r="S83" s="428"/>
      <c r="T83" s="428"/>
      <c r="U83" s="428"/>
    </row>
    <row r="84" spans="1:21" s="7" customFormat="1" ht="20.25" customHeight="1">
      <c r="A84" s="101" t="s">
        <v>135</v>
      </c>
      <c r="B84" s="186" t="s">
        <v>219</v>
      </c>
      <c r="C84" s="103" t="s">
        <v>114</v>
      </c>
      <c r="D84" s="104">
        <v>0</v>
      </c>
      <c r="E84" s="105">
        <v>48</v>
      </c>
      <c r="F84" s="106"/>
      <c r="G84" s="106">
        <v>8</v>
      </c>
      <c r="H84" s="106">
        <v>231</v>
      </c>
      <c r="I84" s="107">
        <f t="shared" si="30"/>
        <v>1848</v>
      </c>
      <c r="J84" s="107"/>
      <c r="K84" s="107"/>
      <c r="L84" s="108">
        <f t="shared" si="7"/>
        <v>1848</v>
      </c>
      <c r="M84" s="77"/>
      <c r="O84" s="427"/>
      <c r="P84" s="427"/>
      <c r="Q84" s="433"/>
      <c r="R84" s="433"/>
      <c r="S84" s="428"/>
      <c r="T84" s="428"/>
      <c r="U84" s="434"/>
    </row>
    <row r="85" spans="1:21" s="7" customFormat="1" ht="20.100000000000001" customHeight="1">
      <c r="A85" s="101" t="s">
        <v>136</v>
      </c>
      <c r="B85" s="185" t="s">
        <v>231</v>
      </c>
      <c r="C85" s="103" t="s">
        <v>114</v>
      </c>
      <c r="D85" s="104">
        <v>0</v>
      </c>
      <c r="E85" s="105">
        <v>28</v>
      </c>
      <c r="F85" s="106"/>
      <c r="G85" s="106">
        <v>4</v>
      </c>
      <c r="H85" s="106">
        <v>350</v>
      </c>
      <c r="I85" s="107">
        <f t="shared" si="30"/>
        <v>1400</v>
      </c>
      <c r="J85" s="107"/>
      <c r="K85" s="107"/>
      <c r="L85" s="108">
        <f t="shared" si="7"/>
        <v>1400</v>
      </c>
      <c r="M85" s="77"/>
      <c r="O85" s="427"/>
      <c r="P85" s="427"/>
      <c r="Q85" s="433"/>
      <c r="R85" s="433"/>
      <c r="S85" s="428"/>
      <c r="T85" s="428"/>
      <c r="U85" s="434"/>
    </row>
    <row r="86" spans="1:21" s="7" customFormat="1" ht="20.100000000000001" customHeight="1">
      <c r="A86" s="101" t="s">
        <v>137</v>
      </c>
      <c r="B86" s="185" t="s">
        <v>220</v>
      </c>
      <c r="C86" s="103" t="s">
        <v>114</v>
      </c>
      <c r="D86" s="104">
        <v>0</v>
      </c>
      <c r="E86" s="105">
        <v>28</v>
      </c>
      <c r="F86" s="106"/>
      <c r="G86" s="106">
        <v>4</v>
      </c>
      <c r="H86" s="106">
        <v>172.2</v>
      </c>
      <c r="I86" s="107">
        <f t="shared" si="30"/>
        <v>688.8</v>
      </c>
      <c r="J86" s="107"/>
      <c r="K86" s="107"/>
      <c r="L86" s="108">
        <f t="shared" si="7"/>
        <v>688.8</v>
      </c>
      <c r="M86" s="77"/>
      <c r="O86" s="427"/>
      <c r="P86" s="427"/>
      <c r="Q86" s="433"/>
      <c r="R86" s="433"/>
      <c r="S86" s="428"/>
      <c r="T86" s="428"/>
      <c r="U86" s="434"/>
    </row>
    <row r="87" spans="1:21" s="7" customFormat="1" ht="20.100000000000001" customHeight="1">
      <c r="A87" s="101" t="s">
        <v>364</v>
      </c>
      <c r="B87" s="185" t="s">
        <v>221</v>
      </c>
      <c r="C87" s="103" t="s">
        <v>114</v>
      </c>
      <c r="D87" s="104">
        <v>0</v>
      </c>
      <c r="E87" s="105">
        <v>28</v>
      </c>
      <c r="F87" s="106"/>
      <c r="G87" s="106">
        <v>4</v>
      </c>
      <c r="H87" s="106">
        <v>90</v>
      </c>
      <c r="I87" s="107">
        <f t="shared" si="30"/>
        <v>360</v>
      </c>
      <c r="J87" s="107"/>
      <c r="K87" s="107"/>
      <c r="L87" s="108">
        <f t="shared" si="7"/>
        <v>360</v>
      </c>
      <c r="M87" s="77"/>
      <c r="O87" s="427"/>
      <c r="P87" s="427"/>
      <c r="Q87" s="433"/>
      <c r="R87" s="433"/>
      <c r="S87" s="428"/>
      <c r="T87" s="428"/>
      <c r="U87" s="434"/>
    </row>
    <row r="88" spans="1:21" s="7" customFormat="1" ht="20.100000000000001" customHeight="1">
      <c r="A88" s="101" t="s">
        <v>365</v>
      </c>
      <c r="B88" s="185" t="s">
        <v>222</v>
      </c>
      <c r="C88" s="103" t="s">
        <v>114</v>
      </c>
      <c r="D88" s="104">
        <v>0</v>
      </c>
      <c r="E88" s="105">
        <v>28</v>
      </c>
      <c r="F88" s="106"/>
      <c r="G88" s="106">
        <v>4</v>
      </c>
      <c r="H88" s="106">
        <v>570</v>
      </c>
      <c r="I88" s="107">
        <f t="shared" si="30"/>
        <v>2280</v>
      </c>
      <c r="J88" s="107"/>
      <c r="K88" s="107"/>
      <c r="L88" s="108">
        <f t="shared" si="7"/>
        <v>2280</v>
      </c>
      <c r="M88" s="77"/>
      <c r="O88" s="427"/>
      <c r="P88" s="427"/>
      <c r="Q88" s="433"/>
      <c r="R88" s="433"/>
      <c r="S88" s="428"/>
      <c r="T88" s="428"/>
      <c r="U88" s="434"/>
    </row>
    <row r="89" spans="1:21" s="7" customFormat="1" ht="19.5" hidden="1" customHeight="1">
      <c r="A89" s="262"/>
      <c r="B89" s="283"/>
      <c r="C89" s="287"/>
      <c r="G89" s="284"/>
      <c r="H89" s="287"/>
      <c r="I89" s="107">
        <f t="shared" si="30"/>
        <v>0</v>
      </c>
      <c r="J89" s="287"/>
      <c r="K89" s="284"/>
      <c r="L89" s="108">
        <f t="shared" si="7"/>
        <v>0</v>
      </c>
      <c r="M89" s="87"/>
      <c r="O89" s="427"/>
      <c r="P89" s="427"/>
      <c r="Q89" s="433"/>
      <c r="R89" s="433"/>
      <c r="S89" s="428"/>
      <c r="T89" s="428"/>
      <c r="U89" s="434"/>
    </row>
    <row r="90" spans="1:21" s="7" customFormat="1" ht="19.5" customHeight="1">
      <c r="A90" s="262"/>
      <c r="C90" s="287"/>
      <c r="G90" s="284"/>
      <c r="H90" s="287"/>
      <c r="I90" s="107"/>
      <c r="J90" s="287"/>
      <c r="K90" s="284"/>
      <c r="L90" s="108">
        <f t="shared" si="7"/>
        <v>0</v>
      </c>
      <c r="M90" s="87"/>
      <c r="O90" s="427"/>
      <c r="P90" s="427"/>
      <c r="Q90" s="433"/>
      <c r="R90" s="433"/>
      <c r="S90" s="428"/>
      <c r="T90" s="428"/>
      <c r="U90" s="434"/>
    </row>
    <row r="91" spans="1:21" s="7" customFormat="1" ht="20.100000000000001" customHeight="1">
      <c r="A91" s="264" t="s">
        <v>392</v>
      </c>
      <c r="B91" s="94" t="s">
        <v>393</v>
      </c>
      <c r="C91" s="288"/>
      <c r="D91" s="285"/>
      <c r="E91" s="285"/>
      <c r="F91" s="285"/>
      <c r="G91" s="286"/>
      <c r="H91" s="288"/>
      <c r="I91" s="107"/>
      <c r="J91" s="288"/>
      <c r="K91" s="286"/>
      <c r="L91" s="108">
        <f t="shared" si="7"/>
        <v>0</v>
      </c>
      <c r="M91" s="87"/>
      <c r="O91" s="427"/>
      <c r="P91" s="427"/>
      <c r="Q91" s="433"/>
      <c r="R91" s="433"/>
      <c r="S91" s="428"/>
      <c r="T91" s="428"/>
      <c r="U91" s="434"/>
    </row>
    <row r="92" spans="1:21" s="7" customFormat="1" ht="20.100000000000001" customHeight="1">
      <c r="A92" s="101" t="s">
        <v>394</v>
      </c>
      <c r="B92" s="185" t="s">
        <v>211</v>
      </c>
      <c r="C92" s="103" t="s">
        <v>114</v>
      </c>
      <c r="G92" s="106">
        <v>4</v>
      </c>
      <c r="H92" s="106">
        <v>4628</v>
      </c>
      <c r="I92" s="107">
        <f t="shared" si="30"/>
        <v>18512</v>
      </c>
      <c r="J92" s="287"/>
      <c r="K92" s="284"/>
      <c r="L92" s="108">
        <f t="shared" si="7"/>
        <v>18512</v>
      </c>
      <c r="M92" s="87"/>
      <c r="O92" s="427"/>
      <c r="P92" s="427"/>
      <c r="Q92" s="433"/>
      <c r="R92" s="433"/>
      <c r="S92" s="428"/>
      <c r="T92" s="428"/>
      <c r="U92" s="434"/>
    </row>
    <row r="93" spans="1:21" s="7" customFormat="1" ht="20.100000000000001" customHeight="1">
      <c r="A93" s="101" t="s">
        <v>395</v>
      </c>
      <c r="B93" s="228" t="s">
        <v>212</v>
      </c>
      <c r="C93" s="103" t="s">
        <v>114</v>
      </c>
      <c r="G93" s="106">
        <v>4</v>
      </c>
      <c r="H93" s="106">
        <v>150</v>
      </c>
      <c r="I93" s="107">
        <f t="shared" si="30"/>
        <v>600</v>
      </c>
      <c r="J93" s="287"/>
      <c r="K93" s="284"/>
      <c r="L93" s="108">
        <f t="shared" si="7"/>
        <v>600</v>
      </c>
      <c r="M93" s="87"/>
      <c r="O93" s="427"/>
      <c r="P93" s="427"/>
      <c r="Q93" s="433"/>
      <c r="R93" s="433"/>
      <c r="S93" s="428"/>
      <c r="T93" s="428"/>
      <c r="U93" s="434"/>
    </row>
    <row r="94" spans="1:21" s="7" customFormat="1" ht="20.100000000000001" customHeight="1">
      <c r="A94" s="101" t="s">
        <v>396</v>
      </c>
      <c r="B94" s="228" t="s">
        <v>213</v>
      </c>
      <c r="C94" s="103" t="s">
        <v>114</v>
      </c>
      <c r="G94" s="106">
        <v>4</v>
      </c>
      <c r="H94" s="106">
        <v>94</v>
      </c>
      <c r="I94" s="107">
        <f t="shared" si="30"/>
        <v>376</v>
      </c>
      <c r="J94" s="287"/>
      <c r="K94" s="284"/>
      <c r="L94" s="108">
        <f t="shared" si="7"/>
        <v>376</v>
      </c>
      <c r="M94" s="87"/>
      <c r="O94" s="427"/>
      <c r="P94" s="427"/>
      <c r="Q94" s="433"/>
      <c r="R94" s="433"/>
      <c r="S94" s="428"/>
      <c r="T94" s="428"/>
      <c r="U94" s="434"/>
    </row>
    <row r="95" spans="1:21" s="7" customFormat="1" ht="20.100000000000001" customHeight="1">
      <c r="A95" s="101" t="s">
        <v>397</v>
      </c>
      <c r="B95" s="185" t="s">
        <v>214</v>
      </c>
      <c r="C95" s="103" t="s">
        <v>114</v>
      </c>
      <c r="G95" s="106">
        <v>4</v>
      </c>
      <c r="H95" s="106">
        <v>2440</v>
      </c>
      <c r="I95" s="107">
        <f t="shared" si="30"/>
        <v>9760</v>
      </c>
      <c r="J95" s="287"/>
      <c r="K95" s="284"/>
      <c r="L95" s="108">
        <f t="shared" si="7"/>
        <v>9760</v>
      </c>
      <c r="M95" s="87"/>
      <c r="O95" s="427"/>
      <c r="P95" s="427"/>
      <c r="Q95" s="433"/>
      <c r="R95" s="433"/>
      <c r="S95" s="428"/>
      <c r="T95" s="428"/>
      <c r="U95" s="434"/>
    </row>
    <row r="96" spans="1:21" s="7" customFormat="1" ht="20.100000000000001" customHeight="1">
      <c r="A96" s="101" t="s">
        <v>398</v>
      </c>
      <c r="B96" s="228" t="s">
        <v>215</v>
      </c>
      <c r="C96" s="103" t="s">
        <v>114</v>
      </c>
      <c r="G96" s="106">
        <v>4</v>
      </c>
      <c r="H96" s="106">
        <v>834.6</v>
      </c>
      <c r="I96" s="107">
        <f t="shared" si="30"/>
        <v>3338.4</v>
      </c>
      <c r="J96" s="287"/>
      <c r="K96" s="284"/>
      <c r="L96" s="108">
        <f t="shared" si="7"/>
        <v>3338.4</v>
      </c>
      <c r="M96" s="87"/>
      <c r="O96" s="427"/>
      <c r="P96" s="427"/>
      <c r="Q96" s="433"/>
      <c r="R96" s="433"/>
      <c r="S96" s="428"/>
      <c r="T96" s="428"/>
      <c r="U96" s="434"/>
    </row>
    <row r="97" spans="1:21" s="7" customFormat="1" ht="20.100000000000001" customHeight="1">
      <c r="A97" s="101" t="s">
        <v>399</v>
      </c>
      <c r="B97" s="186" t="s">
        <v>216</v>
      </c>
      <c r="C97" s="103" t="s">
        <v>114</v>
      </c>
      <c r="G97" s="106">
        <v>4</v>
      </c>
      <c r="H97" s="106">
        <v>670</v>
      </c>
      <c r="I97" s="107">
        <f t="shared" si="30"/>
        <v>2680</v>
      </c>
      <c r="J97" s="287"/>
      <c r="K97" s="284"/>
      <c r="L97" s="108">
        <f t="shared" si="7"/>
        <v>2680</v>
      </c>
      <c r="M97" s="87"/>
      <c r="O97" s="427"/>
      <c r="P97" s="427"/>
      <c r="Q97" s="433"/>
      <c r="R97" s="433"/>
      <c r="S97" s="428"/>
      <c r="T97" s="428"/>
      <c r="U97" s="434"/>
    </row>
    <row r="98" spans="1:21" s="7" customFormat="1" ht="20.100000000000001" customHeight="1">
      <c r="A98" s="101" t="s">
        <v>400</v>
      </c>
      <c r="B98" s="186" t="s">
        <v>217</v>
      </c>
      <c r="C98" s="103" t="s">
        <v>114</v>
      </c>
      <c r="G98" s="106">
        <v>4</v>
      </c>
      <c r="H98" s="106">
        <v>300</v>
      </c>
      <c r="I98" s="107">
        <f t="shared" si="30"/>
        <v>1200</v>
      </c>
      <c r="J98" s="287"/>
      <c r="K98" s="284"/>
      <c r="L98" s="108">
        <f t="shared" si="7"/>
        <v>1200</v>
      </c>
      <c r="M98" s="87"/>
      <c r="O98" s="427"/>
      <c r="P98" s="427"/>
      <c r="Q98" s="433"/>
      <c r="R98" s="433"/>
      <c r="S98" s="428"/>
      <c r="T98" s="428"/>
      <c r="U98" s="434"/>
    </row>
    <row r="99" spans="1:21" s="7" customFormat="1" ht="20.100000000000001" customHeight="1">
      <c r="A99" s="101" t="s">
        <v>401</v>
      </c>
      <c r="B99" s="186" t="s">
        <v>218</v>
      </c>
      <c r="C99" s="103" t="s">
        <v>114</v>
      </c>
      <c r="G99" s="106">
        <v>4</v>
      </c>
      <c r="H99" s="106">
        <v>94</v>
      </c>
      <c r="I99" s="107">
        <f t="shared" si="30"/>
        <v>376</v>
      </c>
      <c r="J99" s="287"/>
      <c r="K99" s="284"/>
      <c r="L99" s="108">
        <f t="shared" si="7"/>
        <v>376</v>
      </c>
      <c r="M99" s="87"/>
      <c r="O99" s="427"/>
      <c r="P99" s="427"/>
      <c r="Q99" s="433"/>
      <c r="R99" s="433"/>
      <c r="S99" s="428"/>
      <c r="T99" s="428"/>
      <c r="U99" s="434"/>
    </row>
    <row r="100" spans="1:21" s="7" customFormat="1" ht="20.100000000000001" customHeight="1">
      <c r="A100" s="101" t="s">
        <v>402</v>
      </c>
      <c r="B100" s="186" t="s">
        <v>230</v>
      </c>
      <c r="C100" s="103" t="s">
        <v>114</v>
      </c>
      <c r="G100" s="106">
        <v>4</v>
      </c>
      <c r="H100" s="106">
        <v>315</v>
      </c>
      <c r="I100" s="107">
        <f t="shared" si="30"/>
        <v>1260</v>
      </c>
      <c r="J100" s="287"/>
      <c r="K100" s="284"/>
      <c r="L100" s="108">
        <f t="shared" si="7"/>
        <v>1260</v>
      </c>
      <c r="M100" s="87"/>
      <c r="O100" s="427"/>
      <c r="P100" s="427"/>
      <c r="Q100" s="433"/>
      <c r="R100" s="433"/>
      <c r="S100" s="428"/>
      <c r="T100" s="428"/>
      <c r="U100" s="434"/>
    </row>
    <row r="101" spans="1:21" s="7" customFormat="1" ht="20.100000000000001" customHeight="1">
      <c r="A101" s="101" t="s">
        <v>403</v>
      </c>
      <c r="B101" s="186" t="s">
        <v>219</v>
      </c>
      <c r="C101" s="103" t="s">
        <v>114</v>
      </c>
      <c r="G101" s="106">
        <v>8</v>
      </c>
      <c r="H101" s="106">
        <v>231</v>
      </c>
      <c r="I101" s="107">
        <f t="shared" si="30"/>
        <v>1848</v>
      </c>
      <c r="J101" s="287"/>
      <c r="K101" s="284"/>
      <c r="L101" s="108">
        <f t="shared" si="7"/>
        <v>1848</v>
      </c>
      <c r="M101" s="87"/>
      <c r="O101" s="427"/>
      <c r="P101" s="427"/>
      <c r="Q101" s="433"/>
      <c r="R101" s="433"/>
      <c r="S101" s="428"/>
      <c r="T101" s="428"/>
      <c r="U101" s="434"/>
    </row>
    <row r="102" spans="1:21" s="7" customFormat="1" ht="20.100000000000001" customHeight="1">
      <c r="A102" s="101" t="s">
        <v>404</v>
      </c>
      <c r="B102" s="185" t="s">
        <v>231</v>
      </c>
      <c r="C102" s="103" t="s">
        <v>114</v>
      </c>
      <c r="G102" s="106">
        <v>4</v>
      </c>
      <c r="H102" s="106">
        <v>350</v>
      </c>
      <c r="I102" s="107">
        <f t="shared" si="30"/>
        <v>1400</v>
      </c>
      <c r="J102" s="287"/>
      <c r="K102" s="284"/>
      <c r="L102" s="108">
        <f t="shared" ref="L102:L156" si="31">SUM(I102+K102)</f>
        <v>1400</v>
      </c>
      <c r="M102" s="87"/>
      <c r="O102" s="427"/>
      <c r="P102" s="427"/>
      <c r="Q102" s="433"/>
      <c r="R102" s="433"/>
      <c r="S102" s="428"/>
      <c r="T102" s="428"/>
      <c r="U102" s="434"/>
    </row>
    <row r="103" spans="1:21" s="7" customFormat="1" ht="20.100000000000001" customHeight="1">
      <c r="A103" s="101" t="s">
        <v>405</v>
      </c>
      <c r="B103" s="185" t="s">
        <v>220</v>
      </c>
      <c r="C103" s="103" t="s">
        <v>114</v>
      </c>
      <c r="G103" s="106">
        <v>4</v>
      </c>
      <c r="H103" s="106">
        <v>172.2</v>
      </c>
      <c r="I103" s="107">
        <f t="shared" si="30"/>
        <v>688.8</v>
      </c>
      <c r="J103" s="287"/>
      <c r="K103" s="284"/>
      <c r="L103" s="108">
        <f t="shared" si="31"/>
        <v>688.8</v>
      </c>
      <c r="M103" s="87"/>
      <c r="O103" s="427"/>
      <c r="P103" s="427"/>
      <c r="Q103" s="433"/>
      <c r="R103" s="433"/>
      <c r="S103" s="428"/>
      <c r="T103" s="428"/>
      <c r="U103" s="434"/>
    </row>
    <row r="104" spans="1:21" s="7" customFormat="1" ht="20.100000000000001" customHeight="1">
      <c r="A104" s="101" t="s">
        <v>406</v>
      </c>
      <c r="B104" s="185" t="s">
        <v>221</v>
      </c>
      <c r="C104" s="103" t="s">
        <v>114</v>
      </c>
      <c r="G104" s="106">
        <v>4</v>
      </c>
      <c r="H104" s="106">
        <v>90</v>
      </c>
      <c r="I104" s="107">
        <f t="shared" si="30"/>
        <v>360</v>
      </c>
      <c r="J104" s="287"/>
      <c r="K104" s="284"/>
      <c r="L104" s="108">
        <f t="shared" si="31"/>
        <v>360</v>
      </c>
      <c r="M104" s="87"/>
      <c r="O104" s="427"/>
      <c r="P104" s="427"/>
      <c r="Q104" s="433"/>
      <c r="R104" s="433"/>
      <c r="S104" s="428"/>
      <c r="T104" s="428"/>
      <c r="U104" s="434"/>
    </row>
    <row r="105" spans="1:21" s="7" customFormat="1" ht="20.100000000000001" customHeight="1">
      <c r="A105" s="101" t="s">
        <v>407</v>
      </c>
      <c r="B105" s="185" t="s">
        <v>222</v>
      </c>
      <c r="C105" s="103" t="s">
        <v>114</v>
      </c>
      <c r="G105" s="106">
        <v>4</v>
      </c>
      <c r="H105" s="106">
        <v>570</v>
      </c>
      <c r="I105" s="107">
        <f t="shared" si="30"/>
        <v>2280</v>
      </c>
      <c r="J105" s="287"/>
      <c r="K105" s="284"/>
      <c r="L105" s="108">
        <f t="shared" si="31"/>
        <v>2280</v>
      </c>
      <c r="M105" s="87"/>
      <c r="O105" s="427"/>
      <c r="P105" s="427"/>
      <c r="Q105" s="433"/>
      <c r="R105" s="433"/>
      <c r="S105" s="428"/>
      <c r="T105" s="428"/>
      <c r="U105" s="434"/>
    </row>
    <row r="106" spans="1:21" s="7" customFormat="1" ht="20.100000000000001" customHeight="1">
      <c r="A106" s="262"/>
      <c r="B106" s="376"/>
      <c r="C106" s="252"/>
      <c r="G106" s="284"/>
      <c r="H106" s="287"/>
      <c r="I106" s="107"/>
      <c r="J106" s="287"/>
      <c r="K106" s="284"/>
      <c r="L106" s="108">
        <f t="shared" si="31"/>
        <v>0</v>
      </c>
      <c r="M106" s="87"/>
      <c r="O106" s="427"/>
      <c r="P106" s="427"/>
      <c r="Q106" s="433"/>
      <c r="R106" s="433"/>
      <c r="S106" s="428"/>
      <c r="T106" s="428"/>
      <c r="U106" s="434"/>
    </row>
    <row r="107" spans="1:21" s="7" customFormat="1" ht="20.100000000000001" customHeight="1">
      <c r="A107" s="264" t="s">
        <v>408</v>
      </c>
      <c r="B107" s="94" t="s">
        <v>409</v>
      </c>
      <c r="C107" s="288"/>
      <c r="G107" s="284"/>
      <c r="H107" s="287"/>
      <c r="I107" s="107"/>
      <c r="J107" s="287"/>
      <c r="K107" s="284"/>
      <c r="L107" s="108">
        <f t="shared" si="31"/>
        <v>0</v>
      </c>
      <c r="M107" s="87"/>
      <c r="O107" s="427"/>
      <c r="P107" s="427"/>
      <c r="Q107" s="433"/>
      <c r="R107" s="433"/>
      <c r="S107" s="428"/>
      <c r="T107" s="428"/>
      <c r="U107" s="434"/>
    </row>
    <row r="108" spans="1:21" s="7" customFormat="1" ht="20.100000000000001" customHeight="1">
      <c r="A108" s="101" t="s">
        <v>410</v>
      </c>
      <c r="B108" s="185" t="s">
        <v>211</v>
      </c>
      <c r="C108" s="103" t="s">
        <v>114</v>
      </c>
      <c r="G108" s="106">
        <v>4</v>
      </c>
      <c r="H108" s="106">
        <v>4628</v>
      </c>
      <c r="I108" s="107">
        <f t="shared" si="30"/>
        <v>18512</v>
      </c>
      <c r="J108" s="287"/>
      <c r="K108" s="284"/>
      <c r="L108" s="108">
        <f t="shared" si="31"/>
        <v>18512</v>
      </c>
      <c r="M108" s="87"/>
      <c r="O108" s="427"/>
      <c r="P108" s="427"/>
      <c r="Q108" s="433"/>
      <c r="R108" s="433"/>
      <c r="S108" s="428"/>
      <c r="T108" s="428"/>
      <c r="U108" s="434"/>
    </row>
    <row r="109" spans="1:21" s="7" customFormat="1" ht="20.100000000000001" customHeight="1">
      <c r="A109" s="101" t="s">
        <v>411</v>
      </c>
      <c r="B109" s="228" t="s">
        <v>212</v>
      </c>
      <c r="C109" s="103" t="s">
        <v>114</v>
      </c>
      <c r="G109" s="106">
        <v>4</v>
      </c>
      <c r="H109" s="106">
        <v>150</v>
      </c>
      <c r="I109" s="107">
        <f t="shared" si="30"/>
        <v>600</v>
      </c>
      <c r="J109" s="287"/>
      <c r="K109" s="284"/>
      <c r="L109" s="108">
        <f t="shared" si="31"/>
        <v>600</v>
      </c>
      <c r="M109" s="87"/>
      <c r="O109" s="427"/>
      <c r="P109" s="427"/>
      <c r="Q109" s="433"/>
      <c r="R109" s="433"/>
      <c r="S109" s="428"/>
      <c r="T109" s="428"/>
      <c r="U109" s="434"/>
    </row>
    <row r="110" spans="1:21" s="7" customFormat="1" ht="20.100000000000001" customHeight="1">
      <c r="A110" s="101" t="s">
        <v>412</v>
      </c>
      <c r="B110" s="228" t="s">
        <v>213</v>
      </c>
      <c r="C110" s="103" t="s">
        <v>114</v>
      </c>
      <c r="G110" s="106">
        <v>4</v>
      </c>
      <c r="H110" s="106">
        <v>94</v>
      </c>
      <c r="I110" s="107">
        <f t="shared" si="30"/>
        <v>376</v>
      </c>
      <c r="J110" s="287"/>
      <c r="K110" s="284"/>
      <c r="L110" s="108">
        <f t="shared" si="31"/>
        <v>376</v>
      </c>
      <c r="M110" s="87"/>
      <c r="O110" s="427"/>
      <c r="P110" s="427"/>
      <c r="Q110" s="433"/>
      <c r="R110" s="433"/>
      <c r="S110" s="428"/>
      <c r="T110" s="428"/>
      <c r="U110" s="434"/>
    </row>
    <row r="111" spans="1:21" s="7" customFormat="1" ht="20.100000000000001" customHeight="1">
      <c r="A111" s="101" t="s">
        <v>413</v>
      </c>
      <c r="B111" s="185" t="s">
        <v>214</v>
      </c>
      <c r="C111" s="103" t="s">
        <v>114</v>
      </c>
      <c r="G111" s="106">
        <v>4</v>
      </c>
      <c r="H111" s="106">
        <v>2440</v>
      </c>
      <c r="I111" s="107">
        <f t="shared" si="30"/>
        <v>9760</v>
      </c>
      <c r="J111" s="287"/>
      <c r="K111" s="284"/>
      <c r="L111" s="108">
        <f t="shared" si="31"/>
        <v>9760</v>
      </c>
      <c r="M111" s="87"/>
      <c r="O111" s="427"/>
      <c r="P111" s="427"/>
      <c r="Q111" s="433"/>
      <c r="R111" s="433"/>
      <c r="S111" s="428"/>
      <c r="T111" s="428"/>
      <c r="U111" s="434"/>
    </row>
    <row r="112" spans="1:21" s="7" customFormat="1" ht="20.100000000000001" customHeight="1">
      <c r="A112" s="101" t="s">
        <v>414</v>
      </c>
      <c r="B112" s="228" t="s">
        <v>215</v>
      </c>
      <c r="C112" s="103" t="s">
        <v>114</v>
      </c>
      <c r="G112" s="106">
        <v>4</v>
      </c>
      <c r="H112" s="106">
        <v>834.6</v>
      </c>
      <c r="I112" s="107">
        <f t="shared" si="30"/>
        <v>3338.4</v>
      </c>
      <c r="J112" s="287"/>
      <c r="K112" s="284"/>
      <c r="L112" s="108">
        <f t="shared" si="31"/>
        <v>3338.4</v>
      </c>
      <c r="M112" s="87"/>
      <c r="O112" s="427"/>
      <c r="P112" s="427"/>
      <c r="Q112" s="433"/>
      <c r="R112" s="433"/>
      <c r="S112" s="428"/>
      <c r="T112" s="428"/>
      <c r="U112" s="434"/>
    </row>
    <row r="113" spans="1:21" s="7" customFormat="1" ht="20.100000000000001" customHeight="1">
      <c r="A113" s="101" t="s">
        <v>415</v>
      </c>
      <c r="B113" s="186" t="s">
        <v>217</v>
      </c>
      <c r="C113" s="103" t="s">
        <v>114</v>
      </c>
      <c r="G113" s="106">
        <v>4</v>
      </c>
      <c r="H113" s="106">
        <v>300</v>
      </c>
      <c r="I113" s="107">
        <f t="shared" si="30"/>
        <v>1200</v>
      </c>
      <c r="J113" s="287"/>
      <c r="K113" s="284"/>
      <c r="L113" s="108">
        <f t="shared" si="31"/>
        <v>1200</v>
      </c>
      <c r="M113" s="87"/>
      <c r="O113" s="427"/>
      <c r="P113" s="427"/>
      <c r="Q113" s="427"/>
      <c r="R113" s="427"/>
      <c r="S113" s="428"/>
      <c r="T113" s="428"/>
      <c r="U113" s="428"/>
    </row>
    <row r="114" spans="1:21" s="7" customFormat="1" ht="20.100000000000001" customHeight="1">
      <c r="A114" s="101" t="s">
        <v>416</v>
      </c>
      <c r="B114" s="186" t="s">
        <v>230</v>
      </c>
      <c r="C114" s="103" t="s">
        <v>114</v>
      </c>
      <c r="G114" s="106">
        <v>4</v>
      </c>
      <c r="H114" s="106">
        <v>315</v>
      </c>
      <c r="I114" s="107">
        <f t="shared" si="30"/>
        <v>1260</v>
      </c>
      <c r="J114" s="287"/>
      <c r="K114" s="284"/>
      <c r="L114" s="108">
        <f t="shared" si="31"/>
        <v>1260</v>
      </c>
      <c r="M114" s="87"/>
      <c r="O114" s="427"/>
      <c r="P114" s="427"/>
      <c r="Q114" s="427"/>
      <c r="R114" s="427"/>
      <c r="S114" s="428"/>
      <c r="T114" s="428"/>
      <c r="U114" s="428"/>
    </row>
    <row r="115" spans="1:21" s="7" customFormat="1" ht="20.100000000000001" customHeight="1">
      <c r="A115" s="101" t="s">
        <v>417</v>
      </c>
      <c r="B115" s="186" t="s">
        <v>219</v>
      </c>
      <c r="C115" s="103" t="s">
        <v>114</v>
      </c>
      <c r="G115" s="106">
        <v>4</v>
      </c>
      <c r="H115" s="106">
        <v>231</v>
      </c>
      <c r="I115" s="107">
        <f t="shared" si="30"/>
        <v>924</v>
      </c>
      <c r="J115" s="287"/>
      <c r="K115" s="284"/>
      <c r="L115" s="108">
        <f t="shared" si="31"/>
        <v>924</v>
      </c>
      <c r="M115" s="87"/>
      <c r="O115" s="446"/>
      <c r="P115" s="446"/>
      <c r="Q115" s="441"/>
      <c r="R115" s="441"/>
      <c r="S115" s="447"/>
      <c r="T115" s="447"/>
      <c r="U115" s="448"/>
    </row>
    <row r="116" spans="1:21" s="7" customFormat="1" ht="20.100000000000001" customHeight="1">
      <c r="A116" s="101" t="s">
        <v>418</v>
      </c>
      <c r="B116" s="185" t="s">
        <v>231</v>
      </c>
      <c r="C116" s="103" t="s">
        <v>114</v>
      </c>
      <c r="G116" s="106">
        <v>4</v>
      </c>
      <c r="H116" s="106">
        <v>350</v>
      </c>
      <c r="I116" s="107">
        <f t="shared" si="30"/>
        <v>1400</v>
      </c>
      <c r="J116" s="287"/>
      <c r="K116" s="284"/>
      <c r="L116" s="108">
        <f t="shared" si="31"/>
        <v>1400</v>
      </c>
      <c r="M116" s="87"/>
      <c r="O116" s="427"/>
      <c r="P116" s="427"/>
      <c r="Q116" s="433"/>
      <c r="R116" s="433"/>
      <c r="S116" s="428"/>
      <c r="T116" s="428"/>
      <c r="U116" s="434"/>
    </row>
    <row r="117" spans="1:21" s="7" customFormat="1" ht="20.100000000000001" customHeight="1">
      <c r="A117" s="101" t="s">
        <v>419</v>
      </c>
      <c r="B117" s="185" t="s">
        <v>220</v>
      </c>
      <c r="C117" s="103" t="s">
        <v>114</v>
      </c>
      <c r="G117" s="106">
        <v>4</v>
      </c>
      <c r="H117" s="106">
        <v>172.2</v>
      </c>
      <c r="I117" s="107">
        <f t="shared" si="30"/>
        <v>688.8</v>
      </c>
      <c r="J117" s="287"/>
      <c r="K117" s="284"/>
      <c r="L117" s="108">
        <f t="shared" si="31"/>
        <v>688.8</v>
      </c>
      <c r="M117" s="87"/>
      <c r="O117" s="427"/>
      <c r="P117" s="427"/>
      <c r="Q117" s="433"/>
      <c r="R117" s="433"/>
      <c r="S117" s="428"/>
      <c r="T117" s="428"/>
      <c r="U117" s="434"/>
    </row>
    <row r="118" spans="1:21" s="7" customFormat="1" ht="20.100000000000001" customHeight="1">
      <c r="A118" s="101" t="s">
        <v>420</v>
      </c>
      <c r="B118" s="185" t="s">
        <v>221</v>
      </c>
      <c r="C118" s="103" t="s">
        <v>114</v>
      </c>
      <c r="G118" s="106">
        <v>4</v>
      </c>
      <c r="H118" s="106">
        <v>90</v>
      </c>
      <c r="I118" s="107">
        <f t="shared" si="30"/>
        <v>360</v>
      </c>
      <c r="J118" s="287"/>
      <c r="K118" s="284"/>
      <c r="L118" s="108">
        <f t="shared" si="31"/>
        <v>360</v>
      </c>
      <c r="M118" s="87"/>
      <c r="O118" s="427"/>
      <c r="P118" s="427"/>
      <c r="Q118" s="433"/>
      <c r="R118" s="433"/>
      <c r="S118" s="428"/>
      <c r="T118" s="428"/>
      <c r="U118" s="434"/>
    </row>
    <row r="119" spans="1:21" s="7" customFormat="1" ht="20.100000000000001" customHeight="1">
      <c r="A119" s="101" t="s">
        <v>421</v>
      </c>
      <c r="B119" s="185" t="s">
        <v>222</v>
      </c>
      <c r="C119" s="103" t="s">
        <v>114</v>
      </c>
      <c r="G119" s="106">
        <v>4</v>
      </c>
      <c r="H119" s="106">
        <v>570</v>
      </c>
      <c r="I119" s="107">
        <f t="shared" si="30"/>
        <v>2280</v>
      </c>
      <c r="J119" s="287"/>
      <c r="K119" s="284"/>
      <c r="L119" s="108">
        <f t="shared" si="31"/>
        <v>2280</v>
      </c>
      <c r="M119" s="87"/>
      <c r="O119" s="427"/>
      <c r="P119" s="427"/>
      <c r="Q119" s="433"/>
      <c r="R119" s="433"/>
      <c r="S119" s="428"/>
      <c r="T119" s="428"/>
      <c r="U119" s="434"/>
    </row>
    <row r="120" spans="1:21" s="7" customFormat="1" ht="20.100000000000001" customHeight="1" thickBot="1">
      <c r="A120" s="262"/>
      <c r="B120" s="377"/>
      <c r="C120" s="252"/>
      <c r="G120" s="106"/>
      <c r="J120" s="287"/>
      <c r="K120" s="284"/>
      <c r="L120" s="108">
        <f t="shared" si="31"/>
        <v>0</v>
      </c>
      <c r="M120" s="87"/>
      <c r="O120" s="427"/>
      <c r="P120" s="427"/>
      <c r="Q120" s="433"/>
      <c r="R120" s="433"/>
      <c r="S120" s="428"/>
      <c r="T120" s="428"/>
      <c r="U120" s="434"/>
    </row>
    <row r="121" spans="1:21" s="7" customFormat="1" ht="20.100000000000001" customHeight="1" thickTop="1" thickBot="1">
      <c r="A121" s="36"/>
      <c r="B121" s="37" t="s">
        <v>366</v>
      </c>
      <c r="C121" s="40"/>
      <c r="D121" s="41"/>
      <c r="E121" s="42"/>
      <c r="F121" s="42"/>
      <c r="G121" s="43"/>
      <c r="H121" s="43"/>
      <c r="I121" s="29">
        <f>SUM(I75:I119)</f>
        <v>130057.60000000001</v>
      </c>
      <c r="J121" s="43"/>
      <c r="K121" s="29"/>
      <c r="L121" s="29">
        <f>SUM(L75:L119)</f>
        <v>130057.60000000001</v>
      </c>
      <c r="M121" s="30"/>
      <c r="O121" s="427"/>
      <c r="P121" s="427"/>
      <c r="Q121" s="433"/>
      <c r="R121" s="433"/>
      <c r="S121" s="428"/>
      <c r="T121" s="428"/>
      <c r="U121" s="434"/>
    </row>
    <row r="122" spans="1:21" s="7" customFormat="1" ht="20.100000000000001" customHeight="1" thickTop="1">
      <c r="A122" s="372"/>
      <c r="B122" s="356"/>
      <c r="C122" s="357"/>
      <c r="D122" s="1"/>
      <c r="E122" s="1"/>
      <c r="F122" s="1"/>
      <c r="G122" s="106"/>
      <c r="H122" s="357"/>
      <c r="I122" s="357"/>
      <c r="J122" s="357"/>
      <c r="K122" s="357"/>
      <c r="L122" s="108">
        <f t="shared" si="31"/>
        <v>0</v>
      </c>
      <c r="M122" s="369"/>
      <c r="O122" s="427"/>
      <c r="P122" s="427"/>
      <c r="Q122" s="433"/>
      <c r="R122" s="433"/>
      <c r="S122" s="428"/>
      <c r="T122" s="428"/>
      <c r="U122" s="434"/>
    </row>
    <row r="123" spans="1:21" s="7" customFormat="1" ht="20.100000000000001" customHeight="1">
      <c r="A123" s="71" t="s">
        <v>21</v>
      </c>
      <c r="B123" s="72" t="s">
        <v>138</v>
      </c>
      <c r="C123" s="172"/>
      <c r="D123" s="173"/>
      <c r="E123" s="73"/>
      <c r="F123" s="73"/>
      <c r="G123" s="106"/>
      <c r="H123" s="74"/>
      <c r="I123" s="74"/>
      <c r="J123" s="74"/>
      <c r="K123" s="74"/>
      <c r="L123" s="108">
        <f t="shared" si="31"/>
        <v>0</v>
      </c>
      <c r="M123" s="76"/>
      <c r="O123" s="427"/>
      <c r="P123" s="427"/>
      <c r="Q123" s="433"/>
      <c r="R123" s="433"/>
      <c r="S123" s="428"/>
      <c r="T123" s="428"/>
      <c r="U123" s="434"/>
    </row>
    <row r="124" spans="1:21" s="7" customFormat="1" ht="20.100000000000001" customHeight="1">
      <c r="A124" s="231" t="s">
        <v>139</v>
      </c>
      <c r="B124" s="237" t="s">
        <v>232</v>
      </c>
      <c r="C124" s="234"/>
      <c r="D124" s="235"/>
      <c r="E124" s="106"/>
      <c r="F124" s="106"/>
      <c r="G124" s="106"/>
      <c r="H124" s="107"/>
      <c r="I124" s="107"/>
      <c r="J124" s="107"/>
      <c r="K124" s="107"/>
      <c r="L124" s="108">
        <f t="shared" si="31"/>
        <v>0</v>
      </c>
      <c r="M124" s="100"/>
      <c r="O124" s="427"/>
      <c r="P124" s="427"/>
      <c r="Q124" s="433"/>
      <c r="R124" s="433"/>
      <c r="S124" s="428"/>
      <c r="T124" s="428"/>
      <c r="U124" s="434"/>
    </row>
    <row r="125" spans="1:21" s="7" customFormat="1" ht="20.100000000000001" customHeight="1">
      <c r="A125" s="233" t="s">
        <v>422</v>
      </c>
      <c r="B125" s="102" t="s">
        <v>223</v>
      </c>
      <c r="C125" s="234" t="s">
        <v>161</v>
      </c>
      <c r="D125" s="235"/>
      <c r="E125" s="106"/>
      <c r="F125" s="106"/>
      <c r="G125" s="106">
        <v>176</v>
      </c>
      <c r="H125" s="106">
        <v>42</v>
      </c>
      <c r="I125" s="107">
        <f t="shared" ref="I125:I130" si="32">G125*H125</f>
        <v>7392</v>
      </c>
      <c r="J125" s="107"/>
      <c r="K125" s="107"/>
      <c r="L125" s="108">
        <f t="shared" si="31"/>
        <v>7392</v>
      </c>
      <c r="M125" s="236"/>
      <c r="O125" s="427"/>
      <c r="P125" s="427"/>
      <c r="Q125" s="433"/>
      <c r="R125" s="433"/>
      <c r="S125" s="428"/>
      <c r="T125" s="428"/>
      <c r="U125" s="434"/>
    </row>
    <row r="126" spans="1:21" s="7" customFormat="1" ht="19.5" customHeight="1">
      <c r="A126" s="233" t="s">
        <v>162</v>
      </c>
      <c r="B126" s="261" t="s">
        <v>423</v>
      </c>
      <c r="C126" s="234" t="s">
        <v>35</v>
      </c>
      <c r="D126" s="378"/>
      <c r="E126" s="221"/>
      <c r="F126" s="221"/>
      <c r="G126" s="106"/>
      <c r="H126" s="221"/>
      <c r="I126" s="107">
        <f t="shared" si="32"/>
        <v>0</v>
      </c>
      <c r="J126" s="222"/>
      <c r="K126" s="222"/>
      <c r="L126" s="108">
        <f t="shared" si="31"/>
        <v>0</v>
      </c>
      <c r="M126" s="236"/>
      <c r="O126" s="427"/>
      <c r="P126" s="427"/>
      <c r="Q126" s="433"/>
      <c r="R126" s="433"/>
      <c r="S126" s="428"/>
      <c r="T126" s="428"/>
      <c r="U126" s="434"/>
    </row>
    <row r="127" spans="1:21">
      <c r="A127" s="388"/>
      <c r="B127" s="290" t="s">
        <v>424</v>
      </c>
      <c r="C127" s="290"/>
      <c r="D127" s="305"/>
      <c r="E127" s="290"/>
      <c r="F127" s="290"/>
      <c r="G127" s="106">
        <v>336.25</v>
      </c>
      <c r="H127" s="290">
        <v>450</v>
      </c>
      <c r="I127" s="107">
        <f t="shared" si="32"/>
        <v>151312.5</v>
      </c>
      <c r="J127" s="290"/>
      <c r="K127" s="290"/>
      <c r="L127" s="108">
        <f t="shared" si="31"/>
        <v>151312.5</v>
      </c>
      <c r="M127" s="389"/>
      <c r="O127" s="427"/>
      <c r="P127" s="427"/>
      <c r="Q127" s="433"/>
      <c r="R127" s="433"/>
      <c r="S127" s="428"/>
      <c r="T127" s="428"/>
      <c r="U127" s="434"/>
    </row>
    <row r="128" spans="1:21" s="7" customFormat="1" ht="19.5" customHeight="1">
      <c r="A128" s="233" t="s">
        <v>425</v>
      </c>
      <c r="B128" s="282" t="s">
        <v>180</v>
      </c>
      <c r="C128" s="279" t="s">
        <v>164</v>
      </c>
      <c r="D128" s="280"/>
      <c r="E128" s="124"/>
      <c r="F128" s="124"/>
      <c r="G128" s="106"/>
      <c r="H128" s="124"/>
      <c r="I128" s="107">
        <v>32000</v>
      </c>
      <c r="J128" s="125"/>
      <c r="K128" s="125"/>
      <c r="L128" s="108">
        <f t="shared" si="31"/>
        <v>32000</v>
      </c>
      <c r="M128" s="236"/>
      <c r="O128" s="427"/>
      <c r="P128" s="427"/>
      <c r="Q128" s="433"/>
      <c r="R128" s="433"/>
      <c r="S128" s="428"/>
      <c r="T128" s="428"/>
      <c r="U128" s="434"/>
    </row>
    <row r="129" spans="1:21" s="7" customFormat="1" ht="20.100000000000001" customHeight="1">
      <c r="A129" s="233"/>
      <c r="B129" s="102"/>
      <c r="C129" s="234"/>
      <c r="D129" s="235"/>
      <c r="E129" s="106"/>
      <c r="F129" s="106"/>
      <c r="G129" s="106"/>
      <c r="H129" s="106"/>
      <c r="I129" s="107">
        <f t="shared" si="32"/>
        <v>0</v>
      </c>
      <c r="J129" s="107"/>
      <c r="K129" s="107"/>
      <c r="L129" s="108">
        <f t="shared" si="31"/>
        <v>0</v>
      </c>
      <c r="M129" s="236"/>
      <c r="O129" s="427"/>
      <c r="P129" s="427"/>
      <c r="Q129" s="433"/>
      <c r="R129" s="433"/>
      <c r="S129" s="428"/>
      <c r="T129" s="428"/>
      <c r="U129" s="434"/>
    </row>
    <row r="130" spans="1:21" s="7" customFormat="1" ht="19.5" customHeight="1" thickBot="1">
      <c r="A130" s="233"/>
      <c r="B130" s="102"/>
      <c r="C130" s="234"/>
      <c r="D130" s="235"/>
      <c r="E130" s="106"/>
      <c r="F130" s="106"/>
      <c r="G130" s="106"/>
      <c r="H130" s="106"/>
      <c r="I130" s="107">
        <f t="shared" si="32"/>
        <v>0</v>
      </c>
      <c r="J130" s="107"/>
      <c r="K130" s="107"/>
      <c r="L130" s="108">
        <f t="shared" si="31"/>
        <v>0</v>
      </c>
      <c r="M130" s="236"/>
      <c r="O130" s="427"/>
      <c r="P130" s="427"/>
      <c r="Q130" s="433"/>
      <c r="R130" s="433"/>
      <c r="S130" s="428"/>
      <c r="T130" s="428"/>
      <c r="U130" s="434"/>
    </row>
    <row r="131" spans="1:21" s="7" customFormat="1" ht="19.5" customHeight="1" thickTop="1" thickBot="1">
      <c r="A131" s="36"/>
      <c r="B131" s="37" t="s">
        <v>140</v>
      </c>
      <c r="C131" s="40"/>
      <c r="D131" s="41"/>
      <c r="E131" s="42"/>
      <c r="F131" s="42"/>
      <c r="G131" s="42"/>
      <c r="H131" s="43"/>
      <c r="I131" s="29">
        <f>SUM(I125:I130)</f>
        <v>190704.5</v>
      </c>
      <c r="J131" s="43"/>
      <c r="K131" s="29"/>
      <c r="L131" s="29">
        <f>SUM(L125:L130)</f>
        <v>190704.5</v>
      </c>
      <c r="M131" s="30"/>
      <c r="O131" s="427"/>
      <c r="P131" s="427"/>
      <c r="Q131" s="433"/>
      <c r="R131" s="433"/>
      <c r="S131" s="428"/>
      <c r="T131" s="428"/>
      <c r="U131" s="434"/>
    </row>
    <row r="132" spans="1:21" s="7" customFormat="1" ht="20.25" customHeight="1" thickTop="1">
      <c r="A132" s="340" t="s">
        <v>22</v>
      </c>
      <c r="B132" s="341" t="s">
        <v>342</v>
      </c>
      <c r="C132" s="174" t="s">
        <v>33</v>
      </c>
      <c r="D132" s="175"/>
      <c r="E132" s="176"/>
      <c r="F132" s="176"/>
      <c r="G132" s="177"/>
      <c r="I132" s="177"/>
      <c r="J132" s="177"/>
      <c r="K132" s="177"/>
      <c r="L132" s="108">
        <f t="shared" si="31"/>
        <v>0</v>
      </c>
      <c r="M132" s="179"/>
      <c r="O132" s="427"/>
      <c r="P132" s="427"/>
      <c r="Q132" s="433"/>
      <c r="R132" s="433"/>
      <c r="S132" s="428"/>
      <c r="T132" s="428"/>
      <c r="U132" s="434"/>
    </row>
    <row r="133" spans="1:21" s="7" customFormat="1" ht="20.100000000000001" customHeight="1">
      <c r="A133" s="231" t="s">
        <v>141</v>
      </c>
      <c r="B133" s="342" t="s">
        <v>343</v>
      </c>
      <c r="C133" s="343"/>
      <c r="D133" s="232"/>
      <c r="E133" s="98"/>
      <c r="F133" s="98"/>
      <c r="H133" s="106"/>
      <c r="I133" s="99"/>
      <c r="J133" s="99"/>
      <c r="K133" s="99"/>
      <c r="L133" s="108">
        <f t="shared" si="31"/>
        <v>0</v>
      </c>
      <c r="M133" s="100"/>
      <c r="O133" s="427"/>
      <c r="P133" s="427"/>
      <c r="Q133" s="433"/>
      <c r="R133" s="433"/>
      <c r="S133" s="428"/>
      <c r="T133" s="428"/>
      <c r="U133" s="434"/>
    </row>
    <row r="134" spans="1:21" s="7" customFormat="1" ht="20.100000000000001" customHeight="1">
      <c r="A134" s="233"/>
      <c r="B134" s="238" t="s">
        <v>344</v>
      </c>
      <c r="C134" s="234" t="s">
        <v>345</v>
      </c>
      <c r="D134" s="104">
        <v>0</v>
      </c>
      <c r="E134" s="105">
        <f>32*2</f>
        <v>64</v>
      </c>
      <c r="F134" s="106"/>
      <c r="G134" s="7">
        <v>76</v>
      </c>
      <c r="H134" s="106">
        <v>540</v>
      </c>
      <c r="I134" s="107">
        <f t="shared" ref="I134:I140" si="33">G134*H134</f>
        <v>41040</v>
      </c>
      <c r="J134" s="107"/>
      <c r="K134" s="107"/>
      <c r="L134" s="108">
        <f t="shared" si="31"/>
        <v>41040</v>
      </c>
      <c r="M134" s="77"/>
      <c r="O134" s="427"/>
      <c r="P134" s="427"/>
      <c r="Q134" s="433"/>
      <c r="R134" s="433"/>
      <c r="S134" s="428"/>
      <c r="T134" s="428"/>
      <c r="U134" s="434"/>
    </row>
    <row r="135" spans="1:21" s="7" customFormat="1" ht="20.100000000000001" customHeight="1">
      <c r="A135" s="233"/>
      <c r="B135" s="238" t="s">
        <v>346</v>
      </c>
      <c r="C135" s="103" t="s">
        <v>63</v>
      </c>
      <c r="D135" s="104">
        <v>0</v>
      </c>
      <c r="E135" s="105">
        <f>4.38*2</f>
        <v>8.76</v>
      </c>
      <c r="F135" s="106"/>
      <c r="G135" s="106">
        <v>23.6</v>
      </c>
      <c r="H135" s="106">
        <v>470</v>
      </c>
      <c r="I135" s="107">
        <f t="shared" si="33"/>
        <v>11092</v>
      </c>
      <c r="J135" s="107"/>
      <c r="K135" s="107"/>
      <c r="L135" s="108">
        <f t="shared" si="31"/>
        <v>11092</v>
      </c>
      <c r="M135" s="77"/>
      <c r="O135" s="427"/>
      <c r="P135" s="427"/>
      <c r="Q135" s="433"/>
      <c r="R135" s="433"/>
      <c r="S135" s="428"/>
      <c r="T135" s="428"/>
      <c r="U135" s="434"/>
    </row>
    <row r="136" spans="1:21" s="7" customFormat="1" ht="20.100000000000001" customHeight="1">
      <c r="A136" s="233"/>
      <c r="B136" s="265" t="s">
        <v>347</v>
      </c>
      <c r="C136" s="103" t="s">
        <v>94</v>
      </c>
      <c r="D136" s="104">
        <v>0</v>
      </c>
      <c r="E136" s="105">
        <f>6*3.12*2</f>
        <v>37.44</v>
      </c>
      <c r="F136" s="106"/>
      <c r="G136" s="106">
        <v>6</v>
      </c>
      <c r="H136" s="106">
        <v>70</v>
      </c>
      <c r="I136" s="107">
        <f t="shared" si="33"/>
        <v>420</v>
      </c>
      <c r="J136" s="107"/>
      <c r="K136" s="107"/>
      <c r="L136" s="108">
        <f t="shared" si="31"/>
        <v>420</v>
      </c>
      <c r="M136" s="77"/>
      <c r="O136" s="427"/>
      <c r="P136" s="427"/>
      <c r="Q136" s="433"/>
      <c r="R136" s="433"/>
      <c r="S136" s="428"/>
      <c r="T136" s="428"/>
      <c r="U136" s="434"/>
    </row>
    <row r="137" spans="1:21" s="7" customFormat="1" ht="20.100000000000001" customHeight="1">
      <c r="A137" s="233"/>
      <c r="B137" s="238" t="s">
        <v>348</v>
      </c>
      <c r="C137" s="103" t="s">
        <v>160</v>
      </c>
      <c r="D137" s="104"/>
      <c r="E137" s="105"/>
      <c r="F137" s="106"/>
      <c r="G137" s="290">
        <v>4</v>
      </c>
      <c r="H137" s="106"/>
      <c r="I137" s="107">
        <v>12000</v>
      </c>
      <c r="J137" s="107"/>
      <c r="K137" s="107"/>
      <c r="L137" s="108">
        <f t="shared" si="31"/>
        <v>12000</v>
      </c>
      <c r="M137" s="77"/>
      <c r="O137" s="427"/>
      <c r="P137" s="427"/>
      <c r="Q137" s="427"/>
      <c r="R137" s="427"/>
      <c r="S137" s="428"/>
      <c r="T137" s="428"/>
      <c r="U137" s="428"/>
    </row>
    <row r="138" spans="1:21" s="7" customFormat="1" ht="20.100000000000001" customHeight="1">
      <c r="A138" s="233"/>
      <c r="B138" s="224" t="s">
        <v>349</v>
      </c>
      <c r="C138" s="103" t="s">
        <v>160</v>
      </c>
      <c r="D138" s="104"/>
      <c r="E138" s="105"/>
      <c r="F138" s="106"/>
      <c r="G138" s="290">
        <v>4</v>
      </c>
      <c r="H138" s="106">
        <v>2500</v>
      </c>
      <c r="I138" s="107">
        <f t="shared" si="33"/>
        <v>10000</v>
      </c>
      <c r="J138" s="107"/>
      <c r="K138" s="107"/>
      <c r="L138" s="108">
        <f t="shared" si="31"/>
        <v>10000</v>
      </c>
      <c r="M138" s="77"/>
      <c r="O138" s="427"/>
      <c r="P138" s="427"/>
      <c r="Q138" s="427"/>
      <c r="R138" s="427"/>
      <c r="S138" s="428"/>
      <c r="T138" s="428"/>
      <c r="U138" s="428"/>
    </row>
    <row r="139" spans="1:21" s="7" customFormat="1" ht="20.100000000000001" customHeight="1">
      <c r="A139" s="233"/>
      <c r="B139" s="224" t="s">
        <v>350</v>
      </c>
      <c r="C139" s="103" t="s">
        <v>160</v>
      </c>
      <c r="D139" s="104"/>
      <c r="E139" s="105"/>
      <c r="F139" s="106"/>
      <c r="G139" s="290">
        <v>4</v>
      </c>
      <c r="H139" s="106">
        <v>3500</v>
      </c>
      <c r="I139" s="107">
        <f t="shared" si="33"/>
        <v>14000</v>
      </c>
      <c r="J139" s="107"/>
      <c r="K139" s="107"/>
      <c r="L139" s="108">
        <f t="shared" si="31"/>
        <v>14000</v>
      </c>
      <c r="M139" s="77"/>
      <c r="O139" s="427"/>
      <c r="P139" s="427"/>
      <c r="Q139" s="433"/>
      <c r="R139" s="433"/>
      <c r="S139" s="428"/>
      <c r="T139" s="428"/>
      <c r="U139" s="434"/>
    </row>
    <row r="140" spans="1:21" s="1" customFormat="1" ht="21.75" customHeight="1">
      <c r="A140" s="233"/>
      <c r="B140" s="238" t="s">
        <v>351</v>
      </c>
      <c r="C140" s="103" t="s">
        <v>94</v>
      </c>
      <c r="D140" s="104">
        <v>0</v>
      </c>
      <c r="E140" s="105">
        <f>6*3.12*2</f>
        <v>37.44</v>
      </c>
      <c r="F140" s="106"/>
      <c r="G140" s="124">
        <v>18</v>
      </c>
      <c r="H140" s="106">
        <v>1800</v>
      </c>
      <c r="I140" s="107">
        <f t="shared" si="33"/>
        <v>32400</v>
      </c>
      <c r="J140" s="107"/>
      <c r="K140" s="107"/>
      <c r="L140" s="108">
        <f t="shared" si="31"/>
        <v>32400</v>
      </c>
      <c r="M140" s="77"/>
      <c r="O140" s="427"/>
      <c r="P140" s="427"/>
      <c r="Q140" s="433"/>
      <c r="R140" s="433"/>
      <c r="S140" s="428"/>
      <c r="T140" s="428"/>
      <c r="U140" s="434"/>
    </row>
    <row r="141" spans="1:21" s="1" customFormat="1" ht="20.100000000000001" customHeight="1" thickBot="1">
      <c r="A141" s="358"/>
      <c r="B141" s="190"/>
      <c r="C141" s="111"/>
      <c r="D141" s="112"/>
      <c r="E141" s="113"/>
      <c r="F141" s="114"/>
      <c r="G141" s="106"/>
      <c r="H141" s="359"/>
      <c r="J141" s="359"/>
      <c r="K141" s="115"/>
      <c r="L141" s="108">
        <f t="shared" si="31"/>
        <v>0</v>
      </c>
      <c r="M141" s="77"/>
      <c r="O141" s="427"/>
      <c r="P141" s="427"/>
      <c r="Q141" s="433"/>
      <c r="R141" s="433"/>
      <c r="S141" s="428"/>
      <c r="T141" s="428"/>
      <c r="U141" s="434"/>
    </row>
    <row r="142" spans="1:21" s="7" customFormat="1" ht="20.100000000000001" customHeight="1" thickTop="1" thickBot="1">
      <c r="A142" s="36"/>
      <c r="B142" s="37" t="s">
        <v>142</v>
      </c>
      <c r="C142" s="40"/>
      <c r="D142" s="41"/>
      <c r="E142" s="42"/>
      <c r="F142" s="42"/>
      <c r="G142" s="42"/>
      <c r="H142" s="43"/>
      <c r="I142" s="29">
        <f>SUM(I134:I140)</f>
        <v>120952</v>
      </c>
      <c r="J142" s="43"/>
      <c r="K142" s="29"/>
      <c r="L142" s="29">
        <f>SUM(L134:L140)</f>
        <v>120952</v>
      </c>
      <c r="M142" s="30"/>
      <c r="O142" s="427"/>
      <c r="P142" s="427"/>
      <c r="Q142" s="433"/>
      <c r="R142" s="433"/>
      <c r="S142" s="428"/>
      <c r="T142" s="428"/>
      <c r="U142" s="434"/>
    </row>
    <row r="143" spans="1:21" s="7" customFormat="1" ht="20.100000000000001" customHeight="1" thickTop="1" thickBot="1">
      <c r="A143" s="71" t="s">
        <v>352</v>
      </c>
      <c r="B143" s="72" t="s">
        <v>143</v>
      </c>
      <c r="C143" s="172" t="s">
        <v>33</v>
      </c>
      <c r="D143" s="173"/>
      <c r="E143" s="73"/>
      <c r="F143" s="73"/>
      <c r="G143" s="74"/>
      <c r="H143" s="74"/>
      <c r="I143" s="107"/>
      <c r="J143" s="74"/>
      <c r="K143" s="74"/>
      <c r="L143" s="108">
        <f t="shared" si="31"/>
        <v>0</v>
      </c>
      <c r="M143" s="369"/>
      <c r="O143" s="427"/>
      <c r="P143" s="427"/>
      <c r="Q143" s="433"/>
      <c r="R143" s="433"/>
      <c r="S143" s="428"/>
      <c r="T143" s="428"/>
      <c r="U143" s="434"/>
    </row>
    <row r="144" spans="1:21" s="7" customFormat="1" ht="20.100000000000001" customHeight="1" thickTop="1">
      <c r="A144" s="239" t="s">
        <v>353</v>
      </c>
      <c r="B144" s="240" t="s">
        <v>426</v>
      </c>
      <c r="C144" s="103"/>
      <c r="D144" s="104">
        <v>0</v>
      </c>
      <c r="E144" s="105">
        <v>530</v>
      </c>
      <c r="F144" s="106"/>
      <c r="G144" s="176"/>
      <c r="H144" s="106"/>
      <c r="I144" s="107"/>
      <c r="J144" s="107"/>
      <c r="K144" s="107"/>
      <c r="L144" s="108">
        <f t="shared" si="31"/>
        <v>0</v>
      </c>
      <c r="M144" s="76"/>
      <c r="O144" s="427"/>
      <c r="P144" s="427"/>
      <c r="Q144" s="433"/>
      <c r="R144" s="433"/>
      <c r="S144" s="428"/>
      <c r="T144" s="428"/>
      <c r="U144" s="434"/>
    </row>
    <row r="145" spans="1:21" s="7" customFormat="1" ht="20.100000000000001" customHeight="1">
      <c r="A145" s="233" t="s">
        <v>427</v>
      </c>
      <c r="B145" s="216" t="s">
        <v>224</v>
      </c>
      <c r="C145" s="7" t="s">
        <v>114</v>
      </c>
      <c r="G145" s="98">
        <v>2</v>
      </c>
      <c r="H145" s="106">
        <v>17187.5</v>
      </c>
      <c r="I145" s="107">
        <f t="shared" ref="I145:I156" si="34">G145*H145</f>
        <v>34375</v>
      </c>
      <c r="J145" s="379"/>
      <c r="K145" s="379"/>
      <c r="L145" s="108">
        <f t="shared" si="31"/>
        <v>34375</v>
      </c>
      <c r="M145" s="126"/>
      <c r="O145" s="427"/>
      <c r="P145" s="427"/>
      <c r="Q145" s="433"/>
      <c r="R145" s="433"/>
      <c r="S145" s="428"/>
      <c r="T145" s="428"/>
      <c r="U145" s="434"/>
    </row>
    <row r="146" spans="1:21" s="7" customFormat="1" ht="20.100000000000001" customHeight="1">
      <c r="A146" s="239" t="s">
        <v>428</v>
      </c>
      <c r="B146" s="216" t="s">
        <v>225</v>
      </c>
      <c r="C146" s="7" t="s">
        <v>114</v>
      </c>
      <c r="D146" s="104">
        <v>0</v>
      </c>
      <c r="E146" s="105">
        <v>530</v>
      </c>
      <c r="F146" s="106"/>
      <c r="G146" s="106">
        <v>2</v>
      </c>
      <c r="H146" s="106">
        <v>13281.25</v>
      </c>
      <c r="I146" s="107">
        <f t="shared" si="34"/>
        <v>26562.5</v>
      </c>
      <c r="J146" s="107"/>
      <c r="K146" s="107"/>
      <c r="L146" s="108">
        <f t="shared" si="31"/>
        <v>26562.5</v>
      </c>
      <c r="M146" s="109"/>
      <c r="O146" s="427"/>
      <c r="P146" s="427"/>
      <c r="Q146" s="433"/>
      <c r="R146" s="433"/>
      <c r="S146" s="428"/>
      <c r="T146" s="428"/>
      <c r="U146" s="434"/>
    </row>
    <row r="147" spans="1:21" s="7" customFormat="1" ht="20.100000000000001" customHeight="1">
      <c r="A147" s="233" t="s">
        <v>429</v>
      </c>
      <c r="B147" s="216" t="s">
        <v>234</v>
      </c>
      <c r="C147" s="7" t="s">
        <v>114</v>
      </c>
      <c r="G147" s="106">
        <v>12</v>
      </c>
      <c r="H147" s="106">
        <v>2175</v>
      </c>
      <c r="I147" s="107">
        <f t="shared" si="34"/>
        <v>26100</v>
      </c>
      <c r="J147" s="363"/>
      <c r="K147" s="363"/>
      <c r="L147" s="108">
        <f t="shared" si="31"/>
        <v>26100</v>
      </c>
      <c r="M147" s="77"/>
      <c r="O147" s="427"/>
      <c r="P147" s="427"/>
      <c r="Q147" s="433"/>
      <c r="R147" s="433"/>
      <c r="S147" s="428"/>
      <c r="T147" s="428"/>
      <c r="U147" s="434"/>
    </row>
    <row r="148" spans="1:21" s="7" customFormat="1" ht="20.25" customHeight="1">
      <c r="A148" s="239" t="s">
        <v>430</v>
      </c>
      <c r="B148" s="216" t="s">
        <v>235</v>
      </c>
      <c r="C148" s="7" t="s">
        <v>114</v>
      </c>
      <c r="D148" s="104">
        <v>0</v>
      </c>
      <c r="E148" s="105">
        <f>6*3.12*2</f>
        <v>37.44</v>
      </c>
      <c r="F148" s="106"/>
      <c r="G148" s="106">
        <v>4</v>
      </c>
      <c r="H148" s="106">
        <v>12500</v>
      </c>
      <c r="I148" s="107">
        <f t="shared" si="34"/>
        <v>50000</v>
      </c>
      <c r="J148" s="363"/>
      <c r="K148" s="363"/>
      <c r="L148" s="108">
        <f t="shared" si="31"/>
        <v>50000</v>
      </c>
      <c r="M148" s="109"/>
      <c r="O148" s="427"/>
      <c r="P148" s="427"/>
      <c r="Q148" s="433"/>
      <c r="R148" s="433"/>
      <c r="S148" s="428"/>
      <c r="T148" s="428"/>
      <c r="U148" s="434"/>
    </row>
    <row r="149" spans="1:21" s="7" customFormat="1" ht="20.100000000000001" customHeight="1" thickBot="1">
      <c r="A149" s="233" t="s">
        <v>431</v>
      </c>
      <c r="B149" s="216" t="s">
        <v>367</v>
      </c>
      <c r="C149" s="7" t="s">
        <v>114</v>
      </c>
      <c r="D149" s="112"/>
      <c r="E149" s="113"/>
      <c r="F149" s="114"/>
      <c r="G149" s="106">
        <v>4</v>
      </c>
      <c r="H149" s="106">
        <v>4650</v>
      </c>
      <c r="I149" s="107">
        <f t="shared" si="34"/>
        <v>18600</v>
      </c>
      <c r="J149" s="363"/>
      <c r="K149" s="363"/>
      <c r="L149" s="108">
        <f t="shared" si="31"/>
        <v>18600</v>
      </c>
      <c r="M149" s="77"/>
      <c r="O149" s="427"/>
      <c r="P149" s="427"/>
      <c r="Q149" s="427"/>
      <c r="R149" s="427"/>
      <c r="S149" s="428"/>
      <c r="T149" s="428"/>
      <c r="U149" s="428"/>
    </row>
    <row r="150" spans="1:21" s="7" customFormat="1" ht="20.100000000000001" customHeight="1" thickTop="1" thickBot="1">
      <c r="A150" s="239" t="s">
        <v>432</v>
      </c>
      <c r="B150" s="216" t="s">
        <v>368</v>
      </c>
      <c r="C150" s="7" t="s">
        <v>114</v>
      </c>
      <c r="D150" s="380"/>
      <c r="E150" s="381"/>
      <c r="F150" s="382"/>
      <c r="G150" s="106">
        <v>2</v>
      </c>
      <c r="H150" s="106">
        <v>7500</v>
      </c>
      <c r="I150" s="107">
        <f t="shared" si="34"/>
        <v>15000</v>
      </c>
      <c r="J150" s="363"/>
      <c r="K150" s="363"/>
      <c r="L150" s="108">
        <f t="shared" si="31"/>
        <v>15000</v>
      </c>
      <c r="M150" s="87"/>
      <c r="O150" s="427"/>
      <c r="P150" s="427"/>
      <c r="Q150" s="427"/>
      <c r="R150" s="427"/>
      <c r="S150" s="428"/>
      <c r="T150" s="428"/>
      <c r="U150" s="428"/>
    </row>
    <row r="151" spans="1:21" s="7" customFormat="1" ht="20.100000000000001" customHeight="1" thickTop="1" thickBot="1">
      <c r="A151" s="233" t="s">
        <v>433</v>
      </c>
      <c r="B151" s="216" t="s">
        <v>369</v>
      </c>
      <c r="C151" s="7" t="s">
        <v>114</v>
      </c>
      <c r="D151" s="380"/>
      <c r="E151" s="381"/>
      <c r="F151" s="382"/>
      <c r="G151" s="106">
        <v>2</v>
      </c>
      <c r="H151" s="106">
        <v>10200</v>
      </c>
      <c r="I151" s="107">
        <f t="shared" si="34"/>
        <v>20400</v>
      </c>
      <c r="J151" s="363"/>
      <c r="K151" s="363"/>
      <c r="L151" s="108">
        <f t="shared" si="31"/>
        <v>20400</v>
      </c>
      <c r="M151" s="87"/>
      <c r="O151" s="427"/>
      <c r="P151" s="427"/>
      <c r="Q151" s="433"/>
      <c r="R151" s="433"/>
      <c r="S151" s="428"/>
      <c r="T151" s="428"/>
      <c r="U151" s="434"/>
    </row>
    <row r="152" spans="1:21" s="7" customFormat="1" ht="20.100000000000001" customHeight="1" thickTop="1" thickBot="1">
      <c r="A152" s="239" t="s">
        <v>434</v>
      </c>
      <c r="B152" s="216" t="s">
        <v>370</v>
      </c>
      <c r="C152" s="7" t="s">
        <v>114</v>
      </c>
      <c r="D152" s="380"/>
      <c r="E152" s="381"/>
      <c r="F152" s="382"/>
      <c r="G152" s="106">
        <v>4</v>
      </c>
      <c r="H152" s="106">
        <v>28687.5</v>
      </c>
      <c r="I152" s="107">
        <f t="shared" si="34"/>
        <v>114750</v>
      </c>
      <c r="J152" s="363"/>
      <c r="K152" s="363"/>
      <c r="L152" s="108">
        <f t="shared" si="31"/>
        <v>114750</v>
      </c>
      <c r="M152" s="87"/>
      <c r="O152" s="427"/>
      <c r="P152" s="427"/>
      <c r="Q152" s="433"/>
      <c r="R152" s="433"/>
      <c r="S152" s="428"/>
      <c r="T152" s="428"/>
      <c r="U152" s="434"/>
    </row>
    <row r="153" spans="1:21" s="7" customFormat="1" ht="20.100000000000001" customHeight="1" thickTop="1" thickBot="1">
      <c r="A153" s="233" t="s">
        <v>435</v>
      </c>
      <c r="B153" s="216" t="s">
        <v>371</v>
      </c>
      <c r="C153" s="7" t="s">
        <v>114</v>
      </c>
      <c r="D153" s="380"/>
      <c r="E153" s="381"/>
      <c r="F153" s="382"/>
      <c r="G153" s="106">
        <v>4</v>
      </c>
      <c r="H153" s="106">
        <v>20400</v>
      </c>
      <c r="I153" s="107">
        <f t="shared" si="34"/>
        <v>81600</v>
      </c>
      <c r="J153" s="363"/>
      <c r="K153" s="363"/>
      <c r="L153" s="108">
        <f t="shared" si="31"/>
        <v>81600</v>
      </c>
      <c r="M153" s="87"/>
      <c r="O153" s="427"/>
      <c r="P153" s="427"/>
      <c r="Q153" s="433"/>
      <c r="R153" s="433"/>
      <c r="S153" s="428"/>
      <c r="T153" s="428"/>
      <c r="U153" s="434"/>
    </row>
    <row r="154" spans="1:21" s="7" customFormat="1" ht="20.100000000000001" customHeight="1" thickTop="1" thickBot="1">
      <c r="A154" s="239" t="s">
        <v>436</v>
      </c>
      <c r="B154" s="216" t="s">
        <v>372</v>
      </c>
      <c r="C154" s="7" t="s">
        <v>114</v>
      </c>
      <c r="D154" s="380"/>
      <c r="E154" s="381"/>
      <c r="F154" s="382"/>
      <c r="G154" s="106">
        <v>6</v>
      </c>
      <c r="H154" s="106">
        <v>13387.5</v>
      </c>
      <c r="I154" s="107">
        <f t="shared" si="34"/>
        <v>80325</v>
      </c>
      <c r="J154" s="363"/>
      <c r="K154" s="363"/>
      <c r="L154" s="108">
        <f t="shared" si="31"/>
        <v>80325</v>
      </c>
      <c r="M154" s="87"/>
      <c r="O154" s="427"/>
      <c r="P154" s="427"/>
      <c r="Q154" s="433"/>
      <c r="R154" s="433"/>
      <c r="S154" s="428"/>
      <c r="T154" s="428"/>
      <c r="U154" s="434"/>
    </row>
    <row r="155" spans="1:21" s="7" customFormat="1" ht="20.100000000000001" customHeight="1" thickTop="1" thickBot="1">
      <c r="A155" s="239" t="s">
        <v>437</v>
      </c>
      <c r="B155" s="216" t="s">
        <v>373</v>
      </c>
      <c r="C155" s="7" t="s">
        <v>114</v>
      </c>
      <c r="D155" s="380"/>
      <c r="E155" s="381"/>
      <c r="F155" s="382"/>
      <c r="G155" s="106">
        <v>2</v>
      </c>
      <c r="H155" s="106">
        <v>4582.5</v>
      </c>
      <c r="I155" s="107">
        <f t="shared" si="34"/>
        <v>9165</v>
      </c>
      <c r="J155" s="363"/>
      <c r="K155" s="363"/>
      <c r="L155" s="108">
        <f t="shared" si="31"/>
        <v>9165</v>
      </c>
      <c r="M155" s="87"/>
      <c r="O155" s="427"/>
      <c r="P155" s="427"/>
      <c r="Q155" s="433"/>
      <c r="R155" s="433"/>
      <c r="S155" s="428"/>
      <c r="T155" s="428"/>
      <c r="U155" s="434"/>
    </row>
    <row r="156" spans="1:21" s="7" customFormat="1" ht="20.100000000000001" customHeight="1" thickTop="1" thickBot="1">
      <c r="A156" s="239" t="s">
        <v>438</v>
      </c>
      <c r="B156" s="216" t="s">
        <v>382</v>
      </c>
      <c r="C156" s="7" t="s">
        <v>114</v>
      </c>
      <c r="D156" s="380"/>
      <c r="E156" s="381"/>
      <c r="F156" s="382"/>
      <c r="G156" s="106">
        <v>2</v>
      </c>
      <c r="H156" s="106">
        <v>3378.25</v>
      </c>
      <c r="I156" s="107">
        <f t="shared" si="34"/>
        <v>6756.5</v>
      </c>
      <c r="J156" s="363"/>
      <c r="K156" s="363"/>
      <c r="L156" s="108">
        <f t="shared" si="31"/>
        <v>6756.5</v>
      </c>
      <c r="M156" s="87"/>
      <c r="O156" s="427"/>
      <c r="P156" s="427"/>
      <c r="Q156" s="433"/>
      <c r="R156" s="433"/>
      <c r="S156" s="428"/>
      <c r="T156" s="428"/>
      <c r="U156" s="434"/>
    </row>
    <row r="157" spans="1:21" s="7" customFormat="1" ht="20.100000000000001" customHeight="1" thickTop="1" thickBot="1">
      <c r="A157" s="383"/>
      <c r="B157" s="384"/>
      <c r="C157" s="103"/>
      <c r="D157" s="380"/>
      <c r="E157" s="381"/>
      <c r="F157" s="382"/>
      <c r="G157" s="103"/>
      <c r="H157" s="363"/>
      <c r="I157" s="385"/>
      <c r="J157" s="363"/>
      <c r="K157" s="363"/>
      <c r="L157" s="363"/>
      <c r="M157" s="87"/>
      <c r="O157" s="427"/>
      <c r="P157" s="427"/>
      <c r="Q157" s="427"/>
      <c r="R157" s="427"/>
      <c r="S157" s="428"/>
      <c r="T157" s="428"/>
      <c r="U157" s="428"/>
    </row>
    <row r="158" spans="1:21" s="7" customFormat="1" ht="23.25" customHeight="1" thickTop="1" thickBot="1">
      <c r="A158" s="36"/>
      <c r="B158" s="37" t="s">
        <v>354</v>
      </c>
      <c r="C158" s="43"/>
      <c r="D158" s="43"/>
      <c r="E158" s="43"/>
      <c r="F158" s="43"/>
      <c r="G158" s="43"/>
      <c r="H158" s="43"/>
      <c r="I158" s="29">
        <f>SUM(I146:I157)</f>
        <v>449259</v>
      </c>
      <c r="J158" s="43"/>
      <c r="K158" s="29"/>
      <c r="L158" s="29">
        <f>SUM(L146:L157)</f>
        <v>449259</v>
      </c>
      <c r="M158" s="30"/>
      <c r="O158" s="427"/>
      <c r="P158" s="427"/>
      <c r="Q158" s="433"/>
      <c r="R158" s="433"/>
      <c r="S158" s="428"/>
      <c r="T158" s="428"/>
      <c r="U158" s="434"/>
    </row>
    <row r="159" spans="1:21" s="7" customFormat="1" ht="23.25" customHeight="1" thickTop="1" thickBot="1">
      <c r="A159" s="38"/>
      <c r="B159" s="39" t="s">
        <v>144</v>
      </c>
      <c r="C159" s="364"/>
      <c r="D159" s="364"/>
      <c r="E159" s="364"/>
      <c r="F159" s="364"/>
      <c r="G159" s="364"/>
      <c r="H159" s="34"/>
      <c r="I159" s="34">
        <f>I18+I33+I42+I52+I72+I121+I131+I142+I158</f>
        <v>2641103.6</v>
      </c>
      <c r="J159" s="34"/>
      <c r="K159" s="34">
        <f>K18+K33+K42+K52+K72+K121+K131+K142+K158</f>
        <v>542973.55000000005</v>
      </c>
      <c r="L159" s="34">
        <f>L18+L33+L42+L52+L72+L121+L131+L142+L158</f>
        <v>3184077.15</v>
      </c>
      <c r="M159" s="35"/>
      <c r="O159" s="427"/>
      <c r="P159" s="427"/>
      <c r="Q159" s="427"/>
      <c r="R159" s="427"/>
      <c r="S159" s="428"/>
      <c r="T159" s="428"/>
      <c r="U159" s="428"/>
    </row>
    <row r="160" spans="1:21" s="7" customFormat="1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O160" s="446"/>
      <c r="P160" s="446"/>
      <c r="Q160" s="441"/>
      <c r="R160" s="441"/>
      <c r="S160" s="447"/>
      <c r="T160" s="447"/>
      <c r="U160" s="448"/>
    </row>
    <row r="161" spans="7:7">
      <c r="G161" s="103"/>
    </row>
    <row r="162" spans="7:7">
      <c r="G162" s="103"/>
    </row>
    <row r="163" spans="7:7">
      <c r="G163" s="103"/>
    </row>
    <row r="164" spans="7:7">
      <c r="G164" s="103"/>
    </row>
    <row r="165" spans="7:7">
      <c r="G165" s="103"/>
    </row>
    <row r="166" spans="7:7">
      <c r="G166" s="103"/>
    </row>
    <row r="167" spans="7:7" ht="14.4" thickBot="1">
      <c r="G167" s="382"/>
    </row>
    <row r="168" spans="7:7" ht="15" thickTop="1" thickBot="1">
      <c r="G168" s="382"/>
    </row>
    <row r="169" spans="7:7" ht="15" thickTop="1" thickBot="1">
      <c r="G169" s="42"/>
    </row>
    <row r="170" spans="7:7" ht="15" thickTop="1" thickBot="1">
      <c r="G170" s="360"/>
    </row>
    <row r="171" spans="7:7" ht="15" thickTop="1" thickBot="1">
      <c r="G171" s="33"/>
    </row>
    <row r="172" spans="7:7">
      <c r="G172" s="1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rowBreaks count="1" manualBreakCount="1">
    <brk id="3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71"/>
  <sheetViews>
    <sheetView view="pageBreakPreview" zoomScale="80" zoomScaleNormal="75" workbookViewId="0">
      <pane xSplit="7" ySplit="8" topLeftCell="H63" activePane="bottomRight" state="frozen"/>
      <selection activeCell="P4" sqref="P4"/>
      <selection pane="topRight" activeCell="P4" sqref="P4"/>
      <selection pane="bottomLeft" activeCell="P4" sqref="P4"/>
      <selection pane="bottomRight" activeCell="L72" sqref="L72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0" t="s">
        <v>36</v>
      </c>
      <c r="B1" s="206"/>
      <c r="C1" s="206"/>
      <c r="D1" s="207"/>
      <c r="E1" s="208"/>
      <c r="F1" s="208"/>
      <c r="G1" s="208"/>
      <c r="H1" s="209"/>
      <c r="I1" s="208"/>
      <c r="J1" s="208"/>
      <c r="K1" s="208"/>
      <c r="L1" s="209"/>
      <c r="M1" s="210"/>
    </row>
    <row r="2" spans="1:13" s="1" customFormat="1" ht="20.100000000000001" customHeight="1">
      <c r="A2" s="181" t="s">
        <v>45</v>
      </c>
      <c r="B2" s="211"/>
      <c r="C2" s="211"/>
      <c r="D2" s="212"/>
      <c r="E2" s="213"/>
      <c r="F2" s="213"/>
      <c r="G2" s="213"/>
      <c r="H2" s="214"/>
      <c r="I2" s="213"/>
      <c r="J2" s="213"/>
      <c r="K2" s="213"/>
      <c r="L2" s="214"/>
      <c r="M2" s="215"/>
    </row>
    <row r="3" spans="1:13" s="1" customFormat="1" ht="20.100000000000001" customHeight="1">
      <c r="A3" s="127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8"/>
      <c r="C3" s="129"/>
      <c r="D3" s="157"/>
      <c r="E3" s="130"/>
      <c r="F3" s="130"/>
      <c r="G3" s="130"/>
      <c r="H3" s="131"/>
      <c r="I3" s="131"/>
      <c r="J3" s="158"/>
      <c r="K3" s="158"/>
      <c r="L3" s="133"/>
      <c r="M3" s="134" t="str">
        <f>'[2]cover '!D2</f>
        <v xml:space="preserve">จัดทำโดย คณะสถาปัตยกรรมศาสตร์ 
</v>
      </c>
    </row>
    <row r="4" spans="1:13" s="1" customFormat="1" ht="20.100000000000001" customHeight="1">
      <c r="A4" s="127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129"/>
      <c r="C4" s="129"/>
      <c r="D4" s="157"/>
      <c r="E4" s="130"/>
      <c r="F4" s="130"/>
      <c r="G4" s="130"/>
      <c r="H4" s="131"/>
      <c r="I4" s="131"/>
      <c r="J4" s="533" t="s">
        <v>228</v>
      </c>
      <c r="K4" s="533"/>
      <c r="L4" s="533"/>
      <c r="M4" s="534"/>
    </row>
    <row r="5" spans="1:13" s="1" customFormat="1" ht="20.100000000000001" customHeight="1" thickBot="1">
      <c r="A5" s="127" t="s">
        <v>439</v>
      </c>
      <c r="B5" s="129"/>
      <c r="C5" s="129"/>
      <c r="D5" s="157"/>
      <c r="E5" s="130"/>
      <c r="F5" s="130"/>
      <c r="G5" s="130"/>
      <c r="H5" s="131"/>
      <c r="I5" s="131"/>
      <c r="J5" s="132"/>
      <c r="K5" s="132"/>
      <c r="L5" s="130"/>
      <c r="M5" s="134"/>
    </row>
    <row r="6" spans="1:13" s="19" customFormat="1" ht="20.100000000000001" customHeight="1">
      <c r="A6" s="559" t="s">
        <v>2</v>
      </c>
      <c r="B6" s="561" t="s">
        <v>3</v>
      </c>
      <c r="C6" s="561" t="s">
        <v>37</v>
      </c>
      <c r="D6" s="24" t="s">
        <v>46</v>
      </c>
      <c r="E6" s="361" t="s">
        <v>38</v>
      </c>
      <c r="F6" s="361" t="s">
        <v>38</v>
      </c>
      <c r="G6" s="563" t="s">
        <v>38</v>
      </c>
      <c r="H6" s="555" t="s">
        <v>39</v>
      </c>
      <c r="I6" s="556"/>
      <c r="J6" s="557" t="s">
        <v>40</v>
      </c>
      <c r="K6" s="558"/>
      <c r="L6" s="25" t="s">
        <v>5</v>
      </c>
      <c r="M6" s="553" t="s">
        <v>41</v>
      </c>
    </row>
    <row r="7" spans="1:13" s="19" customFormat="1" ht="20.100000000000001" customHeight="1" thickBot="1">
      <c r="A7" s="560"/>
      <c r="B7" s="562"/>
      <c r="C7" s="562"/>
      <c r="D7" s="26" t="s">
        <v>47</v>
      </c>
      <c r="E7" s="362"/>
      <c r="F7" s="362"/>
      <c r="G7" s="564"/>
      <c r="H7" s="27" t="s">
        <v>42</v>
      </c>
      <c r="I7" s="27" t="s">
        <v>43</v>
      </c>
      <c r="J7" s="27" t="s">
        <v>42</v>
      </c>
      <c r="K7" s="27" t="s">
        <v>43</v>
      </c>
      <c r="L7" s="28" t="s">
        <v>44</v>
      </c>
      <c r="M7" s="554"/>
    </row>
    <row r="8" spans="1:13" s="1" customFormat="1" ht="20.100000000000001" customHeight="1">
      <c r="A8" s="23" t="s">
        <v>145</v>
      </c>
      <c r="B8" s="20" t="s">
        <v>449</v>
      </c>
      <c r="C8" s="9"/>
      <c r="D8" s="10"/>
      <c r="E8" s="11"/>
      <c r="F8" s="12"/>
      <c r="G8" s="13"/>
      <c r="H8" s="14"/>
      <c r="I8" s="14"/>
      <c r="J8" s="14"/>
      <c r="K8" s="14"/>
      <c r="L8" s="15"/>
      <c r="M8" s="21"/>
    </row>
    <row r="9" spans="1:13">
      <c r="A9" s="291" t="s">
        <v>240</v>
      </c>
      <c r="B9" s="85" t="s">
        <v>241</v>
      </c>
      <c r="C9" s="86"/>
      <c r="D9" s="241">
        <v>0</v>
      </c>
      <c r="E9" s="242">
        <v>1</v>
      </c>
      <c r="F9" s="243"/>
      <c r="G9" s="243"/>
      <c r="H9" s="244"/>
      <c r="I9" s="245"/>
      <c r="J9" s="244"/>
      <c r="K9" s="245"/>
      <c r="L9" s="246"/>
      <c r="M9" s="247"/>
    </row>
    <row r="10" spans="1:13" ht="18" customHeight="1">
      <c r="A10" s="249"/>
      <c r="B10" s="216" t="s">
        <v>242</v>
      </c>
      <c r="C10" s="103" t="s">
        <v>114</v>
      </c>
      <c r="D10" s="104"/>
      <c r="E10" s="105"/>
      <c r="F10" s="105"/>
      <c r="G10" s="106">
        <v>4</v>
      </c>
      <c r="H10" s="243">
        <v>1465</v>
      </c>
      <c r="I10" s="107">
        <v>5860</v>
      </c>
      <c r="J10" s="107">
        <v>110</v>
      </c>
      <c r="K10" s="107">
        <v>440</v>
      </c>
      <c r="L10" s="108">
        <v>6300</v>
      </c>
      <c r="M10" s="77"/>
    </row>
    <row r="11" spans="1:13" ht="18" customHeight="1">
      <c r="A11" s="249"/>
      <c r="B11" s="216" t="s">
        <v>243</v>
      </c>
      <c r="C11" s="103" t="s">
        <v>114</v>
      </c>
      <c r="D11" s="104"/>
      <c r="E11" s="105"/>
      <c r="F11" s="105"/>
      <c r="G11" s="106">
        <v>4</v>
      </c>
      <c r="H11" s="243">
        <v>1100</v>
      </c>
      <c r="I11" s="107">
        <v>4400</v>
      </c>
      <c r="J11" s="107">
        <v>110</v>
      </c>
      <c r="K11" s="107">
        <v>440</v>
      </c>
      <c r="L11" s="108">
        <v>4840</v>
      </c>
      <c r="M11" s="77"/>
    </row>
    <row r="12" spans="1:13" ht="18" customHeight="1">
      <c r="A12" s="249"/>
      <c r="B12" s="216" t="s">
        <v>244</v>
      </c>
      <c r="C12" s="103" t="s">
        <v>114</v>
      </c>
      <c r="D12" s="104">
        <v>0</v>
      </c>
      <c r="E12" s="105">
        <v>12</v>
      </c>
      <c r="F12" s="106"/>
      <c r="G12" s="106">
        <v>32</v>
      </c>
      <c r="H12" s="243">
        <v>110</v>
      </c>
      <c r="I12" s="107">
        <v>3520</v>
      </c>
      <c r="J12" s="107">
        <v>110</v>
      </c>
      <c r="K12" s="107">
        <v>3520</v>
      </c>
      <c r="L12" s="108">
        <v>7040</v>
      </c>
      <c r="M12" s="77"/>
    </row>
    <row r="13" spans="1:13" ht="18" customHeight="1">
      <c r="A13" s="249"/>
      <c r="B13" s="216" t="s">
        <v>245</v>
      </c>
      <c r="C13" s="103" t="s">
        <v>114</v>
      </c>
      <c r="D13" s="104">
        <v>0</v>
      </c>
      <c r="E13" s="105">
        <v>12</v>
      </c>
      <c r="F13" s="106"/>
      <c r="G13" s="106">
        <v>12</v>
      </c>
      <c r="H13" s="243">
        <v>1450</v>
      </c>
      <c r="I13" s="107">
        <v>17400</v>
      </c>
      <c r="J13" s="107">
        <v>110</v>
      </c>
      <c r="K13" s="107">
        <v>1320</v>
      </c>
      <c r="L13" s="108">
        <v>18720</v>
      </c>
      <c r="M13" s="77"/>
    </row>
    <row r="14" spans="1:13" ht="18" customHeight="1">
      <c r="A14" s="249"/>
      <c r="B14" s="216" t="s">
        <v>246</v>
      </c>
      <c r="C14" s="103" t="s">
        <v>114</v>
      </c>
      <c r="D14" s="104">
        <v>0</v>
      </c>
      <c r="E14" s="105">
        <v>12</v>
      </c>
      <c r="F14" s="106"/>
      <c r="G14" s="106">
        <v>8</v>
      </c>
      <c r="H14" s="243">
        <v>1450</v>
      </c>
      <c r="I14" s="107">
        <v>11600</v>
      </c>
      <c r="J14" s="107">
        <v>110</v>
      </c>
      <c r="K14" s="107">
        <v>880</v>
      </c>
      <c r="L14" s="108">
        <v>12480</v>
      </c>
      <c r="M14" s="77"/>
    </row>
    <row r="15" spans="1:13" ht="18" customHeight="1">
      <c r="A15" s="249"/>
      <c r="B15" s="216" t="s">
        <v>247</v>
      </c>
      <c r="C15" s="103" t="s">
        <v>114</v>
      </c>
      <c r="D15" s="104">
        <v>0</v>
      </c>
      <c r="E15" s="105">
        <v>12</v>
      </c>
      <c r="F15" s="106"/>
      <c r="G15" s="106">
        <v>4</v>
      </c>
      <c r="H15" s="243">
        <v>800</v>
      </c>
      <c r="I15" s="292">
        <v>3200</v>
      </c>
      <c r="J15" s="292">
        <v>200</v>
      </c>
      <c r="K15" s="107">
        <v>800</v>
      </c>
      <c r="L15" s="108">
        <v>4000</v>
      </c>
      <c r="M15" s="77"/>
    </row>
    <row r="16" spans="1:13" ht="18" customHeight="1" thickBot="1">
      <c r="A16" s="249"/>
      <c r="B16" s="216" t="s">
        <v>248</v>
      </c>
      <c r="C16" s="103" t="s">
        <v>114</v>
      </c>
      <c r="D16" s="104">
        <v>0</v>
      </c>
      <c r="E16" s="105">
        <v>12</v>
      </c>
      <c r="F16" s="106"/>
      <c r="G16" s="106">
        <v>4</v>
      </c>
      <c r="H16" s="243">
        <v>1900</v>
      </c>
      <c r="I16" s="292">
        <v>7600</v>
      </c>
      <c r="J16" s="292">
        <v>400</v>
      </c>
      <c r="K16" s="107">
        <v>1600</v>
      </c>
      <c r="L16" s="108">
        <v>9200</v>
      </c>
      <c r="M16" s="77"/>
    </row>
    <row r="17" spans="1:13" s="7" customFormat="1" ht="15" thickTop="1" thickBot="1">
      <c r="A17" s="250"/>
      <c r="B17" s="37" t="s">
        <v>146</v>
      </c>
      <c r="C17" s="40"/>
      <c r="D17" s="41"/>
      <c r="E17" s="42"/>
      <c r="F17" s="42"/>
      <c r="G17" s="42"/>
      <c r="H17" s="43"/>
      <c r="I17" s="29">
        <v>53580</v>
      </c>
      <c r="J17" s="43"/>
      <c r="K17" s="29">
        <v>9000</v>
      </c>
      <c r="L17" s="29">
        <v>62580</v>
      </c>
      <c r="M17" s="30"/>
    </row>
    <row r="18" spans="1:13" ht="20.100000000000001" customHeight="1" thickTop="1">
      <c r="A18" s="88" t="s">
        <v>159</v>
      </c>
      <c r="B18" s="89" t="s">
        <v>249</v>
      </c>
      <c r="C18" s="65"/>
      <c r="D18" s="66"/>
      <c r="E18" s="248"/>
      <c r="F18" s="118"/>
      <c r="G18" s="67"/>
      <c r="H18" s="68"/>
      <c r="I18" s="68"/>
      <c r="J18" s="68"/>
      <c r="K18" s="68"/>
      <c r="L18" s="69"/>
      <c r="M18" s="70"/>
    </row>
    <row r="19" spans="1:13" ht="20.100000000000001" customHeight="1">
      <c r="A19" s="249"/>
      <c r="B19" s="185" t="s">
        <v>250</v>
      </c>
      <c r="C19" s="103" t="s">
        <v>251</v>
      </c>
      <c r="D19" s="104">
        <v>0</v>
      </c>
      <c r="E19" s="105"/>
      <c r="F19" s="105">
        <v>3</v>
      </c>
      <c r="G19" s="106">
        <v>200</v>
      </c>
      <c r="H19" s="106">
        <v>112.31</v>
      </c>
      <c r="I19" s="107">
        <v>22462</v>
      </c>
      <c r="J19" s="106">
        <v>30</v>
      </c>
      <c r="K19" s="107">
        <v>6000</v>
      </c>
      <c r="L19" s="108">
        <v>28462</v>
      </c>
      <c r="M19" s="77"/>
    </row>
    <row r="20" spans="1:13" ht="18" customHeight="1">
      <c r="A20" s="249"/>
      <c r="B20" s="216" t="s">
        <v>252</v>
      </c>
      <c r="C20" s="103" t="s">
        <v>251</v>
      </c>
      <c r="D20" s="104"/>
      <c r="E20" s="105"/>
      <c r="F20" s="105"/>
      <c r="G20" s="106">
        <v>100</v>
      </c>
      <c r="H20" s="106">
        <v>34.76</v>
      </c>
      <c r="I20" s="107">
        <v>3476</v>
      </c>
      <c r="J20" s="106">
        <v>16</v>
      </c>
      <c r="K20" s="107">
        <v>1600</v>
      </c>
      <c r="L20" s="108">
        <v>5076</v>
      </c>
      <c r="M20" s="77"/>
    </row>
    <row r="21" spans="1:13" ht="18" customHeight="1">
      <c r="A21" s="249"/>
      <c r="B21" s="216" t="s">
        <v>253</v>
      </c>
      <c r="C21" s="103" t="s">
        <v>251</v>
      </c>
      <c r="D21" s="104"/>
      <c r="E21" s="105"/>
      <c r="F21" s="105"/>
      <c r="G21" s="106">
        <v>1880</v>
      </c>
      <c r="H21" s="106">
        <v>12.13</v>
      </c>
      <c r="I21" s="107">
        <v>22804.400000000001</v>
      </c>
      <c r="J21" s="106">
        <v>10</v>
      </c>
      <c r="K21" s="107">
        <v>18800</v>
      </c>
      <c r="L21" s="108">
        <v>41604.400000000001</v>
      </c>
      <c r="M21" s="77"/>
    </row>
    <row r="22" spans="1:13" ht="18" customHeight="1">
      <c r="A22" s="249"/>
      <c r="B22" s="185" t="s">
        <v>254</v>
      </c>
      <c r="C22" s="103" t="s">
        <v>251</v>
      </c>
      <c r="D22" s="104"/>
      <c r="E22" s="105"/>
      <c r="F22" s="105"/>
      <c r="G22" s="106">
        <v>3560</v>
      </c>
      <c r="H22" s="106">
        <v>8.0399999999999991</v>
      </c>
      <c r="I22" s="107">
        <v>28622.399999999998</v>
      </c>
      <c r="J22" s="106">
        <v>7</v>
      </c>
      <c r="K22" s="107">
        <v>24920</v>
      </c>
      <c r="L22" s="108">
        <v>53542.399999999994</v>
      </c>
      <c r="M22" s="77"/>
    </row>
    <row r="23" spans="1:13" ht="18" customHeight="1">
      <c r="A23" s="249"/>
      <c r="B23" s="185" t="s">
        <v>255</v>
      </c>
      <c r="C23" s="103" t="s">
        <v>251</v>
      </c>
      <c r="D23" s="104">
        <v>0</v>
      </c>
      <c r="E23" s="105">
        <v>12</v>
      </c>
      <c r="F23" s="106"/>
      <c r="G23" s="106">
        <v>300</v>
      </c>
      <c r="H23" s="106">
        <v>20.59</v>
      </c>
      <c r="I23" s="107">
        <v>6177</v>
      </c>
      <c r="J23" s="106">
        <v>12</v>
      </c>
      <c r="K23" s="107">
        <v>3600</v>
      </c>
      <c r="L23" s="108">
        <v>9777</v>
      </c>
      <c r="M23" s="77"/>
    </row>
    <row r="24" spans="1:13" ht="18" customHeight="1">
      <c r="A24" s="249"/>
      <c r="B24" s="185" t="s">
        <v>256</v>
      </c>
      <c r="C24" s="103" t="s">
        <v>251</v>
      </c>
      <c r="D24" s="104">
        <v>0</v>
      </c>
      <c r="E24" s="105">
        <v>12</v>
      </c>
      <c r="F24" s="106"/>
      <c r="G24" s="106">
        <v>120</v>
      </c>
      <c r="H24" s="106">
        <v>17.63</v>
      </c>
      <c r="I24" s="107">
        <v>2115.6</v>
      </c>
      <c r="J24" s="106">
        <v>10</v>
      </c>
      <c r="K24" s="107">
        <v>1200</v>
      </c>
      <c r="L24" s="108">
        <v>3315.6</v>
      </c>
      <c r="M24" s="77"/>
    </row>
    <row r="25" spans="1:13" ht="18" customHeight="1">
      <c r="A25" s="249"/>
      <c r="B25" s="185" t="s">
        <v>257</v>
      </c>
      <c r="C25" s="103" t="s">
        <v>251</v>
      </c>
      <c r="D25" s="104">
        <v>0</v>
      </c>
      <c r="E25" s="105">
        <v>12</v>
      </c>
      <c r="F25" s="106"/>
      <c r="G25" s="106">
        <v>240</v>
      </c>
      <c r="H25" s="243">
        <v>4.8</v>
      </c>
      <c r="I25" s="292">
        <v>1152</v>
      </c>
      <c r="J25" s="243">
        <v>3</v>
      </c>
      <c r="K25" s="107">
        <v>720</v>
      </c>
      <c r="L25" s="108">
        <v>1872</v>
      </c>
      <c r="M25" s="77"/>
    </row>
    <row r="26" spans="1:13" ht="18" customHeight="1">
      <c r="A26" s="249"/>
      <c r="B26" s="185" t="s">
        <v>258</v>
      </c>
      <c r="C26" s="103" t="s">
        <v>251</v>
      </c>
      <c r="D26" s="104">
        <v>0</v>
      </c>
      <c r="E26" s="105">
        <v>12</v>
      </c>
      <c r="F26" s="106"/>
      <c r="G26" s="106">
        <v>80</v>
      </c>
      <c r="H26" s="243">
        <v>9.35</v>
      </c>
      <c r="I26" s="107">
        <v>748</v>
      </c>
      <c r="J26" s="106">
        <v>6</v>
      </c>
      <c r="K26" s="107">
        <v>480</v>
      </c>
      <c r="L26" s="108">
        <v>1228</v>
      </c>
      <c r="M26" s="77"/>
    </row>
    <row r="27" spans="1:13" ht="18" customHeight="1">
      <c r="A27" s="249"/>
      <c r="B27" s="185" t="s">
        <v>259</v>
      </c>
      <c r="C27" s="103" t="s">
        <v>251</v>
      </c>
      <c r="D27" s="104">
        <v>0</v>
      </c>
      <c r="E27" s="105">
        <v>12</v>
      </c>
      <c r="F27" s="106"/>
      <c r="G27" s="106">
        <v>180</v>
      </c>
      <c r="H27" s="106">
        <v>39</v>
      </c>
      <c r="I27" s="107">
        <v>7020</v>
      </c>
      <c r="J27" s="106">
        <v>12</v>
      </c>
      <c r="K27" s="107">
        <v>2160</v>
      </c>
      <c r="L27" s="108">
        <v>9180</v>
      </c>
      <c r="M27" s="77"/>
    </row>
    <row r="28" spans="1:13" ht="18" customHeight="1">
      <c r="A28" s="249"/>
      <c r="B28" s="185" t="s">
        <v>261</v>
      </c>
      <c r="C28" s="103" t="s">
        <v>251</v>
      </c>
      <c r="D28" s="104">
        <v>0</v>
      </c>
      <c r="E28" s="105">
        <v>12</v>
      </c>
      <c r="F28" s="106"/>
      <c r="G28" s="106">
        <v>100</v>
      </c>
      <c r="H28" s="106">
        <v>16</v>
      </c>
      <c r="I28" s="107">
        <v>1600</v>
      </c>
      <c r="J28" s="106">
        <v>19</v>
      </c>
      <c r="K28" s="107">
        <v>1900</v>
      </c>
      <c r="L28" s="108">
        <v>3500</v>
      </c>
      <c r="M28" s="77"/>
    </row>
    <row r="29" spans="1:13" ht="18" customHeight="1">
      <c r="A29" s="249"/>
      <c r="B29" s="185" t="s">
        <v>262</v>
      </c>
      <c r="C29" s="103" t="s">
        <v>251</v>
      </c>
      <c r="D29" s="104">
        <v>0</v>
      </c>
      <c r="E29" s="105">
        <v>12</v>
      </c>
      <c r="F29" s="106"/>
      <c r="G29" s="106">
        <v>60</v>
      </c>
      <c r="H29" s="106">
        <v>22</v>
      </c>
      <c r="I29" s="107">
        <v>1320</v>
      </c>
      <c r="J29" s="106">
        <v>18</v>
      </c>
      <c r="K29" s="107">
        <v>1080</v>
      </c>
      <c r="L29" s="108">
        <v>2400</v>
      </c>
      <c r="M29" s="77"/>
    </row>
    <row r="30" spans="1:13" ht="18" customHeight="1">
      <c r="A30" s="249"/>
      <c r="B30" s="185" t="s">
        <v>263</v>
      </c>
      <c r="C30" s="103" t="s">
        <v>251</v>
      </c>
      <c r="D30" s="104">
        <v>0</v>
      </c>
      <c r="E30" s="105">
        <v>12</v>
      </c>
      <c r="F30" s="106"/>
      <c r="G30" s="106">
        <v>100</v>
      </c>
      <c r="H30" s="106">
        <v>77.28</v>
      </c>
      <c r="I30" s="107">
        <v>7728</v>
      </c>
      <c r="J30" s="106">
        <v>35</v>
      </c>
      <c r="K30" s="107">
        <v>3500</v>
      </c>
      <c r="L30" s="108">
        <v>11228</v>
      </c>
      <c r="M30" s="77"/>
    </row>
    <row r="31" spans="1:13" ht="18" customHeight="1">
      <c r="A31" s="249"/>
      <c r="B31" s="185" t="s">
        <v>264</v>
      </c>
      <c r="C31" s="103" t="s">
        <v>251</v>
      </c>
      <c r="D31" s="104">
        <v>0</v>
      </c>
      <c r="E31" s="105">
        <v>12</v>
      </c>
      <c r="F31" s="106"/>
      <c r="G31" s="106">
        <v>80</v>
      </c>
      <c r="H31" s="243">
        <v>18.149999999999999</v>
      </c>
      <c r="I31" s="107">
        <v>1452</v>
      </c>
      <c r="J31" s="106">
        <v>23</v>
      </c>
      <c r="K31" s="107">
        <v>1840</v>
      </c>
      <c r="L31" s="108">
        <v>3292</v>
      </c>
      <c r="M31" s="77"/>
    </row>
    <row r="32" spans="1:13" ht="18" customHeight="1">
      <c r="A32" s="249"/>
      <c r="B32" s="185" t="s">
        <v>265</v>
      </c>
      <c r="C32" s="103" t="s">
        <v>251</v>
      </c>
      <c r="D32" s="104">
        <v>0</v>
      </c>
      <c r="E32" s="105">
        <v>12</v>
      </c>
      <c r="F32" s="106"/>
      <c r="G32" s="106">
        <v>2300</v>
      </c>
      <c r="H32" s="243">
        <v>14.04</v>
      </c>
      <c r="I32" s="107">
        <v>32291.999999999996</v>
      </c>
      <c r="J32" s="106">
        <v>20</v>
      </c>
      <c r="K32" s="107">
        <v>46000</v>
      </c>
      <c r="L32" s="108">
        <v>78292</v>
      </c>
      <c r="M32" s="77"/>
    </row>
    <row r="33" spans="1:13" ht="18" customHeight="1">
      <c r="A33" s="249"/>
      <c r="B33" s="185" t="s">
        <v>266</v>
      </c>
      <c r="C33" s="103" t="s">
        <v>251</v>
      </c>
      <c r="D33" s="104">
        <v>0</v>
      </c>
      <c r="E33" s="105">
        <v>12</v>
      </c>
      <c r="F33" s="106"/>
      <c r="G33" s="106">
        <v>180</v>
      </c>
      <c r="H33" s="243">
        <v>4.4000000000000004</v>
      </c>
      <c r="I33" s="107">
        <v>792.00000000000011</v>
      </c>
      <c r="J33" s="106">
        <v>11</v>
      </c>
      <c r="K33" s="107">
        <v>1980</v>
      </c>
      <c r="L33" s="108">
        <v>2772</v>
      </c>
      <c r="M33" s="77"/>
    </row>
    <row r="34" spans="1:13" ht="18" customHeight="1" thickBot="1">
      <c r="A34" s="249"/>
      <c r="B34" s="185" t="s">
        <v>446</v>
      </c>
      <c r="C34" s="103" t="s">
        <v>260</v>
      </c>
      <c r="D34" s="104">
        <v>0</v>
      </c>
      <c r="E34" s="105">
        <v>12</v>
      </c>
      <c r="F34" s="106"/>
      <c r="G34" s="106">
        <v>1</v>
      </c>
      <c r="H34" s="243"/>
      <c r="I34" s="107"/>
      <c r="J34" s="106"/>
      <c r="K34" s="107"/>
      <c r="L34" s="243">
        <v>25554.14</v>
      </c>
      <c r="M34" s="77"/>
    </row>
    <row r="35" spans="1:13" ht="18" customHeight="1" thickTop="1" thickBot="1">
      <c r="A35" s="250"/>
      <c r="B35" s="37" t="s">
        <v>267</v>
      </c>
      <c r="C35" s="40"/>
      <c r="D35" s="41"/>
      <c r="E35" s="42"/>
      <c r="F35" s="42"/>
      <c r="G35" s="42"/>
      <c r="H35" s="43"/>
      <c r="I35" s="29">
        <v>139761.4</v>
      </c>
      <c r="J35" s="43"/>
      <c r="K35" s="29">
        <v>115780</v>
      </c>
      <c r="L35" s="29">
        <v>281095.53999999998</v>
      </c>
      <c r="M35" s="30" t="s">
        <v>33</v>
      </c>
    </row>
    <row r="36" spans="1:13" s="7" customFormat="1" ht="14.4" thickTop="1">
      <c r="A36" s="88" t="s">
        <v>268</v>
      </c>
      <c r="B36" s="89" t="s">
        <v>269</v>
      </c>
      <c r="C36" s="65"/>
      <c r="D36" s="66"/>
      <c r="E36" s="248"/>
      <c r="F36" s="118"/>
      <c r="G36" s="67"/>
      <c r="H36" s="68"/>
      <c r="I36" s="68"/>
      <c r="J36" s="68"/>
      <c r="K36" s="68"/>
      <c r="L36" s="69"/>
      <c r="M36" s="70"/>
    </row>
    <row r="37" spans="1:13" ht="20.100000000000001" customHeight="1">
      <c r="A37" s="249"/>
      <c r="B37" s="185" t="s">
        <v>270</v>
      </c>
      <c r="C37" s="103" t="s">
        <v>271</v>
      </c>
      <c r="D37" s="104">
        <v>0</v>
      </c>
      <c r="E37" s="105"/>
      <c r="F37" s="105">
        <v>3</v>
      </c>
      <c r="G37" s="106">
        <v>44</v>
      </c>
      <c r="H37" s="243">
        <v>420</v>
      </c>
      <c r="I37" s="107">
        <v>18480</v>
      </c>
      <c r="J37" s="107">
        <v>115</v>
      </c>
      <c r="K37" s="107">
        <v>5060</v>
      </c>
      <c r="L37" s="108">
        <v>23540</v>
      </c>
      <c r="M37" s="77"/>
    </row>
    <row r="38" spans="1:13" ht="35.25" customHeight="1">
      <c r="A38" s="249"/>
      <c r="B38" s="185" t="s">
        <v>272</v>
      </c>
      <c r="C38" s="103" t="s">
        <v>273</v>
      </c>
      <c r="D38" s="104"/>
      <c r="E38" s="105"/>
      <c r="F38" s="105"/>
      <c r="G38" s="106">
        <v>40</v>
      </c>
      <c r="H38" s="243">
        <v>250</v>
      </c>
      <c r="I38" s="107">
        <v>10000</v>
      </c>
      <c r="J38" s="107">
        <v>115</v>
      </c>
      <c r="K38" s="107">
        <v>4600</v>
      </c>
      <c r="L38" s="108">
        <v>14600</v>
      </c>
      <c r="M38" s="77"/>
    </row>
    <row r="39" spans="1:13" ht="35.25" customHeight="1">
      <c r="A39" s="249"/>
      <c r="B39" s="185" t="s">
        <v>274</v>
      </c>
      <c r="C39" s="103" t="s">
        <v>273</v>
      </c>
      <c r="D39" s="104"/>
      <c r="E39" s="105"/>
      <c r="F39" s="105"/>
      <c r="G39" s="106">
        <v>16</v>
      </c>
      <c r="H39" s="243">
        <v>250</v>
      </c>
      <c r="I39" s="107">
        <v>4000</v>
      </c>
      <c r="J39" s="107">
        <v>115</v>
      </c>
      <c r="K39" s="107">
        <v>1840</v>
      </c>
      <c r="L39" s="108">
        <v>5840</v>
      </c>
      <c r="M39" s="77"/>
    </row>
    <row r="40" spans="1:13" ht="35.25" customHeight="1">
      <c r="A40" s="249"/>
      <c r="B40" s="185" t="s">
        <v>275</v>
      </c>
      <c r="C40" s="103" t="s">
        <v>273</v>
      </c>
      <c r="D40" s="104"/>
      <c r="E40" s="105"/>
      <c r="F40" s="105"/>
      <c r="G40" s="106">
        <v>0</v>
      </c>
      <c r="H40" s="243">
        <v>320</v>
      </c>
      <c r="I40" s="107">
        <v>0</v>
      </c>
      <c r="J40" s="107">
        <v>115</v>
      </c>
      <c r="K40" s="107">
        <v>0</v>
      </c>
      <c r="L40" s="108">
        <v>0</v>
      </c>
      <c r="M40" s="77"/>
    </row>
    <row r="41" spans="1:13" ht="18" customHeight="1">
      <c r="A41" s="249"/>
      <c r="B41" s="185" t="s">
        <v>447</v>
      </c>
      <c r="C41" s="103" t="s">
        <v>273</v>
      </c>
      <c r="D41" s="104"/>
      <c r="E41" s="105"/>
      <c r="F41" s="105"/>
      <c r="G41" s="106">
        <v>4</v>
      </c>
      <c r="H41" s="243">
        <v>320</v>
      </c>
      <c r="I41" s="107">
        <v>1280</v>
      </c>
      <c r="J41" s="107">
        <v>115</v>
      </c>
      <c r="K41" s="107">
        <v>460</v>
      </c>
      <c r="L41" s="108">
        <v>1740</v>
      </c>
      <c r="M41" s="77"/>
    </row>
    <row r="42" spans="1:13" ht="18" customHeight="1">
      <c r="A42" s="249"/>
      <c r="B42" s="185" t="s">
        <v>276</v>
      </c>
      <c r="C42" s="103" t="s">
        <v>271</v>
      </c>
      <c r="D42" s="104">
        <v>0</v>
      </c>
      <c r="E42" s="105"/>
      <c r="F42" s="105">
        <v>3</v>
      </c>
      <c r="G42" s="106">
        <v>144</v>
      </c>
      <c r="H42" s="243">
        <v>120</v>
      </c>
      <c r="I42" s="107">
        <v>17280</v>
      </c>
      <c r="J42" s="292"/>
      <c r="K42" s="107">
        <v>0</v>
      </c>
      <c r="L42" s="108">
        <v>17280</v>
      </c>
      <c r="M42" s="77"/>
    </row>
    <row r="43" spans="1:13" ht="18" customHeight="1" thickBot="1">
      <c r="A43" s="249"/>
      <c r="B43" s="185" t="s">
        <v>277</v>
      </c>
      <c r="C43" s="103" t="s">
        <v>273</v>
      </c>
      <c r="D43" s="104"/>
      <c r="E43" s="105"/>
      <c r="F43" s="105"/>
      <c r="G43" s="106">
        <v>4</v>
      </c>
      <c r="H43" s="243">
        <v>220</v>
      </c>
      <c r="I43" s="107">
        <v>880</v>
      </c>
      <c r="J43" s="292"/>
      <c r="K43" s="107">
        <v>0</v>
      </c>
      <c r="L43" s="108">
        <v>880</v>
      </c>
      <c r="M43" s="77"/>
    </row>
    <row r="44" spans="1:13" s="7" customFormat="1" ht="15" thickTop="1" thickBot="1">
      <c r="A44" s="250"/>
      <c r="B44" s="37" t="s">
        <v>278</v>
      </c>
      <c r="C44" s="40"/>
      <c r="D44" s="41"/>
      <c r="E44" s="42"/>
      <c r="F44" s="42"/>
      <c r="G44" s="42"/>
      <c r="H44" s="43"/>
      <c r="I44" s="29">
        <v>51920</v>
      </c>
      <c r="J44" s="43"/>
      <c r="K44" s="29">
        <v>11960</v>
      </c>
      <c r="L44" s="29">
        <v>63880</v>
      </c>
      <c r="M44" s="30" t="s">
        <v>33</v>
      </c>
    </row>
    <row r="45" spans="1:13" ht="20.100000000000001" customHeight="1" thickTop="1">
      <c r="A45" s="88" t="s">
        <v>279</v>
      </c>
      <c r="B45" s="89" t="s">
        <v>280</v>
      </c>
      <c r="C45" s="65"/>
      <c r="D45" s="66"/>
      <c r="E45" s="248"/>
      <c r="F45" s="118"/>
      <c r="G45" s="67"/>
      <c r="H45" s="68"/>
      <c r="I45" s="68"/>
      <c r="J45" s="68"/>
      <c r="K45" s="68"/>
      <c r="L45" s="69"/>
      <c r="M45" s="70"/>
    </row>
    <row r="46" spans="1:13" ht="20.100000000000001" customHeight="1">
      <c r="A46" s="249"/>
      <c r="B46" s="185" t="s">
        <v>281</v>
      </c>
      <c r="C46" s="103" t="s">
        <v>271</v>
      </c>
      <c r="D46" s="104">
        <v>0</v>
      </c>
      <c r="E46" s="105"/>
      <c r="F46" s="105">
        <v>3</v>
      </c>
      <c r="G46" s="106">
        <v>112</v>
      </c>
      <c r="H46" s="106">
        <v>30</v>
      </c>
      <c r="I46" s="107">
        <v>3360</v>
      </c>
      <c r="J46" s="107">
        <v>80</v>
      </c>
      <c r="K46" s="107">
        <v>8960</v>
      </c>
      <c r="L46" s="108">
        <v>12320</v>
      </c>
      <c r="M46" s="77"/>
    </row>
    <row r="47" spans="1:13" ht="18" customHeight="1">
      <c r="A47" s="249"/>
      <c r="B47" s="185" t="s">
        <v>341</v>
      </c>
      <c r="C47" s="103" t="s">
        <v>273</v>
      </c>
      <c r="D47" s="104"/>
      <c r="E47" s="105"/>
      <c r="F47" s="105"/>
      <c r="G47" s="106">
        <v>8</v>
      </c>
      <c r="H47" s="106">
        <v>56</v>
      </c>
      <c r="I47" s="107">
        <v>448</v>
      </c>
      <c r="J47" s="107">
        <v>85</v>
      </c>
      <c r="K47" s="107">
        <v>680</v>
      </c>
      <c r="L47" s="108">
        <v>1128</v>
      </c>
      <c r="M47" s="77"/>
    </row>
    <row r="48" spans="1:13" ht="18" customHeight="1">
      <c r="A48" s="249"/>
      <c r="B48" s="185" t="s">
        <v>282</v>
      </c>
      <c r="C48" s="103" t="s">
        <v>273</v>
      </c>
      <c r="D48" s="104"/>
      <c r="E48" s="105"/>
      <c r="F48" s="105"/>
      <c r="G48" s="106">
        <v>40</v>
      </c>
      <c r="H48" s="106">
        <v>22</v>
      </c>
      <c r="I48" s="107">
        <v>880</v>
      </c>
      <c r="J48" s="292"/>
      <c r="K48" s="107">
        <v>0</v>
      </c>
      <c r="L48" s="108">
        <v>880</v>
      </c>
      <c r="M48" s="77"/>
    </row>
    <row r="49" spans="1:13" ht="18" customHeight="1">
      <c r="A49" s="249"/>
      <c r="B49" s="185" t="s">
        <v>283</v>
      </c>
      <c r="C49" s="103" t="s">
        <v>273</v>
      </c>
      <c r="D49" s="104"/>
      <c r="E49" s="105"/>
      <c r="F49" s="105"/>
      <c r="G49" s="106">
        <v>24</v>
      </c>
      <c r="H49" s="106">
        <v>22</v>
      </c>
      <c r="I49" s="107">
        <v>528</v>
      </c>
      <c r="J49" s="292"/>
      <c r="K49" s="107">
        <v>0</v>
      </c>
      <c r="L49" s="108">
        <v>528</v>
      </c>
      <c r="M49" s="77"/>
    </row>
    <row r="50" spans="1:13" ht="18" customHeight="1">
      <c r="A50" s="249"/>
      <c r="B50" s="185" t="s">
        <v>340</v>
      </c>
      <c r="C50" s="103" t="s">
        <v>273</v>
      </c>
      <c r="D50" s="104">
        <v>0</v>
      </c>
      <c r="E50" s="105">
        <v>12</v>
      </c>
      <c r="F50" s="106"/>
      <c r="G50" s="106">
        <v>8</v>
      </c>
      <c r="H50" s="106">
        <v>22</v>
      </c>
      <c r="I50" s="107">
        <v>176</v>
      </c>
      <c r="J50" s="292"/>
      <c r="K50" s="107">
        <v>0</v>
      </c>
      <c r="L50" s="108">
        <v>176</v>
      </c>
      <c r="M50" s="77"/>
    </row>
    <row r="51" spans="1:13" ht="18" customHeight="1">
      <c r="A51" s="249"/>
      <c r="B51" s="185" t="s">
        <v>284</v>
      </c>
      <c r="C51" s="103" t="s">
        <v>273</v>
      </c>
      <c r="D51" s="104">
        <v>0</v>
      </c>
      <c r="E51" s="105">
        <v>12</v>
      </c>
      <c r="F51" s="106"/>
      <c r="G51" s="106">
        <v>0</v>
      </c>
      <c r="H51" s="106">
        <v>22</v>
      </c>
      <c r="I51" s="107">
        <v>0</v>
      </c>
      <c r="J51" s="292"/>
      <c r="K51" s="107">
        <v>0</v>
      </c>
      <c r="L51" s="108">
        <v>0</v>
      </c>
      <c r="M51" s="77"/>
    </row>
    <row r="52" spans="1:13" ht="18" customHeight="1">
      <c r="A52" s="249"/>
      <c r="B52" s="185" t="s">
        <v>285</v>
      </c>
      <c r="C52" s="103" t="s">
        <v>273</v>
      </c>
      <c r="D52" s="104">
        <v>0</v>
      </c>
      <c r="E52" s="105">
        <v>12</v>
      </c>
      <c r="F52" s="106"/>
      <c r="G52" s="106">
        <v>56</v>
      </c>
      <c r="H52" s="106">
        <v>130</v>
      </c>
      <c r="I52" s="107">
        <v>7280</v>
      </c>
      <c r="J52" s="292">
        <v>90</v>
      </c>
      <c r="K52" s="107">
        <v>5040</v>
      </c>
      <c r="L52" s="108">
        <v>12320</v>
      </c>
      <c r="M52" s="77"/>
    </row>
    <row r="53" spans="1:13" ht="18" customHeight="1">
      <c r="A53" s="249"/>
      <c r="B53" s="185" t="s">
        <v>286</v>
      </c>
      <c r="C53" s="103" t="s">
        <v>273</v>
      </c>
      <c r="D53" s="104">
        <v>0</v>
      </c>
      <c r="E53" s="105">
        <v>12</v>
      </c>
      <c r="F53" s="106"/>
      <c r="G53" s="106">
        <v>16</v>
      </c>
      <c r="H53" s="106">
        <v>130</v>
      </c>
      <c r="I53" s="107">
        <v>2080</v>
      </c>
      <c r="J53" s="292">
        <v>115</v>
      </c>
      <c r="K53" s="107">
        <v>1840</v>
      </c>
      <c r="L53" s="108">
        <v>3920</v>
      </c>
      <c r="M53" s="77"/>
    </row>
    <row r="54" spans="1:13" ht="18" customHeight="1">
      <c r="A54" s="249"/>
      <c r="B54" s="185" t="s">
        <v>287</v>
      </c>
      <c r="C54" s="103" t="s">
        <v>273</v>
      </c>
      <c r="D54" s="104">
        <v>0</v>
      </c>
      <c r="E54" s="105">
        <v>12</v>
      </c>
      <c r="F54" s="106"/>
      <c r="G54" s="106">
        <v>56</v>
      </c>
      <c r="H54" s="106">
        <v>22</v>
      </c>
      <c r="I54" s="107">
        <v>1232</v>
      </c>
      <c r="J54" s="292"/>
      <c r="K54" s="107">
        <v>0</v>
      </c>
      <c r="L54" s="108">
        <v>1232</v>
      </c>
      <c r="M54" s="77"/>
    </row>
    <row r="55" spans="1:13" ht="18" customHeight="1" thickBot="1">
      <c r="A55" s="249"/>
      <c r="B55" s="185" t="s">
        <v>288</v>
      </c>
      <c r="C55" s="103" t="s">
        <v>273</v>
      </c>
      <c r="D55" s="104">
        <v>0</v>
      </c>
      <c r="E55" s="105">
        <v>12</v>
      </c>
      <c r="F55" s="106"/>
      <c r="G55" s="106">
        <v>16</v>
      </c>
      <c r="H55" s="106">
        <v>22</v>
      </c>
      <c r="I55" s="107">
        <v>352</v>
      </c>
      <c r="J55" s="292"/>
      <c r="K55" s="107">
        <v>0</v>
      </c>
      <c r="L55" s="108">
        <v>352</v>
      </c>
      <c r="M55" s="77"/>
    </row>
    <row r="56" spans="1:13" s="7" customFormat="1" ht="15" thickTop="1" thickBot="1">
      <c r="A56" s="250"/>
      <c r="B56" s="37" t="s">
        <v>289</v>
      </c>
      <c r="C56" s="40"/>
      <c r="D56" s="41"/>
      <c r="E56" s="42"/>
      <c r="F56" s="42"/>
      <c r="G56" s="42"/>
      <c r="H56" s="43"/>
      <c r="I56" s="29">
        <v>16336</v>
      </c>
      <c r="J56" s="43"/>
      <c r="K56" s="29">
        <v>16520</v>
      </c>
      <c r="L56" s="29">
        <v>32856</v>
      </c>
      <c r="M56" s="30" t="s">
        <v>33</v>
      </c>
    </row>
    <row r="57" spans="1:13" ht="20.100000000000001" customHeight="1" thickTop="1">
      <c r="A57" s="88" t="s">
        <v>290</v>
      </c>
      <c r="B57" s="89" t="s">
        <v>291</v>
      </c>
      <c r="C57" s="65"/>
      <c r="D57" s="66"/>
      <c r="E57" s="248"/>
      <c r="F57" s="118"/>
      <c r="G57" s="67"/>
      <c r="H57" s="68"/>
      <c r="I57" s="68"/>
      <c r="J57" s="68"/>
      <c r="K57" s="68"/>
      <c r="L57" s="69"/>
      <c r="M57" s="70"/>
    </row>
    <row r="58" spans="1:13" ht="20.100000000000001" customHeight="1">
      <c r="A58" s="249"/>
      <c r="B58" s="185" t="s">
        <v>292</v>
      </c>
      <c r="C58" s="103" t="s">
        <v>271</v>
      </c>
      <c r="D58" s="104">
        <v>0</v>
      </c>
      <c r="E58" s="105"/>
      <c r="F58" s="105">
        <v>3</v>
      </c>
      <c r="G58" s="106">
        <v>16</v>
      </c>
      <c r="H58" s="106">
        <v>300</v>
      </c>
      <c r="I58" s="107">
        <v>4800</v>
      </c>
      <c r="J58" s="107">
        <v>90</v>
      </c>
      <c r="K58" s="107">
        <v>1440</v>
      </c>
      <c r="L58" s="108">
        <v>6240</v>
      </c>
      <c r="M58" s="77"/>
    </row>
    <row r="59" spans="1:13" ht="18" customHeight="1">
      <c r="A59" s="249"/>
      <c r="B59" s="185" t="s">
        <v>293</v>
      </c>
      <c r="C59" s="103" t="s">
        <v>273</v>
      </c>
      <c r="D59" s="104"/>
      <c r="E59" s="105"/>
      <c r="F59" s="105"/>
      <c r="G59" s="106">
        <v>16</v>
      </c>
      <c r="H59" s="106">
        <v>330</v>
      </c>
      <c r="I59" s="107">
        <v>5280</v>
      </c>
      <c r="J59" s="107">
        <v>90</v>
      </c>
      <c r="K59" s="107">
        <v>1440</v>
      </c>
      <c r="L59" s="108">
        <v>6720</v>
      </c>
      <c r="M59" s="77"/>
    </row>
    <row r="60" spans="1:13" ht="18" customHeight="1">
      <c r="A60" s="249"/>
      <c r="B60" s="185" t="s">
        <v>294</v>
      </c>
      <c r="C60" s="103" t="s">
        <v>273</v>
      </c>
      <c r="D60" s="104"/>
      <c r="E60" s="105"/>
      <c r="F60" s="105"/>
      <c r="G60" s="106">
        <v>4</v>
      </c>
      <c r="H60" s="106">
        <v>950</v>
      </c>
      <c r="I60" s="107">
        <v>3800</v>
      </c>
      <c r="J60" s="107">
        <v>115</v>
      </c>
      <c r="K60" s="107">
        <v>460</v>
      </c>
      <c r="L60" s="108">
        <v>4260</v>
      </c>
      <c r="M60" s="77"/>
    </row>
    <row r="61" spans="1:13" ht="18" customHeight="1">
      <c r="A61" s="249"/>
      <c r="B61" s="185" t="s">
        <v>295</v>
      </c>
      <c r="C61" s="103" t="s">
        <v>273</v>
      </c>
      <c r="D61" s="104"/>
      <c r="E61" s="105"/>
      <c r="F61" s="105"/>
      <c r="G61" s="106">
        <v>16</v>
      </c>
      <c r="H61" s="106">
        <v>140</v>
      </c>
      <c r="I61" s="107">
        <v>2240</v>
      </c>
      <c r="J61" s="107">
        <v>90</v>
      </c>
      <c r="K61" s="107">
        <v>1440</v>
      </c>
      <c r="L61" s="108">
        <v>3680</v>
      </c>
      <c r="M61" s="77"/>
    </row>
    <row r="62" spans="1:13" ht="18" customHeight="1">
      <c r="A62" s="249"/>
      <c r="B62" s="185" t="s">
        <v>296</v>
      </c>
      <c r="C62" s="103" t="s">
        <v>273</v>
      </c>
      <c r="D62" s="104">
        <v>0</v>
      </c>
      <c r="E62" s="105">
        <v>12</v>
      </c>
      <c r="F62" s="106"/>
      <c r="G62" s="106">
        <v>4</v>
      </c>
      <c r="H62" s="106">
        <v>200</v>
      </c>
      <c r="I62" s="107">
        <v>800</v>
      </c>
      <c r="J62" s="107">
        <v>90</v>
      </c>
      <c r="K62" s="107">
        <v>360</v>
      </c>
      <c r="L62" s="108">
        <v>1160</v>
      </c>
      <c r="M62" s="77"/>
    </row>
    <row r="63" spans="1:13" ht="18" customHeight="1">
      <c r="A63" s="249"/>
      <c r="B63" s="185" t="s">
        <v>297</v>
      </c>
      <c r="C63" s="103" t="s">
        <v>273</v>
      </c>
      <c r="D63" s="104">
        <v>0</v>
      </c>
      <c r="E63" s="105">
        <v>12</v>
      </c>
      <c r="F63" s="106"/>
      <c r="G63" s="106">
        <v>4</v>
      </c>
      <c r="H63" s="106">
        <v>300</v>
      </c>
      <c r="I63" s="107">
        <v>1200</v>
      </c>
      <c r="J63" s="107">
        <v>80</v>
      </c>
      <c r="K63" s="107">
        <v>320</v>
      </c>
      <c r="L63" s="108">
        <v>1520</v>
      </c>
      <c r="M63" s="77"/>
    </row>
    <row r="64" spans="1:13" ht="18" customHeight="1" thickBot="1">
      <c r="A64" s="249"/>
      <c r="B64" s="185" t="s">
        <v>298</v>
      </c>
      <c r="C64" s="103" t="s">
        <v>273</v>
      </c>
      <c r="D64" s="104">
        <v>0</v>
      </c>
      <c r="E64" s="105">
        <v>12</v>
      </c>
      <c r="F64" s="106"/>
      <c r="G64" s="106">
        <v>4</v>
      </c>
      <c r="H64" s="106">
        <v>200</v>
      </c>
      <c r="I64" s="107">
        <v>800</v>
      </c>
      <c r="J64" s="107">
        <v>80</v>
      </c>
      <c r="K64" s="107">
        <v>320</v>
      </c>
      <c r="L64" s="108">
        <v>1120</v>
      </c>
      <c r="M64" s="77"/>
    </row>
    <row r="65" spans="1:13" s="7" customFormat="1" ht="15" thickTop="1" thickBot="1">
      <c r="A65" s="250"/>
      <c r="B65" s="37" t="s">
        <v>299</v>
      </c>
      <c r="C65" s="40"/>
      <c r="D65" s="41"/>
      <c r="E65" s="42"/>
      <c r="F65" s="42"/>
      <c r="G65" s="42"/>
      <c r="H65" s="43"/>
      <c r="I65" s="29">
        <v>18920</v>
      </c>
      <c r="J65" s="43"/>
      <c r="K65" s="29">
        <v>5780</v>
      </c>
      <c r="L65" s="29">
        <v>24700</v>
      </c>
      <c r="M65" s="30" t="s">
        <v>33</v>
      </c>
    </row>
    <row r="66" spans="1:13" ht="20.100000000000001" customHeight="1" thickTop="1">
      <c r="A66" s="88" t="s">
        <v>300</v>
      </c>
      <c r="B66" s="89" t="s">
        <v>25</v>
      </c>
      <c r="C66" s="65"/>
      <c r="D66" s="66"/>
      <c r="E66" s="248"/>
      <c r="F66" s="118"/>
      <c r="G66" s="67"/>
      <c r="H66" s="68"/>
      <c r="I66" s="68"/>
      <c r="J66" s="68"/>
      <c r="K66" s="68"/>
      <c r="L66" s="69"/>
      <c r="M66" s="70"/>
    </row>
    <row r="67" spans="1:13" ht="20.100000000000001" customHeight="1" thickBot="1">
      <c r="A67" s="249"/>
      <c r="B67" s="185" t="s">
        <v>448</v>
      </c>
      <c r="C67" s="103" t="s">
        <v>271</v>
      </c>
      <c r="D67" s="104">
        <v>0</v>
      </c>
      <c r="E67" s="105"/>
      <c r="F67" s="105">
        <v>3</v>
      </c>
      <c r="G67" s="106">
        <v>4</v>
      </c>
      <c r="H67" s="243"/>
      <c r="I67" s="292">
        <v>0</v>
      </c>
      <c r="J67" s="292"/>
      <c r="K67" s="107">
        <v>0</v>
      </c>
      <c r="L67" s="108">
        <v>0</v>
      </c>
      <c r="M67" s="293" t="s">
        <v>301</v>
      </c>
    </row>
    <row r="68" spans="1:13" s="7" customFormat="1" ht="15" thickTop="1" thickBot="1">
      <c r="A68" s="250"/>
      <c r="B68" s="37" t="s">
        <v>302</v>
      </c>
      <c r="C68" s="40"/>
      <c r="D68" s="41"/>
      <c r="E68" s="42"/>
      <c r="F68" s="42"/>
      <c r="G68" s="42"/>
      <c r="H68" s="43"/>
      <c r="I68" s="29">
        <v>0</v>
      </c>
      <c r="J68" s="43"/>
      <c r="K68" s="29">
        <v>0</v>
      </c>
      <c r="L68" s="29">
        <v>0</v>
      </c>
      <c r="M68" s="30" t="s">
        <v>33</v>
      </c>
    </row>
    <row r="69" spans="1:13" s="301" customFormat="1" ht="15" thickTop="1" thickBot="1">
      <c r="A69" s="294"/>
      <c r="B69" s="295" t="s">
        <v>147</v>
      </c>
      <c r="C69" s="295"/>
      <c r="D69" s="296"/>
      <c r="E69" s="297"/>
      <c r="F69" s="297"/>
      <c r="G69" s="297"/>
      <c r="H69" s="298"/>
      <c r="I69" s="299">
        <v>280517.40000000002</v>
      </c>
      <c r="J69" s="298"/>
      <c r="K69" s="299">
        <v>159040</v>
      </c>
      <c r="L69" s="299">
        <v>465111.54</v>
      </c>
      <c r="M69" s="300"/>
    </row>
    <row r="71" spans="1:13">
      <c r="M71" s="5" t="s">
        <v>33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3"/>
  <sheetViews>
    <sheetView view="pageBreakPreview" zoomScale="80" zoomScaleNormal="75" workbookViewId="0">
      <pane xSplit="7" ySplit="8" topLeftCell="H84" activePane="bottomRight" state="frozen"/>
      <selection activeCell="P4" sqref="P4"/>
      <selection pane="topRight" activeCell="P4" sqref="P4"/>
      <selection pane="bottomLeft" activeCell="P4" sqref="P4"/>
      <selection pane="bottomRight" activeCell="A41" sqref="A41:M41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0" t="s">
        <v>36</v>
      </c>
      <c r="B1" s="206"/>
      <c r="C1" s="206"/>
      <c r="D1" s="207"/>
      <c r="E1" s="208"/>
      <c r="F1" s="208"/>
      <c r="G1" s="208"/>
      <c r="H1" s="209"/>
      <c r="I1" s="208"/>
      <c r="J1" s="208"/>
      <c r="K1" s="208"/>
      <c r="L1" s="209"/>
      <c r="M1" s="210"/>
    </row>
    <row r="2" spans="1:13" s="1" customFormat="1" ht="20.100000000000001" customHeight="1">
      <c r="A2" s="181" t="s">
        <v>45</v>
      </c>
      <c r="B2" s="211"/>
      <c r="C2" s="211"/>
      <c r="D2" s="212"/>
      <c r="E2" s="213"/>
      <c r="F2" s="213"/>
      <c r="G2" s="213"/>
      <c r="H2" s="214"/>
      <c r="I2" s="213"/>
      <c r="J2" s="213"/>
      <c r="K2" s="213"/>
      <c r="L2" s="214"/>
      <c r="M2" s="215"/>
    </row>
    <row r="3" spans="1:13" s="1" customFormat="1" ht="20.100000000000001" customHeight="1">
      <c r="A3" s="127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28"/>
      <c r="C3" s="129"/>
      <c r="D3" s="157"/>
      <c r="E3" s="130"/>
      <c r="F3" s="130"/>
      <c r="G3" s="130"/>
      <c r="H3" s="131"/>
      <c r="I3" s="131"/>
      <c r="J3" s="158"/>
      <c r="K3" s="158"/>
      <c r="L3" s="133"/>
      <c r="M3" s="134" t="str">
        <f>'[2]cover '!D2</f>
        <v xml:space="preserve">จัดทำโดย คณะสถาปัตยกรรมศาสตร์ 
</v>
      </c>
    </row>
    <row r="4" spans="1:13" s="1" customFormat="1" ht="20.100000000000001" customHeight="1">
      <c r="A4" s="127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129"/>
      <c r="C4" s="129"/>
      <c r="D4" s="157"/>
      <c r="E4" s="130"/>
      <c r="F4" s="130"/>
      <c r="G4" s="130"/>
      <c r="H4" s="131"/>
      <c r="I4" s="131"/>
      <c r="J4" s="533" t="s">
        <v>228</v>
      </c>
      <c r="K4" s="533"/>
      <c r="L4" s="533"/>
      <c r="M4" s="534"/>
    </row>
    <row r="5" spans="1:13" s="1" customFormat="1" ht="20.100000000000001" customHeight="1" thickBot="1">
      <c r="A5" s="127" t="s">
        <v>439</v>
      </c>
      <c r="B5" s="129"/>
      <c r="C5" s="129"/>
      <c r="D5" s="157"/>
      <c r="E5" s="130"/>
      <c r="F5" s="130"/>
      <c r="G5" s="130"/>
      <c r="H5" s="131"/>
      <c r="I5" s="131"/>
      <c r="J5" s="132"/>
      <c r="K5" s="132"/>
      <c r="L5" s="130"/>
      <c r="M5" s="134"/>
    </row>
    <row r="6" spans="1:13" s="19" customFormat="1" ht="20.100000000000001" customHeight="1">
      <c r="A6" s="559" t="s">
        <v>2</v>
      </c>
      <c r="B6" s="561" t="s">
        <v>3</v>
      </c>
      <c r="C6" s="561" t="s">
        <v>37</v>
      </c>
      <c r="D6" s="24" t="s">
        <v>46</v>
      </c>
      <c r="E6" s="361" t="s">
        <v>38</v>
      </c>
      <c r="F6" s="361" t="s">
        <v>38</v>
      </c>
      <c r="G6" s="563" t="s">
        <v>38</v>
      </c>
      <c r="H6" s="555" t="s">
        <v>39</v>
      </c>
      <c r="I6" s="556"/>
      <c r="J6" s="557" t="s">
        <v>40</v>
      </c>
      <c r="K6" s="558"/>
      <c r="L6" s="25" t="s">
        <v>5</v>
      </c>
      <c r="M6" s="553" t="s">
        <v>41</v>
      </c>
    </row>
    <row r="7" spans="1:13" s="19" customFormat="1" ht="20.100000000000001" customHeight="1" thickBot="1">
      <c r="A7" s="560"/>
      <c r="B7" s="562"/>
      <c r="C7" s="562"/>
      <c r="D7" s="26" t="s">
        <v>47</v>
      </c>
      <c r="E7" s="362"/>
      <c r="F7" s="362"/>
      <c r="G7" s="564"/>
      <c r="H7" s="27" t="s">
        <v>42</v>
      </c>
      <c r="I7" s="27" t="s">
        <v>43</v>
      </c>
      <c r="J7" s="27" t="s">
        <v>42</v>
      </c>
      <c r="K7" s="27" t="s">
        <v>43</v>
      </c>
      <c r="L7" s="28" t="s">
        <v>44</v>
      </c>
      <c r="M7" s="554"/>
    </row>
    <row r="8" spans="1:13" s="1" customFormat="1" ht="20.100000000000001" customHeight="1">
      <c r="A8" s="23" t="s">
        <v>148</v>
      </c>
      <c r="B8" s="20" t="s">
        <v>303</v>
      </c>
      <c r="C8" s="9"/>
      <c r="D8" s="454"/>
      <c r="E8" s="455"/>
      <c r="F8" s="456"/>
      <c r="G8" s="457"/>
      <c r="H8" s="458"/>
      <c r="I8" s="458"/>
      <c r="J8" s="458"/>
      <c r="K8" s="458"/>
      <c r="L8" s="459"/>
      <c r="M8" s="21"/>
    </row>
    <row r="9" spans="1:13">
      <c r="A9" s="302" t="str">
        <f>A18</f>
        <v>D1</v>
      </c>
      <c r="B9" s="303" t="str">
        <f>B18</f>
        <v>ระบบท่อน้ำประปา</v>
      </c>
      <c r="C9" s="86"/>
      <c r="D9" s="460"/>
      <c r="E9" s="461"/>
      <c r="F9" s="462"/>
      <c r="G9" s="462"/>
      <c r="H9" s="463"/>
      <c r="I9" s="464">
        <f>I41</f>
        <v>95875.692999999999</v>
      </c>
      <c r="J9" s="463"/>
      <c r="K9" s="464">
        <f>K41</f>
        <v>48054.349099999992</v>
      </c>
      <c r="L9" s="465">
        <f>L41</f>
        <v>143930.04210000002</v>
      </c>
      <c r="M9" s="247"/>
    </row>
    <row r="10" spans="1:13" ht="18" customHeight="1">
      <c r="A10" s="249" t="str">
        <f>A42</f>
        <v>D2</v>
      </c>
      <c r="B10" s="216" t="str">
        <f>B42</f>
        <v>ระบบท่อระบายทิ้ง น้ำเสียและน้ำโสโครก</v>
      </c>
      <c r="C10" s="103"/>
      <c r="D10" s="466"/>
      <c r="E10" s="467"/>
      <c r="F10" s="467"/>
      <c r="G10" s="468"/>
      <c r="H10" s="462"/>
      <c r="I10" s="469">
        <f>I57</f>
        <v>51751.455999999998</v>
      </c>
      <c r="J10" s="469"/>
      <c r="K10" s="469">
        <f>K57</f>
        <v>37207.178999999989</v>
      </c>
      <c r="L10" s="470">
        <f>L57</f>
        <v>88958.63499999998</v>
      </c>
      <c r="M10" s="77"/>
    </row>
    <row r="11" spans="1:13" ht="18" customHeight="1">
      <c r="A11" s="249" t="str">
        <f>A58</f>
        <v>D3</v>
      </c>
      <c r="B11" s="216" t="str">
        <f>B58</f>
        <v>งานระบบท่ออากาศ</v>
      </c>
      <c r="C11" s="103"/>
      <c r="D11" s="466"/>
      <c r="E11" s="467"/>
      <c r="F11" s="467"/>
      <c r="G11" s="468"/>
      <c r="H11" s="462"/>
      <c r="I11" s="469">
        <f>I69</f>
        <v>3705.5699999999997</v>
      </c>
      <c r="J11" s="469"/>
      <c r="K11" s="469">
        <f>K69</f>
        <v>2465.0610000000001</v>
      </c>
      <c r="L11" s="470">
        <f>L69</f>
        <v>6170.6309999999994</v>
      </c>
      <c r="M11" s="77"/>
    </row>
    <row r="12" spans="1:13" ht="18" customHeight="1">
      <c r="A12" s="249" t="str">
        <f>A70</f>
        <v>D4</v>
      </c>
      <c r="B12" s="216" t="str">
        <f>B70</f>
        <v>งานระบบท่อระบายน้ำฝนของอาคาร</v>
      </c>
      <c r="C12" s="103"/>
      <c r="D12" s="466"/>
      <c r="E12" s="467"/>
      <c r="F12" s="468"/>
      <c r="G12" s="468"/>
      <c r="H12" s="462"/>
      <c r="I12" s="469">
        <f>I76</f>
        <v>14536</v>
      </c>
      <c r="J12" s="469"/>
      <c r="K12" s="469">
        <f>K76</f>
        <v>8660</v>
      </c>
      <c r="L12" s="470">
        <f>L76</f>
        <v>23196</v>
      </c>
      <c r="M12" s="77"/>
    </row>
    <row r="13" spans="1:13" ht="18" customHeight="1">
      <c r="A13" s="249" t="str">
        <f>A77</f>
        <v>D5</v>
      </c>
      <c r="B13" s="216" t="str">
        <f>B77</f>
        <v>งานระบบระบายน้ำรอบพื้นที่</v>
      </c>
      <c r="C13" s="103"/>
      <c r="D13" s="466"/>
      <c r="E13" s="467"/>
      <c r="F13" s="468"/>
      <c r="G13" s="468"/>
      <c r="H13" s="462"/>
      <c r="I13" s="469">
        <f>I92</f>
        <v>21332.799999999999</v>
      </c>
      <c r="J13" s="469"/>
      <c r="K13" s="469">
        <f>K92</f>
        <v>5393.12</v>
      </c>
      <c r="L13" s="470">
        <f>L92</f>
        <v>26725.920000000002</v>
      </c>
      <c r="M13" s="77"/>
    </row>
    <row r="14" spans="1:13" ht="18" customHeight="1">
      <c r="A14" s="249"/>
      <c r="B14" s="216"/>
      <c r="C14" s="103"/>
      <c r="D14" s="466"/>
      <c r="E14" s="467"/>
      <c r="F14" s="468"/>
      <c r="G14" s="468"/>
      <c r="H14" s="462"/>
      <c r="I14" s="469"/>
      <c r="J14" s="469"/>
      <c r="K14" s="469"/>
      <c r="L14" s="470"/>
      <c r="M14" s="77"/>
    </row>
    <row r="15" spans="1:13" ht="18" customHeight="1">
      <c r="A15" s="249"/>
      <c r="B15" s="216"/>
      <c r="C15" s="103"/>
      <c r="D15" s="466"/>
      <c r="E15" s="467"/>
      <c r="F15" s="468"/>
      <c r="G15" s="468"/>
      <c r="H15" s="462"/>
      <c r="I15" s="471"/>
      <c r="J15" s="471"/>
      <c r="K15" s="469"/>
      <c r="L15" s="470"/>
      <c r="M15" s="77"/>
    </row>
    <row r="16" spans="1:13" ht="18" customHeight="1" thickBot="1">
      <c r="A16" s="249"/>
      <c r="B16" s="216"/>
      <c r="C16" s="103"/>
      <c r="D16" s="466"/>
      <c r="E16" s="467"/>
      <c r="F16" s="468"/>
      <c r="G16" s="468"/>
      <c r="H16" s="462"/>
      <c r="I16" s="471"/>
      <c r="J16" s="471"/>
      <c r="K16" s="469"/>
      <c r="L16" s="470"/>
      <c r="M16" s="77"/>
    </row>
    <row r="17" spans="1:13" s="7" customFormat="1" ht="15" thickTop="1" thickBot="1">
      <c r="A17" s="250"/>
      <c r="B17" s="37" t="s">
        <v>149</v>
      </c>
      <c r="C17" s="40"/>
      <c r="D17" s="472"/>
      <c r="E17" s="473"/>
      <c r="F17" s="473"/>
      <c r="G17" s="473"/>
      <c r="H17" s="474"/>
      <c r="I17" s="475">
        <f>SUM(I9:I16)</f>
        <v>187201.519</v>
      </c>
      <c r="J17" s="474"/>
      <c r="K17" s="475">
        <f>SUM(K9:K16)</f>
        <v>101779.70909999998</v>
      </c>
      <c r="L17" s="475">
        <f>SUM(L9:L16)</f>
        <v>288981.22810000001</v>
      </c>
      <c r="M17" s="30"/>
    </row>
    <row r="18" spans="1:13" ht="20.100000000000001" customHeight="1" thickTop="1">
      <c r="A18" s="88" t="s">
        <v>304</v>
      </c>
      <c r="B18" s="89" t="s">
        <v>305</v>
      </c>
      <c r="C18" s="65"/>
      <c r="D18" s="476"/>
      <c r="E18" s="477"/>
      <c r="F18" s="478"/>
      <c r="G18" s="479"/>
      <c r="H18" s="480"/>
      <c r="I18" s="480"/>
      <c r="J18" s="480"/>
      <c r="K18" s="480"/>
      <c r="L18" s="481"/>
      <c r="M18" s="70"/>
    </row>
    <row r="19" spans="1:13" ht="20.100000000000001" customHeight="1">
      <c r="A19" s="249"/>
      <c r="B19" s="185" t="s">
        <v>306</v>
      </c>
      <c r="C19" s="103"/>
      <c r="D19" s="466"/>
      <c r="E19" s="467"/>
      <c r="F19" s="467"/>
      <c r="G19" s="468"/>
      <c r="H19" s="468"/>
      <c r="I19" s="469"/>
      <c r="J19" s="468"/>
      <c r="K19" s="469"/>
      <c r="L19" s="470"/>
      <c r="M19" s="77"/>
    </row>
    <row r="20" spans="1:13" ht="18" customHeight="1">
      <c r="A20" s="249"/>
      <c r="B20" s="216" t="s">
        <v>307</v>
      </c>
      <c r="C20" s="86">
        <f>1*4</f>
        <v>4</v>
      </c>
      <c r="D20" s="460"/>
      <c r="E20" s="461"/>
      <c r="F20" s="461"/>
      <c r="G20" s="462" t="s">
        <v>308</v>
      </c>
      <c r="H20" s="462">
        <f>39.9/4</f>
        <v>9.9749999999999996</v>
      </c>
      <c r="I20" s="471">
        <f>C20*H20</f>
        <v>39.9</v>
      </c>
      <c r="J20" s="462">
        <v>30</v>
      </c>
      <c r="K20" s="471">
        <f>C20*J20</f>
        <v>120</v>
      </c>
      <c r="L20" s="465">
        <f>I20+K20</f>
        <v>159.9</v>
      </c>
      <c r="M20" s="77"/>
    </row>
    <row r="21" spans="1:13" ht="18" customHeight="1">
      <c r="A21" s="249"/>
      <c r="B21" s="216" t="s">
        <v>309</v>
      </c>
      <c r="C21" s="86">
        <f>41.6*4</f>
        <v>166.4</v>
      </c>
      <c r="D21" s="460"/>
      <c r="E21" s="461"/>
      <c r="F21" s="461"/>
      <c r="G21" s="462" t="s">
        <v>308</v>
      </c>
      <c r="H21" s="462">
        <f>50.35/4</f>
        <v>12.5875</v>
      </c>
      <c r="I21" s="471">
        <f>C21*H21</f>
        <v>2094.56</v>
      </c>
      <c r="J21" s="462">
        <v>30</v>
      </c>
      <c r="K21" s="471">
        <f>C21*J21</f>
        <v>4992</v>
      </c>
      <c r="L21" s="465">
        <f>I21+K21</f>
        <v>7086.5599999999995</v>
      </c>
      <c r="M21" s="77"/>
    </row>
    <row r="22" spans="1:13" ht="18" customHeight="1">
      <c r="A22" s="249"/>
      <c r="B22" s="216" t="s">
        <v>450</v>
      </c>
      <c r="C22" s="86">
        <f>8.94*4</f>
        <v>35.76</v>
      </c>
      <c r="D22" s="460"/>
      <c r="E22" s="461"/>
      <c r="F22" s="461"/>
      <c r="G22" s="462" t="s">
        <v>308</v>
      </c>
      <c r="H22" s="462">
        <f>66.5/4</f>
        <v>16.625</v>
      </c>
      <c r="I22" s="471">
        <f>C22*H22</f>
        <v>594.51</v>
      </c>
      <c r="J22" s="462">
        <v>30</v>
      </c>
      <c r="K22" s="471">
        <f>C22*J22</f>
        <v>1072.8</v>
      </c>
      <c r="L22" s="465">
        <f>I22+K22</f>
        <v>1667.31</v>
      </c>
      <c r="M22" s="77"/>
    </row>
    <row r="23" spans="1:13" ht="18" customHeight="1">
      <c r="A23" s="249"/>
      <c r="B23" s="185" t="s">
        <v>310</v>
      </c>
      <c r="C23" s="86">
        <v>1</v>
      </c>
      <c r="D23" s="460"/>
      <c r="E23" s="461"/>
      <c r="F23" s="461"/>
      <c r="G23" s="462" t="s">
        <v>34</v>
      </c>
      <c r="H23" s="462">
        <f>SUM(I20:I22)*0.1</f>
        <v>272.89700000000005</v>
      </c>
      <c r="I23" s="471">
        <f>C23*H23</f>
        <v>272.89700000000005</v>
      </c>
      <c r="J23" s="462">
        <f>H23*0.3</f>
        <v>81.869100000000017</v>
      </c>
      <c r="K23" s="471">
        <f>C23*J23</f>
        <v>81.869100000000017</v>
      </c>
      <c r="L23" s="465">
        <f>I23+K23</f>
        <v>354.76610000000005</v>
      </c>
      <c r="M23" s="77"/>
    </row>
    <row r="24" spans="1:13" ht="18" customHeight="1">
      <c r="A24" s="249"/>
      <c r="B24" s="185" t="s">
        <v>311</v>
      </c>
      <c r="C24" s="86"/>
      <c r="D24" s="460"/>
      <c r="E24" s="461"/>
      <c r="F24" s="462"/>
      <c r="G24" s="462"/>
      <c r="H24" s="462"/>
      <c r="I24" s="471"/>
      <c r="J24" s="462"/>
      <c r="K24" s="471"/>
      <c r="L24" s="465"/>
      <c r="M24" s="77"/>
    </row>
    <row r="25" spans="1:13" ht="18" customHeight="1">
      <c r="A25" s="249"/>
      <c r="B25" s="185" t="s">
        <v>312</v>
      </c>
      <c r="C25" s="86">
        <f>1*4</f>
        <v>4</v>
      </c>
      <c r="D25" s="460"/>
      <c r="E25" s="461"/>
      <c r="F25" s="462"/>
      <c r="G25" s="462" t="s">
        <v>114</v>
      </c>
      <c r="H25" s="462">
        <v>105</v>
      </c>
      <c r="I25" s="471">
        <f t="shared" ref="I25:I38" si="0">C25*H25</f>
        <v>420</v>
      </c>
      <c r="J25" s="462">
        <v>100</v>
      </c>
      <c r="K25" s="471">
        <f t="shared" ref="K25:K38" si="1">C25*J25</f>
        <v>400</v>
      </c>
      <c r="L25" s="465">
        <f t="shared" ref="L25:L38" si="2">I25+K25</f>
        <v>820</v>
      </c>
      <c r="M25" s="77"/>
    </row>
    <row r="26" spans="1:13" ht="18" customHeight="1">
      <c r="A26" s="249"/>
      <c r="B26" s="185" t="s">
        <v>313</v>
      </c>
      <c r="C26" s="86">
        <v>24</v>
      </c>
      <c r="D26" s="460"/>
      <c r="E26" s="461"/>
      <c r="F26" s="462"/>
      <c r="G26" s="462" t="s">
        <v>114</v>
      </c>
      <c r="H26" s="462">
        <v>264</v>
      </c>
      <c r="I26" s="471">
        <f t="shared" si="0"/>
        <v>6336</v>
      </c>
      <c r="J26" s="462">
        <v>150</v>
      </c>
      <c r="K26" s="471">
        <f t="shared" si="1"/>
        <v>3600</v>
      </c>
      <c r="L26" s="465">
        <f t="shared" si="2"/>
        <v>9936</v>
      </c>
      <c r="M26" s="77"/>
    </row>
    <row r="27" spans="1:13" ht="18" customHeight="1">
      <c r="A27" s="249"/>
      <c r="B27" s="185" t="s">
        <v>314</v>
      </c>
      <c r="C27" s="86">
        <f>1*4</f>
        <v>4</v>
      </c>
      <c r="D27" s="460"/>
      <c r="E27" s="461"/>
      <c r="F27" s="462"/>
      <c r="G27" s="462" t="s">
        <v>114</v>
      </c>
      <c r="H27" s="462">
        <v>1135</v>
      </c>
      <c r="I27" s="471">
        <f t="shared" si="0"/>
        <v>4540</v>
      </c>
      <c r="J27" s="462">
        <v>100</v>
      </c>
      <c r="K27" s="471">
        <f t="shared" si="1"/>
        <v>400</v>
      </c>
      <c r="L27" s="465">
        <f t="shared" si="2"/>
        <v>4940</v>
      </c>
      <c r="M27" s="77"/>
    </row>
    <row r="28" spans="1:13" ht="18" customHeight="1">
      <c r="A28" s="249"/>
      <c r="B28" s="185" t="s">
        <v>315</v>
      </c>
      <c r="C28" s="86">
        <f>1*4</f>
        <v>4</v>
      </c>
      <c r="D28" s="460"/>
      <c r="E28" s="461"/>
      <c r="F28" s="462"/>
      <c r="G28" s="462" t="s">
        <v>114</v>
      </c>
      <c r="H28" s="462">
        <v>155</v>
      </c>
      <c r="I28" s="471">
        <f t="shared" si="0"/>
        <v>620</v>
      </c>
      <c r="J28" s="462">
        <v>50</v>
      </c>
      <c r="K28" s="471">
        <f t="shared" si="1"/>
        <v>200</v>
      </c>
      <c r="L28" s="465">
        <f t="shared" si="2"/>
        <v>820</v>
      </c>
      <c r="M28" s="77"/>
    </row>
    <row r="29" spans="1:13" ht="18" customHeight="1">
      <c r="A29" s="249"/>
      <c r="B29" s="185" t="s">
        <v>316</v>
      </c>
      <c r="C29" s="86">
        <v>4</v>
      </c>
      <c r="D29" s="460"/>
      <c r="E29" s="461"/>
      <c r="F29" s="462"/>
      <c r="G29" s="462" t="s">
        <v>114</v>
      </c>
      <c r="H29" s="462">
        <v>11600</v>
      </c>
      <c r="I29" s="471">
        <f t="shared" si="0"/>
        <v>46400</v>
      </c>
      <c r="J29" s="462">
        <f>H29*0.3</f>
        <v>3480</v>
      </c>
      <c r="K29" s="471">
        <f t="shared" si="1"/>
        <v>13920</v>
      </c>
      <c r="L29" s="465">
        <f t="shared" si="2"/>
        <v>60320</v>
      </c>
      <c r="M29" s="77"/>
    </row>
    <row r="30" spans="1:13" ht="18" customHeight="1">
      <c r="A30" s="249"/>
      <c r="B30" s="185" t="s">
        <v>317</v>
      </c>
      <c r="C30" s="86">
        <v>4</v>
      </c>
      <c r="D30" s="460"/>
      <c r="E30" s="461"/>
      <c r="F30" s="462"/>
      <c r="G30" s="462" t="s">
        <v>114</v>
      </c>
      <c r="H30" s="462">
        <v>4590</v>
      </c>
      <c r="I30" s="471">
        <f t="shared" si="0"/>
        <v>18360</v>
      </c>
      <c r="J30" s="462">
        <f>H30*0.3</f>
        <v>1377</v>
      </c>
      <c r="K30" s="471">
        <f t="shared" si="1"/>
        <v>5508</v>
      </c>
      <c r="L30" s="465">
        <f t="shared" si="2"/>
        <v>23868</v>
      </c>
      <c r="M30" s="77"/>
    </row>
    <row r="31" spans="1:13" ht="18" customHeight="1">
      <c r="A31" s="249"/>
      <c r="B31" s="185" t="s">
        <v>310</v>
      </c>
      <c r="C31" s="86">
        <v>1</v>
      </c>
      <c r="D31" s="460"/>
      <c r="E31" s="461"/>
      <c r="F31" s="462"/>
      <c r="G31" s="462" t="s">
        <v>34</v>
      </c>
      <c r="H31" s="462">
        <f>SUM(I25:I30)*0.1</f>
        <v>7667.6</v>
      </c>
      <c r="I31" s="471">
        <f t="shared" si="0"/>
        <v>7667.6</v>
      </c>
      <c r="J31" s="462">
        <f>H31*0.3</f>
        <v>2300.2800000000002</v>
      </c>
      <c r="K31" s="471">
        <f t="shared" si="1"/>
        <v>2300.2800000000002</v>
      </c>
      <c r="L31" s="465">
        <f t="shared" si="2"/>
        <v>9967.880000000001</v>
      </c>
      <c r="M31" s="77"/>
    </row>
    <row r="32" spans="1:13" ht="18" customHeight="1">
      <c r="A32" s="249"/>
      <c r="B32" s="482" t="s">
        <v>451</v>
      </c>
      <c r="C32" s="86"/>
      <c r="D32" s="460"/>
      <c r="E32" s="461"/>
      <c r="F32" s="462"/>
      <c r="G32" s="462"/>
      <c r="H32" s="462"/>
      <c r="I32" s="471">
        <f t="shared" si="0"/>
        <v>0</v>
      </c>
      <c r="J32" s="462"/>
      <c r="K32" s="471">
        <f t="shared" si="1"/>
        <v>0</v>
      </c>
      <c r="L32" s="465">
        <f t="shared" si="2"/>
        <v>0</v>
      </c>
      <c r="M32" s="77"/>
    </row>
    <row r="33" spans="1:13" ht="18" customHeight="1">
      <c r="A33" s="249"/>
      <c r="B33" s="185" t="s">
        <v>452</v>
      </c>
      <c r="C33" s="86">
        <v>16</v>
      </c>
      <c r="D33" s="460"/>
      <c r="E33" s="461"/>
      <c r="F33" s="462"/>
      <c r="G33" s="462" t="s">
        <v>51</v>
      </c>
      <c r="H33" s="462">
        <f>150.82*6/2</f>
        <v>452.46</v>
      </c>
      <c r="I33" s="471">
        <f t="shared" si="0"/>
        <v>7239.36</v>
      </c>
      <c r="J33" s="462">
        <v>548</v>
      </c>
      <c r="K33" s="471">
        <f t="shared" si="1"/>
        <v>8768</v>
      </c>
      <c r="L33" s="465">
        <f t="shared" si="2"/>
        <v>16007.36</v>
      </c>
      <c r="M33" s="77"/>
    </row>
    <row r="34" spans="1:13" ht="18" customHeight="1">
      <c r="A34" s="249"/>
      <c r="B34" s="185" t="s">
        <v>453</v>
      </c>
      <c r="C34" s="86">
        <v>16</v>
      </c>
      <c r="D34" s="460"/>
      <c r="E34" s="461"/>
      <c r="F34" s="462"/>
      <c r="G34" s="462" t="s">
        <v>51</v>
      </c>
      <c r="H34" s="462"/>
      <c r="I34" s="471">
        <f t="shared" si="0"/>
        <v>0</v>
      </c>
      <c r="J34" s="462">
        <v>400</v>
      </c>
      <c r="K34" s="471">
        <f t="shared" si="1"/>
        <v>6400</v>
      </c>
      <c r="L34" s="465">
        <f t="shared" si="2"/>
        <v>6400</v>
      </c>
      <c r="M34" s="77"/>
    </row>
    <row r="35" spans="1:13" ht="18" customHeight="1">
      <c r="A35" s="249"/>
      <c r="B35" s="185" t="s">
        <v>454</v>
      </c>
      <c r="C35" s="86">
        <f>1*0.05*4</f>
        <v>0.2</v>
      </c>
      <c r="D35" s="460"/>
      <c r="E35" s="461"/>
      <c r="F35" s="462"/>
      <c r="G35" s="462" t="s">
        <v>455</v>
      </c>
      <c r="H35" s="462">
        <v>453.33</v>
      </c>
      <c r="I35" s="471">
        <f t="shared" si="0"/>
        <v>90.665999999999997</v>
      </c>
      <c r="J35" s="462">
        <v>91</v>
      </c>
      <c r="K35" s="471">
        <f t="shared" si="1"/>
        <v>18.2</v>
      </c>
      <c r="L35" s="465">
        <f t="shared" si="2"/>
        <v>108.866</v>
      </c>
      <c r="M35" s="77"/>
    </row>
    <row r="36" spans="1:13" ht="18" customHeight="1">
      <c r="A36" s="249"/>
      <c r="B36" s="185" t="s">
        <v>456</v>
      </c>
      <c r="C36" s="86">
        <f>0.05*4</f>
        <v>0.2</v>
      </c>
      <c r="D36" s="460"/>
      <c r="E36" s="461"/>
      <c r="F36" s="462"/>
      <c r="G36" s="462" t="s">
        <v>455</v>
      </c>
      <c r="H36" s="462">
        <v>2034</v>
      </c>
      <c r="I36" s="471">
        <f t="shared" si="0"/>
        <v>406.8</v>
      </c>
      <c r="J36" s="462">
        <v>398</v>
      </c>
      <c r="K36" s="471">
        <f t="shared" si="1"/>
        <v>79.600000000000009</v>
      </c>
      <c r="L36" s="465">
        <f t="shared" si="2"/>
        <v>486.40000000000003</v>
      </c>
      <c r="M36" s="77"/>
    </row>
    <row r="37" spans="1:13" s="7" customFormat="1">
      <c r="A37" s="249"/>
      <c r="B37" s="185" t="s">
        <v>457</v>
      </c>
      <c r="C37" s="86">
        <f>1*1*0.05*4</f>
        <v>0.2</v>
      </c>
      <c r="D37" s="460"/>
      <c r="E37" s="461"/>
      <c r="F37" s="462"/>
      <c r="G37" s="462" t="s">
        <v>455</v>
      </c>
      <c r="H37" s="462">
        <v>2367</v>
      </c>
      <c r="I37" s="471">
        <f t="shared" si="0"/>
        <v>473.40000000000003</v>
      </c>
      <c r="J37" s="462">
        <v>436</v>
      </c>
      <c r="K37" s="471">
        <f t="shared" si="1"/>
        <v>87.2</v>
      </c>
      <c r="L37" s="465">
        <f t="shared" si="2"/>
        <v>560.6</v>
      </c>
      <c r="M37" s="77"/>
    </row>
    <row r="38" spans="1:13" ht="20.100000000000001" customHeight="1">
      <c r="A38" s="249"/>
      <c r="B38" s="185" t="s">
        <v>458</v>
      </c>
      <c r="C38" s="86">
        <f>4*0.1*0.5*4</f>
        <v>0.8</v>
      </c>
      <c r="D38" s="460"/>
      <c r="E38" s="461"/>
      <c r="F38" s="462"/>
      <c r="G38" s="462" t="s">
        <v>35</v>
      </c>
      <c r="H38" s="462">
        <v>400</v>
      </c>
      <c r="I38" s="471">
        <f t="shared" si="0"/>
        <v>320</v>
      </c>
      <c r="J38" s="462">
        <v>133</v>
      </c>
      <c r="K38" s="471">
        <f t="shared" si="1"/>
        <v>106.4</v>
      </c>
      <c r="L38" s="465">
        <f t="shared" si="2"/>
        <v>426.4</v>
      </c>
      <c r="M38" s="77"/>
    </row>
    <row r="39" spans="1:13">
      <c r="A39" s="249"/>
      <c r="B39" s="185"/>
      <c r="C39" s="86"/>
      <c r="D39" s="460"/>
      <c r="E39" s="461"/>
      <c r="F39" s="462"/>
      <c r="G39" s="462"/>
      <c r="H39" s="462"/>
      <c r="I39" s="471"/>
      <c r="J39" s="462"/>
      <c r="K39" s="471"/>
      <c r="L39" s="465"/>
      <c r="M39" s="77"/>
    </row>
    <row r="40" spans="1:13" ht="14.4" thickBot="1">
      <c r="A40" s="249"/>
      <c r="B40" s="185"/>
      <c r="C40" s="86"/>
      <c r="D40" s="460"/>
      <c r="E40" s="461"/>
      <c r="F40" s="462"/>
      <c r="G40" s="462"/>
      <c r="H40" s="462"/>
      <c r="I40" s="471"/>
      <c r="J40" s="462"/>
      <c r="K40" s="471"/>
      <c r="L40" s="465"/>
      <c r="M40" s="77"/>
    </row>
    <row r="41" spans="1:13" ht="15" thickTop="1" thickBot="1">
      <c r="A41" s="250"/>
      <c r="B41" s="37" t="s">
        <v>318</v>
      </c>
      <c r="C41" s="40"/>
      <c r="D41" s="472"/>
      <c r="E41" s="473"/>
      <c r="F41" s="473"/>
      <c r="G41" s="473"/>
      <c r="H41" s="474"/>
      <c r="I41" s="475">
        <f>SUM(I19:I40)</f>
        <v>95875.692999999999</v>
      </c>
      <c r="J41" s="474"/>
      <c r="K41" s="475">
        <f>SUM(K19:K40)</f>
        <v>48054.349099999992</v>
      </c>
      <c r="L41" s="475">
        <f>SUM(L19:L40)</f>
        <v>143930.04210000002</v>
      </c>
      <c r="M41" s="30" t="s">
        <v>33</v>
      </c>
    </row>
    <row r="42" spans="1:13" ht="14.4" thickTop="1">
      <c r="A42" s="88" t="s">
        <v>319</v>
      </c>
      <c r="B42" s="89" t="s">
        <v>320</v>
      </c>
      <c r="C42" s="483"/>
      <c r="D42" s="484"/>
      <c r="E42" s="485"/>
      <c r="F42" s="486"/>
      <c r="G42" s="487"/>
      <c r="H42" s="488"/>
      <c r="I42" s="488"/>
      <c r="J42" s="488"/>
      <c r="K42" s="488"/>
      <c r="L42" s="489"/>
      <c r="M42" s="70"/>
    </row>
    <row r="43" spans="1:13">
      <c r="A43" s="249"/>
      <c r="B43" s="185" t="s">
        <v>321</v>
      </c>
      <c r="C43" s="86"/>
      <c r="D43" s="460"/>
      <c r="E43" s="461"/>
      <c r="F43" s="461"/>
      <c r="G43" s="462"/>
      <c r="H43" s="462"/>
      <c r="I43" s="471"/>
      <c r="J43" s="471"/>
      <c r="K43" s="471"/>
      <c r="L43" s="465"/>
      <c r="M43" s="77"/>
    </row>
    <row r="44" spans="1:13" ht="18" customHeight="1">
      <c r="A44" s="249"/>
      <c r="B44" s="185" t="s">
        <v>322</v>
      </c>
      <c r="C44" s="86">
        <f>22.7*4</f>
        <v>90.8</v>
      </c>
      <c r="D44" s="460"/>
      <c r="E44" s="461"/>
      <c r="F44" s="461"/>
      <c r="G44" s="462" t="s">
        <v>308</v>
      </c>
      <c r="H44" s="462">
        <f>171/4</f>
        <v>42.75</v>
      </c>
      <c r="I44" s="471">
        <f>C44*H44</f>
        <v>3881.7</v>
      </c>
      <c r="J44" s="471">
        <v>40</v>
      </c>
      <c r="K44" s="471">
        <f>J44*C44</f>
        <v>3632</v>
      </c>
      <c r="L44" s="465">
        <f>K44+I44</f>
        <v>7513.7</v>
      </c>
      <c r="M44" s="77"/>
    </row>
    <row r="45" spans="1:13" ht="18" customHeight="1">
      <c r="A45" s="249"/>
      <c r="B45" s="185" t="s">
        <v>323</v>
      </c>
      <c r="C45" s="86">
        <f>27.2*4</f>
        <v>108.8</v>
      </c>
      <c r="D45" s="460"/>
      <c r="E45" s="461"/>
      <c r="F45" s="461"/>
      <c r="G45" s="462" t="s">
        <v>308</v>
      </c>
      <c r="H45" s="462">
        <f>608/4</f>
        <v>152</v>
      </c>
      <c r="I45" s="471">
        <f>C45*H45</f>
        <v>16537.599999999999</v>
      </c>
      <c r="J45" s="471">
        <v>100</v>
      </c>
      <c r="K45" s="471">
        <f>J45*C45</f>
        <v>10880</v>
      </c>
      <c r="L45" s="465">
        <f>K45+I45</f>
        <v>27417.599999999999</v>
      </c>
      <c r="M45" s="77"/>
    </row>
    <row r="46" spans="1:13" s="7" customFormat="1">
      <c r="A46" s="249"/>
      <c r="B46" s="185" t="s">
        <v>310</v>
      </c>
      <c r="C46" s="86">
        <v>1</v>
      </c>
      <c r="D46" s="460"/>
      <c r="E46" s="461"/>
      <c r="F46" s="461"/>
      <c r="G46" s="462" t="s">
        <v>34</v>
      </c>
      <c r="H46" s="462">
        <f>SUM(I44:I45)*0.1</f>
        <v>2041.93</v>
      </c>
      <c r="I46" s="471">
        <f>C46*H46</f>
        <v>2041.93</v>
      </c>
      <c r="J46" s="471">
        <f>H46*0.3</f>
        <v>612.57899999999995</v>
      </c>
      <c r="K46" s="471">
        <f>J46*C46</f>
        <v>612.57899999999995</v>
      </c>
      <c r="L46" s="465">
        <f>K46+I46</f>
        <v>2654.509</v>
      </c>
      <c r="M46" s="77"/>
    </row>
    <row r="47" spans="1:13" ht="20.100000000000001" customHeight="1">
      <c r="A47" s="249"/>
      <c r="B47" s="185" t="s">
        <v>324</v>
      </c>
      <c r="C47" s="86">
        <v>4</v>
      </c>
      <c r="D47" s="460"/>
      <c r="E47" s="461"/>
      <c r="F47" s="461"/>
      <c r="G47" s="462" t="s">
        <v>114</v>
      </c>
      <c r="H47" s="462">
        <v>4790</v>
      </c>
      <c r="I47" s="471">
        <f>C47*H47</f>
        <v>19160</v>
      </c>
      <c r="J47" s="471">
        <f>H47*0.3</f>
        <v>1437</v>
      </c>
      <c r="K47" s="471">
        <f>J47*C47</f>
        <v>5748</v>
      </c>
      <c r="L47" s="465">
        <f>K47+I47</f>
        <v>24908</v>
      </c>
      <c r="M47" s="77"/>
    </row>
    <row r="48" spans="1:13" ht="20.100000000000001" customHeight="1">
      <c r="A48" s="249"/>
      <c r="B48" s="185" t="s">
        <v>459</v>
      </c>
      <c r="C48" s="86">
        <v>8</v>
      </c>
      <c r="D48" s="460"/>
      <c r="E48" s="461"/>
      <c r="F48" s="461"/>
      <c r="G48" s="462" t="s">
        <v>114</v>
      </c>
      <c r="H48" s="462">
        <v>200</v>
      </c>
      <c r="I48" s="471">
        <f>C48*H48</f>
        <v>1600</v>
      </c>
      <c r="J48" s="471">
        <v>50</v>
      </c>
      <c r="K48" s="471">
        <f>J48*C48</f>
        <v>400</v>
      </c>
      <c r="L48" s="465">
        <f>K48+I48</f>
        <v>2000</v>
      </c>
      <c r="M48" s="77"/>
    </row>
    <row r="49" spans="1:13" ht="18" customHeight="1">
      <c r="A49" s="249"/>
      <c r="B49" s="185" t="s">
        <v>460</v>
      </c>
      <c r="C49" s="86"/>
      <c r="D49" s="460"/>
      <c r="E49" s="461"/>
      <c r="F49" s="461"/>
      <c r="G49" s="462"/>
      <c r="H49" s="462"/>
      <c r="I49" s="471"/>
      <c r="J49" s="471"/>
      <c r="K49" s="471"/>
      <c r="L49" s="465"/>
      <c r="M49" s="77"/>
    </row>
    <row r="50" spans="1:13" ht="18" customHeight="1">
      <c r="A50" s="249"/>
      <c r="B50" s="185" t="s">
        <v>452</v>
      </c>
      <c r="C50" s="86">
        <v>16</v>
      </c>
      <c r="D50" s="460"/>
      <c r="E50" s="461"/>
      <c r="F50" s="462"/>
      <c r="G50" s="462" t="s">
        <v>51</v>
      </c>
      <c r="H50" s="462">
        <f>150.82*6/2</f>
        <v>452.46</v>
      </c>
      <c r="I50" s="471">
        <f>C50*H50</f>
        <v>7239.36</v>
      </c>
      <c r="J50" s="462">
        <v>548</v>
      </c>
      <c r="K50" s="471">
        <f t="shared" ref="K50:K56" si="3">C50*J50</f>
        <v>8768</v>
      </c>
      <c r="L50" s="465">
        <f t="shared" ref="L50:L56" si="4">I50+K50</f>
        <v>16007.36</v>
      </c>
      <c r="M50" s="77"/>
    </row>
    <row r="51" spans="1:13" ht="18" customHeight="1">
      <c r="A51" s="249"/>
      <c r="B51" s="185" t="s">
        <v>453</v>
      </c>
      <c r="C51" s="86">
        <v>16</v>
      </c>
      <c r="D51" s="460"/>
      <c r="E51" s="461"/>
      <c r="F51" s="462"/>
      <c r="G51" s="462" t="s">
        <v>51</v>
      </c>
      <c r="H51" s="462"/>
      <c r="I51" s="471">
        <f>C51*H51</f>
        <v>0</v>
      </c>
      <c r="J51" s="462">
        <v>400</v>
      </c>
      <c r="K51" s="471">
        <f t="shared" si="3"/>
        <v>6400</v>
      </c>
      <c r="L51" s="465">
        <f t="shared" si="4"/>
        <v>6400</v>
      </c>
      <c r="M51" s="77"/>
    </row>
    <row r="52" spans="1:13" ht="18" customHeight="1">
      <c r="A52" s="249"/>
      <c r="B52" s="185" t="s">
        <v>461</v>
      </c>
      <c r="C52" s="86">
        <f>1.2*4</f>
        <v>4.8</v>
      </c>
      <c r="D52" s="460"/>
      <c r="E52" s="461"/>
      <c r="F52" s="462"/>
      <c r="G52" s="462" t="s">
        <v>455</v>
      </c>
      <c r="H52" s="462"/>
      <c r="I52" s="471"/>
      <c r="J52" s="462">
        <v>99</v>
      </c>
      <c r="K52" s="471">
        <f t="shared" si="3"/>
        <v>475.2</v>
      </c>
      <c r="L52" s="465">
        <f t="shared" si="4"/>
        <v>475.2</v>
      </c>
      <c r="M52" s="77"/>
    </row>
    <row r="53" spans="1:13" ht="18" customHeight="1">
      <c r="A53" s="249"/>
      <c r="B53" s="185" t="s">
        <v>454</v>
      </c>
      <c r="C53" s="86">
        <f>1*0.05*4</f>
        <v>0.2</v>
      </c>
      <c r="D53" s="460"/>
      <c r="E53" s="461"/>
      <c r="F53" s="462"/>
      <c r="G53" s="462" t="s">
        <v>455</v>
      </c>
      <c r="H53" s="462">
        <v>453.33</v>
      </c>
      <c r="I53" s="471">
        <f>C53*H53</f>
        <v>90.665999999999997</v>
      </c>
      <c r="J53" s="462">
        <v>91</v>
      </c>
      <c r="K53" s="471">
        <f t="shared" si="3"/>
        <v>18.2</v>
      </c>
      <c r="L53" s="465">
        <f t="shared" si="4"/>
        <v>108.866</v>
      </c>
      <c r="M53" s="77"/>
    </row>
    <row r="54" spans="1:13" ht="18" customHeight="1">
      <c r="A54" s="249"/>
      <c r="B54" s="185" t="s">
        <v>456</v>
      </c>
      <c r="C54" s="86">
        <f>0.05*4</f>
        <v>0.2</v>
      </c>
      <c r="D54" s="460"/>
      <c r="E54" s="461"/>
      <c r="F54" s="462"/>
      <c r="G54" s="462" t="s">
        <v>455</v>
      </c>
      <c r="H54" s="462">
        <v>2034</v>
      </c>
      <c r="I54" s="471">
        <f>C54*H54</f>
        <v>406.8</v>
      </c>
      <c r="J54" s="462">
        <v>398</v>
      </c>
      <c r="K54" s="471">
        <f t="shared" si="3"/>
        <v>79.600000000000009</v>
      </c>
      <c r="L54" s="465">
        <f t="shared" si="4"/>
        <v>486.40000000000003</v>
      </c>
      <c r="M54" s="77"/>
    </row>
    <row r="55" spans="1:13" ht="18" customHeight="1">
      <c r="A55" s="249"/>
      <c r="B55" s="185" t="s">
        <v>457</v>
      </c>
      <c r="C55" s="86">
        <f>1*1*0.05*4</f>
        <v>0.2</v>
      </c>
      <c r="D55" s="460"/>
      <c r="E55" s="461"/>
      <c r="F55" s="462"/>
      <c r="G55" s="462" t="s">
        <v>455</v>
      </c>
      <c r="H55" s="462">
        <v>2367</v>
      </c>
      <c r="I55" s="471">
        <f>C55*H55</f>
        <v>473.40000000000003</v>
      </c>
      <c r="J55" s="462">
        <v>436</v>
      </c>
      <c r="K55" s="471">
        <f t="shared" si="3"/>
        <v>87.2</v>
      </c>
      <c r="L55" s="465">
        <f t="shared" si="4"/>
        <v>560.6</v>
      </c>
      <c r="M55" s="77"/>
    </row>
    <row r="56" spans="1:13" ht="18" customHeight="1" thickBot="1">
      <c r="A56" s="249"/>
      <c r="B56" s="185" t="s">
        <v>458</v>
      </c>
      <c r="C56" s="86">
        <f>4*0.1*0.5*4</f>
        <v>0.8</v>
      </c>
      <c r="D56" s="460"/>
      <c r="E56" s="461"/>
      <c r="F56" s="462"/>
      <c r="G56" s="462" t="s">
        <v>35</v>
      </c>
      <c r="H56" s="462">
        <v>400</v>
      </c>
      <c r="I56" s="471">
        <f>C56*H56</f>
        <v>320</v>
      </c>
      <c r="J56" s="462">
        <v>133</v>
      </c>
      <c r="K56" s="471">
        <f t="shared" si="3"/>
        <v>106.4</v>
      </c>
      <c r="L56" s="465">
        <f t="shared" si="4"/>
        <v>426.4</v>
      </c>
      <c r="M56" s="77"/>
    </row>
    <row r="57" spans="1:13" ht="18" customHeight="1" thickTop="1" thickBot="1">
      <c r="A57" s="250"/>
      <c r="B57" s="37" t="s">
        <v>325</v>
      </c>
      <c r="C57" s="40"/>
      <c r="D57" s="472"/>
      <c r="E57" s="473"/>
      <c r="F57" s="473"/>
      <c r="G57" s="473"/>
      <c r="H57" s="474"/>
      <c r="I57" s="475">
        <f>SUM(I43:I56)</f>
        <v>51751.455999999998</v>
      </c>
      <c r="J57" s="474"/>
      <c r="K57" s="475">
        <f>SUM(K43:K56)</f>
        <v>37207.178999999989</v>
      </c>
      <c r="L57" s="475">
        <f>SUM(L43:L56)</f>
        <v>88958.63499999998</v>
      </c>
      <c r="M57" s="30" t="s">
        <v>33</v>
      </c>
    </row>
    <row r="58" spans="1:13" s="7" customFormat="1" ht="14.4" thickTop="1">
      <c r="A58" s="88" t="s">
        <v>326</v>
      </c>
      <c r="B58" s="89" t="s">
        <v>327</v>
      </c>
      <c r="C58" s="483"/>
      <c r="D58" s="484"/>
      <c r="E58" s="485"/>
      <c r="F58" s="486"/>
      <c r="G58" s="487"/>
      <c r="H58" s="488"/>
      <c r="I58" s="488"/>
      <c r="J58" s="488"/>
      <c r="K58" s="488"/>
      <c r="L58" s="489"/>
      <c r="M58" s="70"/>
    </row>
    <row r="59" spans="1:13" ht="20.100000000000001" customHeight="1">
      <c r="A59" s="249"/>
      <c r="B59" s="185" t="s">
        <v>328</v>
      </c>
      <c r="C59" s="86"/>
      <c r="D59" s="460"/>
      <c r="E59" s="461"/>
      <c r="F59" s="461"/>
      <c r="G59" s="462"/>
      <c r="H59" s="462"/>
      <c r="I59" s="471"/>
      <c r="J59" s="471"/>
      <c r="K59" s="471"/>
      <c r="L59" s="465"/>
      <c r="M59" s="77"/>
    </row>
    <row r="60" spans="1:13" ht="20.100000000000001" customHeight="1">
      <c r="A60" s="249"/>
      <c r="B60" s="185" t="s">
        <v>462</v>
      </c>
      <c r="C60" s="86">
        <f>(9.7+10)*4</f>
        <v>78.8</v>
      </c>
      <c r="D60" s="460"/>
      <c r="E60" s="461"/>
      <c r="F60" s="461"/>
      <c r="G60" s="490" t="s">
        <v>308</v>
      </c>
      <c r="H60" s="462">
        <v>42.75</v>
      </c>
      <c r="I60" s="471">
        <f>C60*H60</f>
        <v>3368.7</v>
      </c>
      <c r="J60" s="471">
        <v>30</v>
      </c>
      <c r="K60" s="471">
        <f>J60*C60</f>
        <v>2364</v>
      </c>
      <c r="L60" s="465">
        <f>K60+I60</f>
        <v>5732.7</v>
      </c>
      <c r="M60" s="77"/>
    </row>
    <row r="61" spans="1:13" ht="18" customHeight="1">
      <c r="A61" s="249"/>
      <c r="B61" s="185" t="s">
        <v>310</v>
      </c>
      <c r="C61" s="86">
        <v>1</v>
      </c>
      <c r="D61" s="460"/>
      <c r="E61" s="461"/>
      <c r="F61" s="462"/>
      <c r="G61" s="462" t="s">
        <v>34</v>
      </c>
      <c r="H61" s="462">
        <f>SUM(I60)*0.1</f>
        <v>336.87</v>
      </c>
      <c r="I61" s="471">
        <f>C61*H61</f>
        <v>336.87</v>
      </c>
      <c r="J61" s="462">
        <f>H61*0.3</f>
        <v>101.06099999999999</v>
      </c>
      <c r="K61" s="471">
        <f>C61*J61</f>
        <v>101.06099999999999</v>
      </c>
      <c r="L61" s="465">
        <f>I61+K61</f>
        <v>437.93099999999998</v>
      </c>
      <c r="M61" s="77"/>
    </row>
    <row r="62" spans="1:13" ht="18" customHeight="1">
      <c r="A62" s="249"/>
      <c r="B62" s="185"/>
      <c r="C62" s="86"/>
      <c r="D62" s="460"/>
      <c r="E62" s="461"/>
      <c r="F62" s="461"/>
      <c r="G62" s="462"/>
      <c r="H62" s="462"/>
      <c r="I62" s="471"/>
      <c r="J62" s="471"/>
      <c r="K62" s="471"/>
      <c r="L62" s="465"/>
      <c r="M62" s="77"/>
    </row>
    <row r="63" spans="1:13" ht="18" customHeight="1">
      <c r="A63" s="249"/>
      <c r="B63" s="185"/>
      <c r="C63" s="86"/>
      <c r="D63" s="460"/>
      <c r="E63" s="461"/>
      <c r="F63" s="462"/>
      <c r="G63" s="490"/>
      <c r="H63" s="462"/>
      <c r="I63" s="471"/>
      <c r="J63" s="471"/>
      <c r="K63" s="471"/>
      <c r="L63" s="465"/>
      <c r="M63" s="77"/>
    </row>
    <row r="64" spans="1:13" ht="18" customHeight="1">
      <c r="A64" s="249"/>
      <c r="B64" s="185"/>
      <c r="C64" s="86"/>
      <c r="D64" s="460"/>
      <c r="E64" s="461"/>
      <c r="F64" s="462"/>
      <c r="G64" s="462"/>
      <c r="H64" s="462"/>
      <c r="I64" s="471"/>
      <c r="J64" s="471"/>
      <c r="K64" s="471"/>
      <c r="L64" s="465"/>
      <c r="M64" s="77"/>
    </row>
    <row r="65" spans="1:13" ht="18" customHeight="1">
      <c r="A65" s="249"/>
      <c r="B65" s="185"/>
      <c r="C65" s="86"/>
      <c r="D65" s="460"/>
      <c r="E65" s="461"/>
      <c r="F65" s="462"/>
      <c r="G65" s="462"/>
      <c r="H65" s="462"/>
      <c r="I65" s="471"/>
      <c r="J65" s="471"/>
      <c r="K65" s="471"/>
      <c r="L65" s="465"/>
      <c r="M65" s="77"/>
    </row>
    <row r="66" spans="1:13" ht="18" customHeight="1">
      <c r="A66" s="249"/>
      <c r="B66" s="185"/>
      <c r="C66" s="86"/>
      <c r="D66" s="460"/>
      <c r="E66" s="461"/>
      <c r="F66" s="462"/>
      <c r="G66" s="462"/>
      <c r="H66" s="462"/>
      <c r="I66" s="471"/>
      <c r="J66" s="471"/>
      <c r="K66" s="471"/>
      <c r="L66" s="465"/>
      <c r="M66" s="77"/>
    </row>
    <row r="67" spans="1:13" s="7" customFormat="1">
      <c r="A67" s="249"/>
      <c r="B67" s="185"/>
      <c r="C67" s="86"/>
      <c r="D67" s="460"/>
      <c r="E67" s="461"/>
      <c r="F67" s="462"/>
      <c r="G67" s="462"/>
      <c r="H67" s="462"/>
      <c r="I67" s="471"/>
      <c r="J67" s="471"/>
      <c r="K67" s="471"/>
      <c r="L67" s="465"/>
      <c r="M67" s="77"/>
    </row>
    <row r="68" spans="1:13" ht="20.100000000000001" customHeight="1" thickBot="1">
      <c r="A68" s="249"/>
      <c r="B68" s="185"/>
      <c r="C68" s="86"/>
      <c r="D68" s="460"/>
      <c r="E68" s="461"/>
      <c r="F68" s="462"/>
      <c r="G68" s="462"/>
      <c r="H68" s="462"/>
      <c r="I68" s="471"/>
      <c r="J68" s="471"/>
      <c r="K68" s="471"/>
      <c r="L68" s="465"/>
      <c r="M68" s="77"/>
    </row>
    <row r="69" spans="1:13" ht="20.100000000000001" customHeight="1" thickTop="1" thickBot="1">
      <c r="A69" s="250"/>
      <c r="B69" s="37" t="s">
        <v>329</v>
      </c>
      <c r="C69" s="40"/>
      <c r="D69" s="472"/>
      <c r="E69" s="473"/>
      <c r="F69" s="473"/>
      <c r="G69" s="473"/>
      <c r="H69" s="474"/>
      <c r="I69" s="475">
        <f>SUM(I59:I68)</f>
        <v>3705.5699999999997</v>
      </c>
      <c r="J69" s="474"/>
      <c r="K69" s="475">
        <f>SUM(K59:K68)</f>
        <v>2465.0610000000001</v>
      </c>
      <c r="L69" s="475">
        <f>SUM(L59:L68)</f>
        <v>6170.6309999999994</v>
      </c>
      <c r="M69" s="30" t="s">
        <v>33</v>
      </c>
    </row>
    <row r="70" spans="1:13" ht="18" customHeight="1" thickTop="1">
      <c r="A70" s="88" t="s">
        <v>330</v>
      </c>
      <c r="B70" s="89" t="s">
        <v>331</v>
      </c>
      <c r="C70" s="483"/>
      <c r="D70" s="484"/>
      <c r="E70" s="485"/>
      <c r="F70" s="486"/>
      <c r="G70" s="487"/>
      <c r="H70" s="488"/>
      <c r="I70" s="488"/>
      <c r="J70" s="488"/>
      <c r="K70" s="488"/>
      <c r="L70" s="489"/>
      <c r="M70" s="70"/>
    </row>
    <row r="71" spans="1:13" ht="18" customHeight="1">
      <c r="A71" s="249"/>
      <c r="B71" s="185" t="s">
        <v>321</v>
      </c>
      <c r="C71" s="86"/>
      <c r="D71" s="460">
        <v>0</v>
      </c>
      <c r="E71" s="461"/>
      <c r="F71" s="461">
        <v>3</v>
      </c>
      <c r="G71" s="462"/>
      <c r="H71" s="462"/>
      <c r="I71" s="471"/>
      <c r="J71" s="471"/>
      <c r="K71" s="471"/>
      <c r="L71" s="465"/>
      <c r="M71" s="77"/>
    </row>
    <row r="72" spans="1:13" ht="18" customHeight="1">
      <c r="A72" s="249"/>
      <c r="B72" s="482" t="s">
        <v>322</v>
      </c>
      <c r="C72" s="86">
        <f>16*4</f>
        <v>64</v>
      </c>
      <c r="D72" s="460"/>
      <c r="E72" s="461"/>
      <c r="F72" s="461"/>
      <c r="G72" s="490" t="s">
        <v>308</v>
      </c>
      <c r="H72" s="462">
        <v>42.75</v>
      </c>
      <c r="I72" s="471">
        <f>C72*H72</f>
        <v>2736</v>
      </c>
      <c r="J72" s="471">
        <v>80</v>
      </c>
      <c r="K72" s="471">
        <f>J72*C72</f>
        <v>5120</v>
      </c>
      <c r="L72" s="465">
        <f>K72+I72</f>
        <v>7856</v>
      </c>
      <c r="M72" s="77"/>
    </row>
    <row r="73" spans="1:13" ht="18" customHeight="1">
      <c r="A73" s="249"/>
      <c r="B73" s="185" t="s">
        <v>463</v>
      </c>
      <c r="C73" s="86">
        <v>8</v>
      </c>
      <c r="D73" s="460">
        <v>0</v>
      </c>
      <c r="E73" s="461">
        <v>12</v>
      </c>
      <c r="F73" s="462"/>
      <c r="G73" s="490" t="s">
        <v>114</v>
      </c>
      <c r="H73" s="462">
        <v>1475</v>
      </c>
      <c r="I73" s="471">
        <f>C73*H73</f>
        <v>11800</v>
      </c>
      <c r="J73" s="471">
        <f>H73*0.3</f>
        <v>442.5</v>
      </c>
      <c r="K73" s="471">
        <f>J73*C73</f>
        <v>3540</v>
      </c>
      <c r="L73" s="465">
        <f>K73+I73</f>
        <v>15340</v>
      </c>
      <c r="M73" s="77"/>
    </row>
    <row r="74" spans="1:13" ht="18" customHeight="1">
      <c r="A74" s="249"/>
      <c r="B74" s="185"/>
      <c r="C74" s="86"/>
      <c r="D74" s="460">
        <v>0</v>
      </c>
      <c r="E74" s="461">
        <v>12</v>
      </c>
      <c r="F74" s="462"/>
      <c r="G74" s="462"/>
      <c r="H74" s="462"/>
      <c r="I74" s="471"/>
      <c r="J74" s="471"/>
      <c r="K74" s="471"/>
      <c r="L74" s="465"/>
      <c r="M74" s="77"/>
    </row>
    <row r="75" spans="1:13" ht="18" customHeight="1" thickBot="1">
      <c r="A75" s="249"/>
      <c r="B75" s="185"/>
      <c r="C75" s="86"/>
      <c r="D75" s="460">
        <v>0</v>
      </c>
      <c r="E75" s="461">
        <v>12</v>
      </c>
      <c r="F75" s="462"/>
      <c r="G75" s="462"/>
      <c r="H75" s="462"/>
      <c r="I75" s="471"/>
      <c r="J75" s="471"/>
      <c r="K75" s="471"/>
      <c r="L75" s="465"/>
      <c r="M75" s="77"/>
    </row>
    <row r="76" spans="1:13" s="7" customFormat="1" ht="15" thickTop="1" thickBot="1">
      <c r="A76" s="250"/>
      <c r="B76" s="37" t="s">
        <v>332</v>
      </c>
      <c r="C76" s="40"/>
      <c r="D76" s="472"/>
      <c r="E76" s="473"/>
      <c r="F76" s="473"/>
      <c r="G76" s="473"/>
      <c r="H76" s="474"/>
      <c r="I76" s="475">
        <f>SUM(I71:I75)</f>
        <v>14536</v>
      </c>
      <c r="J76" s="474"/>
      <c r="K76" s="475">
        <f>SUM(K71:K75)</f>
        <v>8660</v>
      </c>
      <c r="L76" s="475">
        <f>SUM(L71:L75)</f>
        <v>23196</v>
      </c>
      <c r="M76" s="30" t="s">
        <v>33</v>
      </c>
    </row>
    <row r="77" spans="1:13" s="301" customFormat="1" ht="14.4" thickTop="1">
      <c r="A77" s="88" t="s">
        <v>333</v>
      </c>
      <c r="B77" s="89" t="s">
        <v>334</v>
      </c>
      <c r="C77" s="483"/>
      <c r="D77" s="484"/>
      <c r="E77" s="485"/>
      <c r="F77" s="486"/>
      <c r="G77" s="487"/>
      <c r="H77" s="488"/>
      <c r="I77" s="488"/>
      <c r="J77" s="488"/>
      <c r="K77" s="488"/>
      <c r="L77" s="489"/>
      <c r="M77" s="70"/>
    </row>
    <row r="78" spans="1:13">
      <c r="A78" s="249"/>
      <c r="B78" s="185" t="s">
        <v>335</v>
      </c>
      <c r="C78" s="86">
        <f>22.36*4</f>
        <v>89.44</v>
      </c>
      <c r="D78" s="460">
        <v>0</v>
      </c>
      <c r="E78" s="461"/>
      <c r="F78" s="461">
        <v>3</v>
      </c>
      <c r="G78" s="462" t="s">
        <v>308</v>
      </c>
      <c r="H78" s="462">
        <v>120</v>
      </c>
      <c r="I78" s="471">
        <f t="shared" ref="I78:I84" si="5">H78*C78</f>
        <v>10732.8</v>
      </c>
      <c r="J78" s="471">
        <v>48</v>
      </c>
      <c r="K78" s="471">
        <f t="shared" ref="K78:K84" si="6">J78*C78</f>
        <v>4293.12</v>
      </c>
      <c r="L78" s="465">
        <f t="shared" ref="L78:L84" si="7">K78+I78</f>
        <v>15025.919999999998</v>
      </c>
      <c r="M78" s="77"/>
    </row>
    <row r="79" spans="1:13">
      <c r="A79" s="249"/>
      <c r="B79" s="185" t="s">
        <v>336</v>
      </c>
      <c r="C79" s="86">
        <v>8</v>
      </c>
      <c r="D79" s="460"/>
      <c r="E79" s="461"/>
      <c r="F79" s="461"/>
      <c r="G79" s="462" t="s">
        <v>114</v>
      </c>
      <c r="H79" s="462">
        <f>200/3*4+500</f>
        <v>766.66666666666674</v>
      </c>
      <c r="I79" s="471">
        <f t="shared" si="5"/>
        <v>6133.3333333333339</v>
      </c>
      <c r="J79" s="471">
        <v>100</v>
      </c>
      <c r="K79" s="471">
        <f t="shared" si="6"/>
        <v>800</v>
      </c>
      <c r="L79" s="465">
        <f t="shared" si="7"/>
        <v>6933.3333333333339</v>
      </c>
      <c r="M79" s="77"/>
    </row>
    <row r="80" spans="1:13">
      <c r="A80" s="249"/>
      <c r="B80" s="185" t="s">
        <v>337</v>
      </c>
      <c r="C80" s="86"/>
      <c r="D80" s="460"/>
      <c r="E80" s="461"/>
      <c r="F80" s="461"/>
      <c r="G80" s="462" t="s">
        <v>114</v>
      </c>
      <c r="H80" s="462">
        <f>300+500</f>
        <v>800</v>
      </c>
      <c r="I80" s="471">
        <f t="shared" si="5"/>
        <v>0</v>
      </c>
      <c r="J80" s="471">
        <v>150</v>
      </c>
      <c r="K80" s="471">
        <f t="shared" si="6"/>
        <v>0</v>
      </c>
      <c r="L80" s="465">
        <f t="shared" si="7"/>
        <v>0</v>
      </c>
      <c r="M80" s="77"/>
    </row>
    <row r="81" spans="1:13">
      <c r="A81" s="249"/>
      <c r="B81" s="185" t="s">
        <v>464</v>
      </c>
      <c r="C81" s="86"/>
      <c r="D81" s="460"/>
      <c r="E81" s="461"/>
      <c r="F81" s="461"/>
      <c r="G81" s="462" t="s">
        <v>114</v>
      </c>
      <c r="H81" s="462">
        <v>2900</v>
      </c>
      <c r="I81" s="471">
        <f t="shared" si="5"/>
        <v>0</v>
      </c>
      <c r="J81" s="471">
        <v>200</v>
      </c>
      <c r="K81" s="471">
        <f t="shared" si="6"/>
        <v>0</v>
      </c>
      <c r="L81" s="465">
        <f t="shared" si="7"/>
        <v>0</v>
      </c>
      <c r="M81" s="77"/>
    </row>
    <row r="82" spans="1:13">
      <c r="A82" s="249"/>
      <c r="B82" s="185" t="s">
        <v>338</v>
      </c>
      <c r="C82" s="86">
        <v>1</v>
      </c>
      <c r="D82" s="460">
        <v>0</v>
      </c>
      <c r="E82" s="461">
        <v>12</v>
      </c>
      <c r="F82" s="462"/>
      <c r="G82" s="462" t="s">
        <v>114</v>
      </c>
      <c r="H82" s="462">
        <v>3700</v>
      </c>
      <c r="I82" s="471">
        <f t="shared" si="5"/>
        <v>3700</v>
      </c>
      <c r="J82" s="471">
        <v>200</v>
      </c>
      <c r="K82" s="471">
        <f t="shared" si="6"/>
        <v>200</v>
      </c>
      <c r="L82" s="465">
        <f t="shared" si="7"/>
        <v>3900</v>
      </c>
      <c r="M82" s="77"/>
    </row>
    <row r="83" spans="1:13">
      <c r="A83" s="249"/>
      <c r="B83" s="185" t="s">
        <v>461</v>
      </c>
      <c r="C83" s="491"/>
      <c r="D83" s="460"/>
      <c r="E83" s="461"/>
      <c r="F83" s="462"/>
      <c r="G83" s="462" t="s">
        <v>455</v>
      </c>
      <c r="H83" s="462">
        <v>0</v>
      </c>
      <c r="I83" s="471">
        <f t="shared" si="5"/>
        <v>0</v>
      </c>
      <c r="J83" s="471">
        <v>99</v>
      </c>
      <c r="K83" s="471">
        <f t="shared" si="6"/>
        <v>0</v>
      </c>
      <c r="L83" s="465">
        <f t="shared" si="7"/>
        <v>0</v>
      </c>
      <c r="M83" s="77"/>
    </row>
    <row r="84" spans="1:13">
      <c r="A84" s="249"/>
      <c r="B84" s="185" t="s">
        <v>465</v>
      </c>
      <c r="C84" s="86">
        <v>1</v>
      </c>
      <c r="D84" s="460"/>
      <c r="E84" s="461"/>
      <c r="F84" s="462"/>
      <c r="G84" s="462" t="s">
        <v>114</v>
      </c>
      <c r="H84" s="462">
        <f>200/3*4+500</f>
        <v>766.66666666666674</v>
      </c>
      <c r="I84" s="471">
        <f t="shared" si="5"/>
        <v>766.66666666666674</v>
      </c>
      <c r="J84" s="471">
        <v>100</v>
      </c>
      <c r="K84" s="471">
        <f t="shared" si="6"/>
        <v>100</v>
      </c>
      <c r="L84" s="465">
        <f t="shared" si="7"/>
        <v>866.66666666666674</v>
      </c>
      <c r="M84" s="77"/>
    </row>
    <row r="85" spans="1:13">
      <c r="A85" s="249"/>
      <c r="B85" s="185"/>
      <c r="C85" s="86"/>
      <c r="D85" s="460"/>
      <c r="E85" s="461"/>
      <c r="F85" s="462"/>
      <c r="G85" s="462"/>
      <c r="H85" s="462"/>
      <c r="I85" s="471"/>
      <c r="J85" s="471"/>
      <c r="K85" s="471"/>
      <c r="L85" s="465"/>
      <c r="M85" s="77"/>
    </row>
    <row r="86" spans="1:13">
      <c r="A86" s="249"/>
      <c r="B86" s="185"/>
      <c r="C86" s="86"/>
      <c r="D86" s="460"/>
      <c r="E86" s="461"/>
      <c r="F86" s="462"/>
      <c r="G86" s="462"/>
      <c r="H86" s="462"/>
      <c r="I86" s="471"/>
      <c r="J86" s="471"/>
      <c r="K86" s="471"/>
      <c r="L86" s="465"/>
      <c r="M86" s="77"/>
    </row>
    <row r="87" spans="1:13">
      <c r="A87" s="249"/>
      <c r="B87" s="185"/>
      <c r="C87" s="86"/>
      <c r="D87" s="460"/>
      <c r="E87" s="461"/>
      <c r="F87" s="462"/>
      <c r="G87" s="462"/>
      <c r="H87" s="462"/>
      <c r="I87" s="471"/>
      <c r="J87" s="471"/>
      <c r="K87" s="471"/>
      <c r="L87" s="465"/>
      <c r="M87" s="77"/>
    </row>
    <row r="88" spans="1:13">
      <c r="A88" s="249"/>
      <c r="B88" s="185"/>
      <c r="C88" s="86"/>
      <c r="D88" s="460"/>
      <c r="E88" s="461"/>
      <c r="F88" s="462"/>
      <c r="G88" s="462"/>
      <c r="H88" s="462"/>
      <c r="I88" s="471"/>
      <c r="J88" s="471"/>
      <c r="K88" s="471"/>
      <c r="L88" s="465"/>
      <c r="M88" s="77"/>
    </row>
    <row r="89" spans="1:13">
      <c r="A89" s="249"/>
      <c r="B89" s="185"/>
      <c r="C89" s="86"/>
      <c r="D89" s="460"/>
      <c r="E89" s="461"/>
      <c r="F89" s="462"/>
      <c r="G89" s="462"/>
      <c r="H89" s="462"/>
      <c r="I89" s="471"/>
      <c r="J89" s="471"/>
      <c r="K89" s="471"/>
      <c r="L89" s="465"/>
      <c r="M89" s="77"/>
    </row>
    <row r="90" spans="1:13">
      <c r="A90" s="249"/>
      <c r="B90" s="185"/>
      <c r="C90" s="86"/>
      <c r="D90" s="460">
        <v>0</v>
      </c>
      <c r="E90" s="461">
        <v>12</v>
      </c>
      <c r="F90" s="462"/>
      <c r="G90" s="462"/>
      <c r="H90" s="462"/>
      <c r="I90" s="471"/>
      <c r="J90" s="471"/>
      <c r="K90" s="471"/>
      <c r="L90" s="465"/>
      <c r="M90" s="77"/>
    </row>
    <row r="91" spans="1:13" ht="14.4" thickBot="1">
      <c r="A91" s="249"/>
      <c r="B91" s="185"/>
      <c r="C91" s="86"/>
      <c r="D91" s="460">
        <v>0</v>
      </c>
      <c r="E91" s="461">
        <v>12</v>
      </c>
      <c r="F91" s="462"/>
      <c r="G91" s="462"/>
      <c r="H91" s="462"/>
      <c r="I91" s="471"/>
      <c r="J91" s="471"/>
      <c r="K91" s="471"/>
      <c r="L91" s="465"/>
      <c r="M91" s="77"/>
    </row>
    <row r="92" spans="1:13" ht="15" thickTop="1" thickBot="1">
      <c r="A92" s="250"/>
      <c r="B92" s="37" t="s">
        <v>339</v>
      </c>
      <c r="C92" s="40"/>
      <c r="D92" s="472"/>
      <c r="E92" s="473"/>
      <c r="F92" s="473"/>
      <c r="G92" s="473"/>
      <c r="H92" s="474"/>
      <c r="I92" s="475">
        <f>SUM(I78:I91)</f>
        <v>21332.799999999999</v>
      </c>
      <c r="J92" s="474"/>
      <c r="K92" s="475">
        <f>SUM(K78:K91)</f>
        <v>5393.12</v>
      </c>
      <c r="L92" s="475">
        <f>SUM(L78:L91)</f>
        <v>26725.920000000002</v>
      </c>
      <c r="M92" s="30" t="s">
        <v>33</v>
      </c>
    </row>
    <row r="93" spans="1:13" ht="15" thickTop="1" thickBot="1">
      <c r="A93" s="294"/>
      <c r="B93" s="295" t="s">
        <v>149</v>
      </c>
      <c r="C93" s="295"/>
      <c r="D93" s="492"/>
      <c r="E93" s="493"/>
      <c r="F93" s="493"/>
      <c r="G93" s="493"/>
      <c r="H93" s="494"/>
      <c r="I93" s="495">
        <f>I92+I76+I69+I57+I41</f>
        <v>187201.519</v>
      </c>
      <c r="J93" s="494"/>
      <c r="K93" s="495">
        <f>K92+K76+K69+K57+K41</f>
        <v>101779.70909999998</v>
      </c>
      <c r="L93" s="495">
        <f>L92+L76+L69+L57+L41</f>
        <v>288981.22810000001</v>
      </c>
      <c r="M93" s="300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2016-12-18T09:48:18Z</cp:lastPrinted>
  <dcterms:created xsi:type="dcterms:W3CDTF">2009-11-05T09:30:11Z</dcterms:created>
  <dcterms:modified xsi:type="dcterms:W3CDTF">2017-03-09T16:43:06Z</dcterms:modified>
</cp:coreProperties>
</file>