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SIMPLE COLUMN" sheetId="1" r:id="rId1"/>
  </sheets>
  <definedNames>
    <definedName name="_xlnm.Print_Area" localSheetId="0">'SIMPLE COLUMN'!$A$1:$I$93</definedName>
    <definedName name="_xlnm.Print_Titles" localSheetId="0">'SIMPLE COLUMN'!$1:$4</definedName>
    <definedName name="Z_B381FCE2_D8C1_4124_915B_856606DE7547_.wvu.PrintArea" localSheetId="0" hidden="1">'SIMPLE COLUMN'!$A$1:$I$87</definedName>
    <definedName name="Z_B381FCE2_D8C1_4124_915B_856606DE7547_.wvu.PrintTitles" localSheetId="0" hidden="1">'SIMPLE COLUMN'!$1:$4</definedName>
  </definedNames>
  <calcPr fullCalcOnLoad="1"/>
</workbook>
</file>

<file path=xl/sharedStrings.xml><?xml version="1.0" encoding="utf-8"?>
<sst xmlns="http://schemas.openxmlformats.org/spreadsheetml/2006/main" count="216" uniqueCount="128">
  <si>
    <t>m</t>
  </si>
  <si>
    <t>=</t>
  </si>
  <si>
    <t>t</t>
  </si>
  <si>
    <t>mm</t>
  </si>
  <si>
    <t>1)- APPLIED FORCES :-</t>
  </si>
  <si>
    <t>mt</t>
  </si>
  <si>
    <t>cm</t>
  </si>
  <si>
    <t>Y</t>
  </si>
  <si>
    <t>A</t>
  </si>
  <si>
    <t>&lt; 180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</si>
  <si>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</si>
  <si>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</si>
  <si>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</si>
  <si>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</si>
  <si>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</si>
  <si>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</si>
  <si>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</si>
  <si>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</si>
  <si>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t>Rt</t>
  </si>
  <si>
    <t>F1</t>
  </si>
  <si>
    <t>Lu/Rt</t>
  </si>
  <si>
    <t>F2</t>
  </si>
  <si>
    <t>F3</t>
  </si>
  <si>
    <t>Fltb</t>
  </si>
  <si>
    <t xml:space="preserve">Use Knee Bracing </t>
  </si>
  <si>
    <t>no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</si>
  <si>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</si>
  <si>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</si>
  <si>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</si>
  <si>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</si>
  <si>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</si>
  <si>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</si>
  <si>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</si>
  <si>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</si>
  <si>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</si>
  <si>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</si>
  <si>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</si>
  <si>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</si>
  <si>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</si>
  <si>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</si>
  <si>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</si>
  <si>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</si>
  <si>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</si>
  <si>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</si>
  <si>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</si>
  <si>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</si>
  <si>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</si>
  <si>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COLUMN ID :-</t>
  </si>
  <si>
    <t>DESIGN CASE :-</t>
  </si>
  <si>
    <t>(D.L+L.L)</t>
  </si>
  <si>
    <t>2)-DIM. OF SECTION :-</t>
  </si>
  <si>
    <t>3)-COLUMN DATA :-</t>
  </si>
  <si>
    <t>Total length of column                     =</t>
  </si>
  <si>
    <t>Lu act.of comp. Flange                   =</t>
  </si>
  <si>
    <t>Length subject to buckling in plan    =</t>
  </si>
  <si>
    <t>Length subject to buckling out plan  =</t>
  </si>
  <si>
    <t>4)- PROPERTIES OF SECTION :-</t>
  </si>
  <si>
    <t>5)- CHECK COMPACTNESS :-</t>
  </si>
  <si>
    <t>6)- CHECK STRESSES :-</t>
  </si>
  <si>
    <t>APPLYING THE INTERACTION EQUATION :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</si>
  <si>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</si>
  <si>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</si>
  <si>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</si>
  <si>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</si>
  <si>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</si>
  <si>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</si>
  <si>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C</t>
    </r>
    <r>
      <rPr>
        <vertAlign val="subscript"/>
        <sz val="11"/>
        <rFont val="Times New Roman"/>
        <family val="1"/>
      </rPr>
      <t>b</t>
    </r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</si>
  <si>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</si>
  <si>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</si>
  <si>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</si>
  <si>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</si>
  <si>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</si>
  <si>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</si>
  <si>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t>IPE</t>
  </si>
  <si>
    <t>AREA</t>
  </si>
  <si>
    <t>h</t>
  </si>
  <si>
    <t>s</t>
  </si>
  <si>
    <t>r1</t>
  </si>
  <si>
    <t>h-2c</t>
  </si>
  <si>
    <t>Ix</t>
  </si>
  <si>
    <t>Sx</t>
  </si>
  <si>
    <t>rx</t>
  </si>
  <si>
    <t>Iy</t>
  </si>
  <si>
    <t>ry</t>
  </si>
  <si>
    <t>IPE 140</t>
  </si>
  <si>
    <t>IPE 160</t>
  </si>
  <si>
    <t>IPE 180</t>
  </si>
  <si>
    <t>IPE 200</t>
  </si>
  <si>
    <t xml:space="preserve">N </t>
  </si>
  <si>
    <t>IPE 220</t>
  </si>
  <si>
    <t>IPE 240</t>
  </si>
  <si>
    <t>IPE 270</t>
  </si>
  <si>
    <t>IPE 300</t>
  </si>
  <si>
    <t>IPE 330</t>
  </si>
  <si>
    <t>The section is</t>
  </si>
  <si>
    <t>IPE 360</t>
  </si>
  <si>
    <t>IPE 400</t>
  </si>
  <si>
    <t>IPE 450</t>
  </si>
  <si>
    <t>IPE 500</t>
  </si>
  <si>
    <t>IPE 550</t>
  </si>
  <si>
    <t>IPE 600</t>
  </si>
  <si>
    <t xml:space="preserve">(Lateral torsional buckling of comp.flange </t>
  </si>
  <si>
    <r>
      <t>Mx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</si>
  <si>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</si>
  <si>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</si>
  <si>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</si>
  <si>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=</t>
    </r>
  </si>
  <si>
    <t>( SC-2 )</t>
  </si>
  <si>
    <t>CHECKING AND PACKING HALL</t>
  </si>
  <si>
    <t>(D.L+L.L+W)</t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</si>
  <si>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</si>
  <si>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</si>
  <si>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</si>
  <si>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</si>
  <si>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</si>
  <si>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</si>
  <si>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t>a</t>
  </si>
  <si>
    <t>ψ</t>
  </si>
  <si>
    <t>Fltb1</t>
  </si>
  <si>
    <t>Iflange</t>
  </si>
  <si>
    <t>Aflange</t>
  </si>
  <si>
    <t>Fltb2</t>
  </si>
  <si>
    <t>Fsec</t>
  </si>
  <si>
    <t>Girts spacing                                 =</t>
  </si>
  <si>
    <t>yes</t>
  </si>
  <si>
    <t>E.C.O.P (P.53)</t>
  </si>
  <si>
    <r>
      <t>K</t>
    </r>
    <r>
      <rPr>
        <vertAlign val="subscript"/>
        <sz val="11"/>
        <rFont val="Times New Roman"/>
        <family val="1"/>
      </rPr>
      <t>in</t>
    </r>
  </si>
  <si>
    <r>
      <t>K</t>
    </r>
    <r>
      <rPr>
        <vertAlign val="subscript"/>
        <sz val="11"/>
        <rFont val="Times New Roman"/>
        <family val="1"/>
      </rPr>
      <t>out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</si>
</sst>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GreekC"/>
      <family val="0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1">
    <xf numFmtId="201" fontId="0" fillId="0" borderId="0" xfId="0" applyAlignment="1">
      <alignment/>
    </xf>
    <xf numFmtId="201" fontId="35" fillId="0" borderId="10" xfId="0" applyFont="1" applyFill="1" applyBorder="1" applyAlignment="1" applyProtection="1">
      <alignment horizontal="left"/>
      <protection hidden="1"/>
    </xf>
    <xf numFmtId="201" fontId="36" fillId="0" borderId="11" xfId="0" applyFont="1" applyFill="1" applyBorder="1" applyAlignment="1" applyProtection="1">
      <alignment horizontal="left"/>
      <protection hidden="1"/>
    </xf>
    <xf numFmtId="201" fontId="37" fillId="0" borderId="11" xfId="0" applyFont="1" applyFill="1" applyBorder="1" applyAlignment="1" applyProtection="1">
      <alignment horizontal="left"/>
      <protection hidden="1"/>
    </xf>
    <xf numFmtId="201" fontId="37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8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8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9" fillId="0" borderId="0" xfId="0" applyFont="1" applyBorder="1" applyAlignment="1" applyProtection="1">
      <alignment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1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46" fillId="0" borderId="22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0" fillId="0" borderId="24" xfId="0" applyBorder="1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11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left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8" fillId="0" borderId="11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 horizontal="left"/>
      <protection hidden="1"/>
    </xf>
    <xf numFmtId="201" fontId="7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01" fontId="8" fillId="0" borderId="24" xfId="0" applyFont="1" applyBorder="1" applyAlignment="1" applyProtection="1">
      <alignment/>
      <protection hidden="1"/>
    </xf>
    <xf numFmtId="201" fontId="8" fillId="0" borderId="20" xfId="0" applyFont="1" applyBorder="1" applyAlignment="1" applyProtection="1">
      <alignment/>
      <protection hidden="1"/>
    </xf>
    <xf numFmtId="201" fontId="13" fillId="0" borderId="0" xfId="0" applyFont="1" applyBorder="1" applyAlignment="1" applyProtection="1">
      <alignment horizontal="left"/>
      <protection hidden="1"/>
    </xf>
    <xf numFmtId="201" fontId="11" fillId="0" borderId="0" xfId="0" applyFont="1" applyBorder="1" applyAlignment="1" applyProtection="1">
      <alignment horizontal="left"/>
      <protection hidden="1"/>
    </xf>
    <xf numFmtId="2" fontId="4" fillId="0" borderId="11" xfId="0" applyNumberFormat="1" applyFont="1" applyBorder="1" applyAlignment="1" applyProtection="1">
      <alignment horizontal="left"/>
      <protection hidden="1"/>
    </xf>
    <xf numFmtId="201" fontId="8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8" fillId="0" borderId="0" xfId="0" applyFont="1" applyAlignment="1" applyProtection="1">
      <alignment/>
      <protection hidden="1"/>
    </xf>
    <xf numFmtId="201" fontId="8" fillId="0" borderId="0" xfId="0" applyFont="1" applyAlignment="1" applyProtection="1">
      <alignment horizontal="center"/>
      <protection hidden="1"/>
    </xf>
    <xf numFmtId="201" fontId="8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4" fillId="0" borderId="10" xfId="0" applyFont="1" applyBorder="1" applyAlignment="1" applyProtection="1">
      <alignment/>
      <protection hidden="1"/>
    </xf>
    <xf numFmtId="201" fontId="0" fillId="0" borderId="11" xfId="0" applyFont="1" applyBorder="1" applyAlignment="1" applyProtection="1">
      <alignment/>
      <protection hidden="1"/>
    </xf>
    <xf numFmtId="204" fontId="8" fillId="0" borderId="0" xfId="0" applyNumberFormat="1" applyFont="1" applyBorder="1" applyAlignment="1" applyProtection="1">
      <alignment horizontal="center"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" fontId="5" fillId="0" borderId="25" xfId="0" applyNumberFormat="1" applyFont="1" applyBorder="1" applyAlignment="1" applyProtection="1">
      <alignment horizontal="center"/>
      <protection hidden="1"/>
    </xf>
    <xf numFmtId="201" fontId="5" fillId="0" borderId="26" xfId="0" applyFont="1" applyBorder="1" applyAlignment="1" applyProtection="1">
      <alignment horizontal="center"/>
      <protection hidden="1"/>
    </xf>
    <xf numFmtId="201" fontId="5" fillId="0" borderId="27" xfId="0" applyFont="1" applyBorder="1" applyAlignment="1" applyProtection="1">
      <alignment horizontal="center"/>
      <protection hidden="1"/>
    </xf>
    <xf numFmtId="2" fontId="8" fillId="0" borderId="28" xfId="0" applyNumberFormat="1" applyFont="1" applyBorder="1" applyAlignment="1" applyProtection="1">
      <alignment horizontal="center"/>
      <protection hidden="1"/>
    </xf>
    <xf numFmtId="1" fontId="7" fillId="0" borderId="29" xfId="0" applyNumberFormat="1" applyFont="1" applyBorder="1" applyAlignment="1" applyProtection="1">
      <alignment horizontal="center"/>
      <protection hidden="1"/>
    </xf>
    <xf numFmtId="1" fontId="8" fillId="0" borderId="29" xfId="0" applyNumberFormat="1" applyFont="1" applyBorder="1" applyAlignment="1" applyProtection="1">
      <alignment horizontal="center"/>
      <protection hidden="1"/>
    </xf>
    <xf numFmtId="204" fontId="8" fillId="0" borderId="29" xfId="0" applyNumberFormat="1" applyFont="1" applyBorder="1" applyAlignment="1" applyProtection="1">
      <alignment horizontal="center"/>
      <protection hidden="1"/>
    </xf>
    <xf numFmtId="2" fontId="8" fillId="0" borderId="29" xfId="0" applyNumberFormat="1" applyFont="1" applyBorder="1" applyAlignment="1" applyProtection="1">
      <alignment horizontal="center"/>
      <protection hidden="1"/>
    </xf>
    <xf numFmtId="2" fontId="8" fillId="0" borderId="30" xfId="0" applyNumberFormat="1" applyFont="1" applyBorder="1" applyAlignment="1" applyProtection="1">
      <alignment horizontal="center"/>
      <protection hidden="1"/>
    </xf>
    <xf numFmtId="2" fontId="8" fillId="0" borderId="31" xfId="0" applyNumberFormat="1" applyFont="1" applyBorder="1" applyAlignment="1" applyProtection="1">
      <alignment horizontal="center"/>
      <protection hidden="1"/>
    </xf>
    <xf numFmtId="1" fontId="7" fillId="0" borderId="32" xfId="0" applyNumberFormat="1" applyFont="1" applyBorder="1" applyAlignment="1" applyProtection="1">
      <alignment horizontal="center"/>
      <protection hidden="1"/>
    </xf>
    <xf numFmtId="1" fontId="8" fillId="0" borderId="32" xfId="0" applyNumberFormat="1" applyFont="1" applyBorder="1" applyAlignment="1" applyProtection="1">
      <alignment horizontal="center"/>
      <protection hidden="1"/>
    </xf>
    <xf numFmtId="204" fontId="8" fillId="0" borderId="32" xfId="0" applyNumberFormat="1" applyFont="1" applyBorder="1" applyAlignment="1" applyProtection="1">
      <alignment horizontal="center"/>
      <protection hidden="1"/>
    </xf>
    <xf numFmtId="2" fontId="8" fillId="0" borderId="32" xfId="0" applyNumberFormat="1" applyFont="1" applyBorder="1" applyAlignment="1" applyProtection="1">
      <alignment horizontal="center"/>
      <protection hidden="1"/>
    </xf>
    <xf numFmtId="2" fontId="8" fillId="0" borderId="33" xfId="0" applyNumberFormat="1" applyFont="1" applyBorder="1" applyAlignment="1" applyProtection="1">
      <alignment horizontal="center"/>
      <protection hidden="1"/>
    </xf>
    <xf numFmtId="2" fontId="8" fillId="0" borderId="34" xfId="0" applyNumberFormat="1" applyFont="1" applyBorder="1" applyAlignment="1" applyProtection="1">
      <alignment horizontal="center"/>
      <protection hidden="1"/>
    </xf>
    <xf numFmtId="1" fontId="7" fillId="0" borderId="35" xfId="0" applyNumberFormat="1" applyFont="1" applyBorder="1" applyAlignment="1" applyProtection="1">
      <alignment horizontal="center"/>
      <protection hidden="1"/>
    </xf>
    <xf numFmtId="1" fontId="8" fillId="0" borderId="35" xfId="0" applyNumberFormat="1" applyFont="1" applyBorder="1" applyAlignment="1" applyProtection="1">
      <alignment horizontal="center"/>
      <protection hidden="1"/>
    </xf>
    <xf numFmtId="204" fontId="8" fillId="0" borderId="35" xfId="0" applyNumberFormat="1" applyFont="1" applyBorder="1" applyAlignment="1" applyProtection="1">
      <alignment horizontal="center"/>
      <protection hidden="1"/>
    </xf>
    <xf numFmtId="2" fontId="8" fillId="0" borderId="35" xfId="0" applyNumberFormat="1" applyFont="1" applyBorder="1" applyAlignment="1" applyProtection="1">
      <alignment horizontal="center"/>
      <protection hidden="1"/>
    </xf>
    <xf numFmtId="2" fontId="8" fillId="0" borderId="36" xfId="0" applyNumberFormat="1" applyFont="1" applyBorder="1" applyAlignment="1" applyProtection="1">
      <alignment horizont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locked="0"/>
    </xf>
    <xf numFmtId="201" fontId="0" fillId="0" borderId="20" xfId="0" applyFont="1" applyBorder="1" applyAlignment="1" applyProtection="1">
      <alignment/>
      <protection hidden="1"/>
    </xf>
    <xf numFmtId="201" fontId="5" fillId="0" borderId="20" xfId="0" applyFont="1" applyBorder="1" applyAlignment="1" applyProtection="1">
      <alignment/>
      <protection hidden="1"/>
    </xf>
    <xf numFmtId="201" fontId="15" fillId="0" borderId="20" xfId="0" applyFont="1" applyBorder="1" applyAlignment="1" applyProtection="1">
      <alignment/>
      <protection hidden="1"/>
    </xf>
    <xf numFmtId="201" fontId="6" fillId="0" borderId="2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/>
      <protection hidden="1"/>
    </xf>
    <xf numFmtId="201" fontId="8" fillId="0" borderId="11" xfId="0" applyFont="1" applyFill="1" applyBorder="1" applyAlignment="1" applyProtection="1">
      <alignment horizontal="center"/>
      <protection hidden="1"/>
    </xf>
    <xf numFmtId="201" fontId="38" fillId="0" borderId="0" xfId="0" applyFont="1" applyBorder="1" applyAlignment="1" applyProtection="1">
      <alignment/>
      <protection hidden="1"/>
    </xf>
    <xf numFmtId="201" fontId="8" fillId="0" borderId="0" xfId="0" applyFont="1" applyFill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01" fontId="7" fillId="0" borderId="11" xfId="0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40" fillId="0" borderId="11" xfId="0" applyFont="1" applyBorder="1" applyAlignment="1" applyProtection="1">
      <alignment horizontal="center"/>
      <protection hidden="1"/>
    </xf>
    <xf numFmtId="201" fontId="40" fillId="0" borderId="0" xfId="0" applyFont="1" applyBorder="1" applyAlignment="1" applyProtection="1">
      <alignment horizontal="center"/>
      <protection hidden="1"/>
    </xf>
    <xf numFmtId="201" fontId="7" fillId="0" borderId="0" xfId="0" applyFont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/>
      <protection hidden="1"/>
    </xf>
    <xf numFmtId="201" fontId="42" fillId="0" borderId="0" xfId="0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left"/>
      <protection hidden="1"/>
    </xf>
    <xf numFmtId="201" fontId="1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hidden="1"/>
    </xf>
    <xf numFmtId="201" fontId="8" fillId="0" borderId="21" xfId="0" applyFont="1" applyBorder="1" applyAlignment="1" applyProtection="1">
      <alignment/>
      <protection hidden="1"/>
    </xf>
    <xf numFmtId="201" fontId="7" fillId="0" borderId="21" xfId="0" applyFont="1" applyBorder="1" applyAlignment="1" applyProtection="1">
      <alignment/>
      <protection hidden="1"/>
    </xf>
    <xf numFmtId="201" fontId="8" fillId="0" borderId="37" xfId="0" applyFont="1" applyBorder="1" applyAlignment="1" applyProtection="1">
      <alignment/>
      <protection hidden="1"/>
    </xf>
    <xf numFmtId="201" fontId="7" fillId="0" borderId="38" xfId="0" applyFont="1" applyBorder="1" applyAlignment="1" applyProtection="1">
      <alignment/>
      <protection hidden="1"/>
    </xf>
    <xf numFmtId="2" fontId="8" fillId="0" borderId="21" xfId="0" applyNumberFormat="1" applyFont="1" applyBorder="1" applyAlignment="1" applyProtection="1">
      <alignment horizontal="center"/>
      <protection hidden="1"/>
    </xf>
    <xf numFmtId="201" fontId="9" fillId="0" borderId="21" xfId="0" applyFont="1" applyBorder="1" applyAlignment="1" applyProtection="1">
      <alignment/>
      <protection hidden="1"/>
    </xf>
    <xf numFmtId="201" fontId="0" fillId="0" borderId="21" xfId="0" applyFont="1" applyBorder="1" applyAlignment="1" applyProtection="1">
      <alignment/>
      <protection hidden="1"/>
    </xf>
    <xf numFmtId="201" fontId="42" fillId="0" borderId="21" xfId="0" applyFont="1" applyBorder="1" applyAlignment="1" applyProtection="1">
      <alignment/>
      <protection hidden="1"/>
    </xf>
    <xf numFmtId="201" fontId="13" fillId="0" borderId="21" xfId="0" applyFont="1" applyBorder="1" applyAlignment="1" applyProtection="1">
      <alignment/>
      <protection hidden="1"/>
    </xf>
    <xf numFmtId="201" fontId="45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locked="0"/>
    </xf>
    <xf numFmtId="201" fontId="0" fillId="0" borderId="0" xfId="0" applyAlignment="1" applyProtection="1">
      <alignment horizontal="right"/>
      <protection hidden="1"/>
    </xf>
    <xf numFmtId="201" fontId="13" fillId="0" borderId="0" xfId="0" applyFont="1" applyAlignment="1" applyProtection="1">
      <alignment/>
      <protection hidden="1"/>
    </xf>
    <xf numFmtId="201" fontId="43" fillId="0" borderId="0" xfId="0" applyFont="1" applyAlignment="1" applyProtection="1">
      <alignment horizontal="center"/>
      <protection hidden="1"/>
    </xf>
    <xf numFmtId="201" fontId="43" fillId="0" borderId="0" xfId="0" applyFont="1" applyFill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 vertical="center"/>
      <protection hidden="1"/>
    </xf>
    <xf numFmtId="201" fontId="38" fillId="0" borderId="0" xfId="0" applyFont="1" applyBorder="1" applyAlignment="1" applyProtection="1">
      <alignment/>
      <protection locked="0"/>
    </xf>
    <xf numFmtId="201" fontId="8" fillId="0" borderId="0" xfId="0" applyFont="1" applyBorder="1" applyAlignment="1" applyProtection="1">
      <alignment horizontal="right"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201" fontId="48" fillId="0" borderId="0" xfId="0" applyFont="1" applyAlignment="1" applyProtection="1">
      <alignment horizontal="center"/>
      <protection hidden="1"/>
    </xf>
    <xf numFmtId="201" fontId="0" fillId="0" borderId="32" xfId="0" applyBorder="1" applyAlignment="1" applyProtection="1">
      <alignment/>
      <protection hidden="1"/>
    </xf>
    <xf numFmtId="201" fontId="49" fillId="0" borderId="0" xfId="0" applyFont="1" applyAlignment="1" applyProtection="1">
      <alignment horizontal="center"/>
      <protection hidden="1"/>
    </xf>
    <xf numFmtId="201" fontId="0" fillId="0" borderId="0" xfId="0" applyBorder="1" applyAlignment="1" applyProtection="1">
      <alignment horizontal="right"/>
      <protection hidden="1"/>
    </xf>
    <xf numFmtId="201" fontId="0" fillId="0" borderId="32" xfId="0" applyBorder="1" applyAlignment="1" applyProtection="1">
      <alignment horizontal="right"/>
      <protection hidden="1"/>
    </xf>
    <xf numFmtId="201" fontId="8" fillId="0" borderId="0" xfId="0" applyFont="1" applyAlignment="1" applyProtection="1" quotePrefix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11" fontId="0" fillId="0" borderId="0" xfId="0" applyNumberFormat="1" applyAlignment="1" applyProtection="1">
      <alignment/>
      <protection hidden="1"/>
    </xf>
    <xf numFmtId="201" fontId="13" fillId="0" borderId="0" xfId="0" applyFont="1" applyBorder="1" applyAlignment="1" applyProtection="1">
      <alignment/>
      <protection hidden="1"/>
    </xf>
    <xf numFmtId="201" fontId="36" fillId="0" borderId="0" xfId="0" applyFont="1" applyBorder="1" applyAlignment="1" applyProtection="1">
      <alignment horizontal="center" vertical="center"/>
      <protection hidden="1"/>
    </xf>
    <xf numFmtId="201" fontId="0" fillId="0" borderId="0" xfId="0" applyFont="1" applyFill="1" applyBorder="1" applyAlignment="1" applyProtection="1">
      <alignment horizontal="left" vertical="center"/>
      <protection locked="0"/>
    </xf>
    <xf numFmtId="201" fontId="0" fillId="0" borderId="0" xfId="0" applyBorder="1" applyAlignment="1" applyProtection="1">
      <alignment/>
      <protection locked="0"/>
    </xf>
    <xf numFmtId="201" fontId="9" fillId="0" borderId="0" xfId="0" applyFont="1" applyBorder="1" applyAlignment="1" applyProtection="1">
      <alignment/>
      <protection hidden="1"/>
    </xf>
    <xf numFmtId="1" fontId="5" fillId="0" borderId="39" xfId="0" applyNumberFormat="1" applyFont="1" applyBorder="1" applyAlignment="1" applyProtection="1">
      <alignment horizontal="center"/>
      <protection hidden="1"/>
    </xf>
    <xf numFmtId="1" fontId="7" fillId="0" borderId="40" xfId="0" applyNumberFormat="1" applyFont="1" applyBorder="1" applyAlignment="1" applyProtection="1">
      <alignment horizontal="center"/>
      <protection hidden="1"/>
    </xf>
    <xf numFmtId="1" fontId="7" fillId="0" borderId="41" xfId="0" applyNumberFormat="1" applyFont="1" applyBorder="1" applyAlignment="1" applyProtection="1">
      <alignment horizontal="center"/>
      <protection hidden="1"/>
    </xf>
    <xf numFmtId="1" fontId="8" fillId="0" borderId="41" xfId="0" applyNumberFormat="1" applyFont="1" applyBorder="1" applyAlignment="1" applyProtection="1">
      <alignment horizontal="center"/>
      <protection hidden="1"/>
    </xf>
    <xf numFmtId="1" fontId="7" fillId="0" borderId="42" xfId="0" applyNumberFormat="1" applyFont="1" applyBorder="1" applyAlignment="1" applyProtection="1">
      <alignment horizontal="center"/>
      <protection hidden="1"/>
    </xf>
    <xf numFmtId="201" fontId="50" fillId="0" borderId="0" xfId="0" applyFont="1" applyBorder="1" applyAlignment="1" applyProtection="1">
      <alignment horizontal="center"/>
      <protection hidden="1"/>
    </xf>
    <xf numFmtId="201" fontId="50" fillId="0" borderId="0" xfId="0" applyFont="1" applyBorder="1" applyAlignment="1" applyProtection="1">
      <alignment/>
      <protection hidden="1"/>
    </xf>
    <xf numFmtId="201" fontId="51" fillId="0" borderId="0" xfId="0" applyFont="1" applyBorder="1" applyAlignment="1" applyProtection="1">
      <alignment horizontal="left"/>
      <protection hidden="1"/>
    </xf>
    <xf numFmtId="201" fontId="5" fillId="0" borderId="20" xfId="0" applyFont="1" applyBorder="1" applyAlignment="1" applyProtection="1">
      <alignment horizontal="center"/>
      <protection locked="0"/>
    </xf>
    <xf numFmtId="201" fontId="8" fillId="0" borderId="12" xfId="0" applyFont="1" applyBorder="1" applyAlignment="1" applyProtection="1">
      <alignment horizontal="center"/>
      <protection hidden="1"/>
    </xf>
    <xf numFmtId="2" fontId="8" fillId="0" borderId="24" xfId="0" applyNumberFormat="1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8" fillId="0" borderId="10" xfId="0" applyFont="1" applyBorder="1" applyAlignment="1" applyProtection="1">
      <alignment horizontal="center"/>
      <protection hidden="1"/>
    </xf>
    <xf numFmtId="2" fontId="8" fillId="0" borderId="20" xfId="0" applyNumberFormat="1" applyFont="1" applyBorder="1" applyAlignment="1" applyProtection="1">
      <alignment horizontal="center"/>
      <protection hidden="1"/>
    </xf>
    <xf numFmtId="2" fontId="9" fillId="0" borderId="20" xfId="0" applyNumberFormat="1" applyFont="1" applyBorder="1" applyAlignment="1" applyProtection="1">
      <alignment horizontal="center"/>
      <protection locked="0"/>
    </xf>
    <xf numFmtId="201" fontId="7" fillId="0" borderId="37" xfId="0" applyFont="1" applyBorder="1" applyAlignment="1" applyProtection="1">
      <alignment/>
      <protection hidden="1"/>
    </xf>
    <xf numFmtId="201" fontId="8" fillId="18" borderId="24" xfId="0" applyFont="1" applyFill="1" applyBorder="1" applyAlignment="1" applyProtection="1">
      <alignment/>
      <protection hidden="1"/>
    </xf>
    <xf numFmtId="201" fontId="0" fillId="0" borderId="24" xfId="0" applyBorder="1" applyAlignment="1">
      <alignment/>
    </xf>
    <xf numFmtId="201" fontId="0" fillId="0" borderId="11" xfId="0" applyBorder="1" applyAlignment="1">
      <alignment/>
    </xf>
    <xf numFmtId="201" fontId="0" fillId="0" borderId="12" xfId="0" applyBorder="1" applyAlignment="1">
      <alignment/>
    </xf>
    <xf numFmtId="201" fontId="0" fillId="0" borderId="21" xfId="0" applyBorder="1" applyAlignment="1">
      <alignment/>
    </xf>
    <xf numFmtId="201" fontId="0" fillId="0" borderId="38" xfId="0" applyBorder="1" applyAlignment="1">
      <alignment/>
    </xf>
    <xf numFmtId="201" fontId="7" fillId="0" borderId="11" xfId="0" applyFont="1" applyBorder="1" applyAlignment="1" applyProtection="1">
      <alignment/>
      <protection hidden="1"/>
    </xf>
    <xf numFmtId="201" fontId="36" fillId="0" borderId="10" xfId="0" applyFont="1" applyBorder="1" applyAlignment="1" applyProtection="1">
      <alignment horizontal="center" vertical="center"/>
      <protection hidden="1"/>
    </xf>
    <xf numFmtId="201" fontId="36" fillId="0" borderId="37" xfId="0" applyFont="1" applyBorder="1" applyAlignment="1" applyProtection="1">
      <alignment horizontal="center" vertical="center"/>
      <protection hidden="1"/>
    </xf>
    <xf numFmtId="201" fontId="36" fillId="0" borderId="12" xfId="0" applyFont="1" applyBorder="1" applyAlignment="1" applyProtection="1">
      <alignment horizontal="center" vertical="center"/>
      <protection hidden="1"/>
    </xf>
    <xf numFmtId="201" fontId="36" fillId="0" borderId="38" xfId="0" applyFont="1" applyBorder="1" applyAlignment="1" applyProtection="1">
      <alignment horizontal="center" vertical="center"/>
      <protection hidden="1"/>
    </xf>
    <xf numFmtId="0" fontId="47" fillId="0" borderId="12" xfId="57" applyFont="1" applyBorder="1" applyAlignment="1" applyProtection="1">
      <alignment horizontal="center"/>
      <protection locked="0"/>
    </xf>
    <xf numFmtId="0" fontId="46" fillId="0" borderId="24" xfId="57" applyFont="1" applyBorder="1" applyAlignment="1" applyProtection="1">
      <alignment horizontal="center"/>
      <protection locked="0"/>
    </xf>
    <xf numFmtId="0" fontId="46" fillId="0" borderId="38" xfId="57" applyFont="1" applyBorder="1" applyAlignment="1" applyProtection="1">
      <alignment horizontal="center"/>
      <protection locked="0"/>
    </xf>
    <xf numFmtId="201" fontId="8" fillId="0" borderId="0" xfId="0" applyFont="1" applyBorder="1" applyAlignment="1" applyProtection="1">
      <alignment horizontal="center" vertical="center"/>
      <protection hidden="1"/>
    </xf>
    <xf numFmtId="201" fontId="8" fillId="0" borderId="21" xfId="0" applyFont="1" applyBorder="1" applyAlignment="1" applyProtection="1">
      <alignment horizontal="center" vertic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8" fillId="0" borderId="11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37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1719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400050</xdr:colOff>
      <xdr:row>19</xdr:row>
      <xdr:rowOff>38100</xdr:rowOff>
    </xdr:from>
    <xdr:to>
      <xdr:col>20</xdr:col>
      <xdr:colOff>485775</xdr:colOff>
      <xdr:row>19</xdr:row>
      <xdr:rowOff>38100</xdr:rowOff>
    </xdr:to>
    <xdr:sp>
      <xdr:nvSpPr>
        <xdr:cNvPr id="2" name="Line 2"/>
        <xdr:cNvSpPr>
          <a:spLocks/>
        </xdr:cNvSpPr>
      </xdr:nvSpPr>
      <xdr:spPr>
        <a:xfrm>
          <a:off x="13887450" y="4095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180975</xdr:rowOff>
    </xdr:from>
    <xdr:to>
      <xdr:col>8</xdr:col>
      <xdr:colOff>400050</xdr:colOff>
      <xdr:row>34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191250" y="70866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29</xdr:row>
      <xdr:rowOff>0</xdr:rowOff>
    </xdr:from>
    <xdr:to>
      <xdr:col>6</xdr:col>
      <xdr:colOff>323850</xdr:colOff>
      <xdr:row>29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829175" y="61055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29</xdr:row>
      <xdr:rowOff>95250</xdr:rowOff>
    </xdr:from>
    <xdr:to>
      <xdr:col>5</xdr:col>
      <xdr:colOff>666750</xdr:colOff>
      <xdr:row>30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72025" y="62007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29</xdr:row>
      <xdr:rowOff>0</xdr:rowOff>
    </xdr:from>
    <xdr:to>
      <xdr:col>6</xdr:col>
      <xdr:colOff>228600</xdr:colOff>
      <xdr:row>29</xdr:row>
      <xdr:rowOff>9525</xdr:rowOff>
    </xdr:to>
    <xdr:sp>
      <xdr:nvSpPr>
        <xdr:cNvPr id="6" name="Line 8"/>
        <xdr:cNvSpPr>
          <a:spLocks/>
        </xdr:cNvSpPr>
      </xdr:nvSpPr>
      <xdr:spPr>
        <a:xfrm flipV="1">
          <a:off x="5000625" y="610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14</xdr:row>
      <xdr:rowOff>95250</xdr:rowOff>
    </xdr:from>
    <xdr:to>
      <xdr:col>5</xdr:col>
      <xdr:colOff>666750</xdr:colOff>
      <xdr:row>15</xdr:row>
      <xdr:rowOff>95250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733925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16</xdr:row>
      <xdr:rowOff>66675</xdr:rowOff>
    </xdr:from>
    <xdr:to>
      <xdr:col>6</xdr:col>
      <xdr:colOff>57150</xdr:colOff>
      <xdr:row>17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772025" y="3495675"/>
          <a:ext cx="5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4772025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34</xdr:row>
      <xdr:rowOff>161925</xdr:rowOff>
    </xdr:from>
    <xdr:to>
      <xdr:col>8</xdr:col>
      <xdr:colOff>9525</xdr:colOff>
      <xdr:row>34</xdr:row>
      <xdr:rowOff>161925</xdr:rowOff>
    </xdr:to>
    <xdr:sp>
      <xdr:nvSpPr>
        <xdr:cNvPr id="10" name="Line 27"/>
        <xdr:cNvSpPr>
          <a:spLocks/>
        </xdr:cNvSpPr>
      </xdr:nvSpPr>
      <xdr:spPr>
        <a:xfrm>
          <a:off x="3600450" y="7267575"/>
          <a:ext cx="24003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57150</xdr:rowOff>
    </xdr:from>
    <xdr:to>
      <xdr:col>4</xdr:col>
      <xdr:colOff>209550</xdr:colOff>
      <xdr:row>35</xdr:row>
      <xdr:rowOff>57150</xdr:rowOff>
    </xdr:to>
    <xdr:sp>
      <xdr:nvSpPr>
        <xdr:cNvPr id="11" name="TextBox 28"/>
        <xdr:cNvSpPr txBox="1">
          <a:spLocks noChangeArrowheads="1"/>
        </xdr:cNvSpPr>
      </xdr:nvSpPr>
      <xdr:spPr>
        <a:xfrm>
          <a:off x="3505200" y="7162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29</xdr:row>
      <xdr:rowOff>0</xdr:rowOff>
    </xdr:from>
    <xdr:to>
      <xdr:col>6</xdr:col>
      <xdr:colOff>228600</xdr:colOff>
      <xdr:row>39</xdr:row>
      <xdr:rowOff>0</xdr:rowOff>
    </xdr:to>
    <xdr:sp>
      <xdr:nvSpPr>
        <xdr:cNvPr id="12" name="Line 29"/>
        <xdr:cNvSpPr>
          <a:spLocks/>
        </xdr:cNvSpPr>
      </xdr:nvSpPr>
      <xdr:spPr>
        <a:xfrm>
          <a:off x="5000625" y="6105525"/>
          <a:ext cx="0" cy="20002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85725</xdr:rowOff>
    </xdr:from>
    <xdr:to>
      <xdr:col>6</xdr:col>
      <xdr:colOff>228600</xdr:colOff>
      <xdr:row>29</xdr:row>
      <xdr:rowOff>114300</xdr:rowOff>
    </xdr:to>
    <xdr:sp>
      <xdr:nvSpPr>
        <xdr:cNvPr id="13" name="Line 30"/>
        <xdr:cNvSpPr>
          <a:spLocks/>
        </xdr:cNvSpPr>
      </xdr:nvSpPr>
      <xdr:spPr>
        <a:xfrm flipV="1">
          <a:off x="5000625" y="61912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28</xdr:row>
      <xdr:rowOff>57150</xdr:rowOff>
    </xdr:from>
    <xdr:to>
      <xdr:col>6</xdr:col>
      <xdr:colOff>552450</xdr:colOff>
      <xdr:row>29</xdr:row>
      <xdr:rowOff>66675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5057775" y="596265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39</xdr:row>
      <xdr:rowOff>0</xdr:rowOff>
    </xdr:from>
    <xdr:to>
      <xdr:col>6</xdr:col>
      <xdr:colOff>333375</xdr:colOff>
      <xdr:row>40</xdr:row>
      <xdr:rowOff>152400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4838700" y="8105775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6" name="Rectangle 37"/>
        <xdr:cNvSpPr>
          <a:spLocks/>
        </xdr:cNvSpPr>
      </xdr:nvSpPr>
      <xdr:spPr>
        <a:xfrm>
          <a:off x="0" y="990600"/>
          <a:ext cx="21431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32</xdr:row>
      <xdr:rowOff>19050</xdr:rowOff>
    </xdr:from>
    <xdr:to>
      <xdr:col>0</xdr:col>
      <xdr:colOff>638175</xdr:colOff>
      <xdr:row>32</xdr:row>
      <xdr:rowOff>19050</xdr:rowOff>
    </xdr:to>
    <xdr:sp>
      <xdr:nvSpPr>
        <xdr:cNvPr id="17" name="Line 39"/>
        <xdr:cNvSpPr>
          <a:spLocks/>
        </xdr:cNvSpPr>
      </xdr:nvSpPr>
      <xdr:spPr>
        <a:xfrm>
          <a:off x="523875" y="672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19</xdr:row>
      <xdr:rowOff>38100</xdr:rowOff>
    </xdr:from>
    <xdr:to>
      <xdr:col>20</xdr:col>
      <xdr:colOff>485775</xdr:colOff>
      <xdr:row>19</xdr:row>
      <xdr:rowOff>38100</xdr:rowOff>
    </xdr:to>
    <xdr:sp>
      <xdr:nvSpPr>
        <xdr:cNvPr id="18" name="Line 40"/>
        <xdr:cNvSpPr>
          <a:spLocks/>
        </xdr:cNvSpPr>
      </xdr:nvSpPr>
      <xdr:spPr>
        <a:xfrm>
          <a:off x="13887450" y="4095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49</xdr:row>
      <xdr:rowOff>76200</xdr:rowOff>
    </xdr:from>
    <xdr:to>
      <xdr:col>7</xdr:col>
      <xdr:colOff>85725</xdr:colOff>
      <xdr:row>50</xdr:row>
      <xdr:rowOff>190500</xdr:rowOff>
    </xdr:to>
    <xdr:sp>
      <xdr:nvSpPr>
        <xdr:cNvPr id="19" name="AutoShape 51"/>
        <xdr:cNvSpPr>
          <a:spLocks/>
        </xdr:cNvSpPr>
      </xdr:nvSpPr>
      <xdr:spPr>
        <a:xfrm>
          <a:off x="4981575" y="10182225"/>
          <a:ext cx="485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E93"/>
  <sheetViews>
    <sheetView showGridLines="0" tabSelected="1"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3" width="11.140625" style="0" customWidth="1"/>
    <col min="6" max="6" width="10.00390625" style="0" customWidth="1"/>
    <col min="19" max="19" width="11.8515625" style="0" bestFit="1" customWidth="1"/>
    <col min="22" max="23" width="9.28125" style="0" bestFit="1" customWidth="1"/>
  </cols>
  <sheetData>
    <row r="1" spans="1:31" ht="19.5" customHeight="1">
      <c r="A1" s="1" t="s">
        <v>36</v>
      </c>
      <c r="B1" s="14"/>
      <c r="C1" s="14"/>
      <c r="D1" s="168" t="s">
        <v>42</v>
      </c>
      <c r="E1" s="169"/>
      <c r="F1" s="169"/>
      <c r="G1" s="170"/>
      <c r="H1" s="156" t="s">
        <v>43</v>
      </c>
      <c r="I1" s="157"/>
      <c r="J1" s="129"/>
      <c r="K1" s="129"/>
      <c r="L1" s="129"/>
      <c r="M1" s="129"/>
      <c r="N1" s="129"/>
      <c r="O1" s="96" t="s">
        <v>49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9.5" customHeight="1" thickBot="1">
      <c r="A2" s="2" t="s">
        <v>37</v>
      </c>
      <c r="B2" s="15"/>
      <c r="C2" s="15"/>
      <c r="D2" s="160" t="s">
        <v>108</v>
      </c>
      <c r="E2" s="161"/>
      <c r="F2" s="161"/>
      <c r="G2" s="162"/>
      <c r="H2" s="158"/>
      <c r="I2" s="159"/>
      <c r="J2" s="129"/>
      <c r="K2" s="129"/>
      <c r="L2" s="129"/>
      <c r="M2" s="129"/>
      <c r="N2" s="129"/>
      <c r="O2" s="96" t="s">
        <v>109</v>
      </c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9.5" customHeight="1">
      <c r="A3" s="3" t="s">
        <v>38</v>
      </c>
      <c r="B3" s="15"/>
      <c r="C3" s="15"/>
      <c r="D3" s="17" t="s">
        <v>35</v>
      </c>
      <c r="E3" s="18" t="s">
        <v>40</v>
      </c>
      <c r="F3" s="19" t="s">
        <v>41</v>
      </c>
      <c r="G3" s="20" t="s">
        <v>40</v>
      </c>
      <c r="H3" s="5" t="s">
        <v>44</v>
      </c>
      <c r="I3" s="11"/>
      <c r="J3" s="130"/>
      <c r="K3" s="130"/>
      <c r="L3" s="130"/>
      <c r="M3" s="130"/>
      <c r="N3" s="130"/>
      <c r="O3" s="55" t="s">
        <v>111</v>
      </c>
      <c r="P3" s="126">
        <f>IF(G7="St.37",1.4,IF(G7="St.44",1.6,2.1))</f>
        <v>1.4</v>
      </c>
      <c r="Q3" s="127">
        <f>IF(G7="St.37",0.000065,IF(G7="St.44",0.000085,0.000135))</f>
        <v>6.5E-05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9.5" customHeight="1" thickBot="1">
      <c r="A4" s="4" t="s">
        <v>39</v>
      </c>
      <c r="B4" s="21"/>
      <c r="C4" s="21"/>
      <c r="D4" s="6" t="s">
        <v>46</v>
      </c>
      <c r="E4" s="7"/>
      <c r="F4" s="8"/>
      <c r="G4" s="9"/>
      <c r="H4" s="77" t="s">
        <v>45</v>
      </c>
      <c r="I4" s="10"/>
      <c r="J4" s="131"/>
      <c r="K4" s="131"/>
      <c r="L4" s="131"/>
      <c r="M4" s="131"/>
      <c r="N4" s="131"/>
      <c r="O4" s="55" t="s">
        <v>114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5.75" thickBot="1">
      <c r="A5" s="51" t="s">
        <v>47</v>
      </c>
      <c r="B5" s="141" t="s">
        <v>107</v>
      </c>
      <c r="C5" s="78"/>
      <c r="D5" s="79"/>
      <c r="E5" s="41"/>
      <c r="F5" s="41"/>
      <c r="G5" s="80"/>
      <c r="H5" s="81"/>
      <c r="I5" s="101"/>
      <c r="J5" s="26"/>
      <c r="K5" s="26"/>
      <c r="L5" s="26"/>
      <c r="M5" s="26"/>
      <c r="N5" s="26"/>
      <c r="O5" s="47" t="s">
        <v>115</v>
      </c>
      <c r="P5" s="47"/>
      <c r="Q5" s="15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ht="16.5" thickBot="1" thickTop="1">
      <c r="A6" s="25"/>
      <c r="B6" s="26"/>
      <c r="C6" s="26"/>
      <c r="D6" s="26"/>
      <c r="E6" s="26"/>
      <c r="F6" s="26"/>
      <c r="G6" s="26"/>
      <c r="H6" s="26"/>
      <c r="I6" s="100"/>
      <c r="J6" s="37"/>
      <c r="K6" s="37"/>
      <c r="L6" s="37"/>
      <c r="M6" s="37"/>
      <c r="N6" s="37"/>
      <c r="O6" s="133" t="s">
        <v>73</v>
      </c>
      <c r="P6" s="56" t="s">
        <v>74</v>
      </c>
      <c r="Q6" s="57" t="s">
        <v>75</v>
      </c>
      <c r="R6" s="57" t="s">
        <v>10</v>
      </c>
      <c r="S6" s="57" t="s">
        <v>76</v>
      </c>
      <c r="T6" s="57" t="s">
        <v>2</v>
      </c>
      <c r="U6" s="57" t="s">
        <v>77</v>
      </c>
      <c r="V6" s="57" t="s">
        <v>78</v>
      </c>
      <c r="W6" s="57" t="s">
        <v>79</v>
      </c>
      <c r="X6" s="57" t="s">
        <v>80</v>
      </c>
      <c r="Y6" s="57" t="s">
        <v>81</v>
      </c>
      <c r="Z6" s="57" t="s">
        <v>82</v>
      </c>
      <c r="AA6" s="58" t="s">
        <v>83</v>
      </c>
      <c r="AB6" s="50"/>
      <c r="AC6" s="50"/>
      <c r="AD6" s="50"/>
      <c r="AE6" s="50"/>
    </row>
    <row r="7" spans="1:31" ht="15.75" thickTop="1">
      <c r="A7" s="22" t="s">
        <v>48</v>
      </c>
      <c r="B7" s="97" t="s">
        <v>49</v>
      </c>
      <c r="C7" s="82" t="str">
        <f>IF(B7="(D.L+L.L)","a","b")</f>
        <v>a</v>
      </c>
      <c r="D7" s="83"/>
      <c r="E7" s="83"/>
      <c r="F7" s="83" t="s">
        <v>110</v>
      </c>
      <c r="G7" s="115" t="s">
        <v>111</v>
      </c>
      <c r="H7" s="83"/>
      <c r="I7" s="16"/>
      <c r="J7" s="15"/>
      <c r="K7" s="15"/>
      <c r="L7" s="15"/>
      <c r="M7" s="15"/>
      <c r="N7" s="15"/>
      <c r="O7" s="134" t="s">
        <v>84</v>
      </c>
      <c r="P7" s="59">
        <v>16.4</v>
      </c>
      <c r="Q7" s="60">
        <v>140</v>
      </c>
      <c r="R7" s="61">
        <v>73</v>
      </c>
      <c r="S7" s="62">
        <v>4.7</v>
      </c>
      <c r="T7" s="62">
        <v>6.9</v>
      </c>
      <c r="U7" s="61">
        <v>7</v>
      </c>
      <c r="V7" s="62">
        <v>112.2</v>
      </c>
      <c r="W7" s="61">
        <v>541</v>
      </c>
      <c r="X7" s="62">
        <v>77.3</v>
      </c>
      <c r="Y7" s="63">
        <v>5.74</v>
      </c>
      <c r="Z7" s="62">
        <v>44.9</v>
      </c>
      <c r="AA7" s="64">
        <v>1.65</v>
      </c>
      <c r="AB7" s="50"/>
      <c r="AC7" s="50"/>
      <c r="AD7" s="50"/>
      <c r="AE7" s="50"/>
    </row>
    <row r="8" spans="1:31" ht="18.75">
      <c r="A8" s="52"/>
      <c r="B8" s="83"/>
      <c r="C8" s="83"/>
      <c r="D8" s="83"/>
      <c r="E8" s="83"/>
      <c r="F8" s="116" t="s">
        <v>112</v>
      </c>
      <c r="G8" s="117" t="s">
        <v>1</v>
      </c>
      <c r="H8" s="118">
        <f>IF(G7="St.37",2.4,IF(G7="St.44",2.8,3.6))</f>
        <v>2.4</v>
      </c>
      <c r="I8" s="99" t="s">
        <v>14</v>
      </c>
      <c r="J8" s="26"/>
      <c r="K8" s="26"/>
      <c r="L8" s="26"/>
      <c r="M8" s="26"/>
      <c r="N8" s="26"/>
      <c r="O8" s="135" t="s">
        <v>85</v>
      </c>
      <c r="P8" s="65">
        <v>20.1</v>
      </c>
      <c r="Q8" s="66">
        <v>160</v>
      </c>
      <c r="R8" s="67">
        <v>82</v>
      </c>
      <c r="S8" s="68">
        <v>5</v>
      </c>
      <c r="T8" s="68">
        <v>7.4</v>
      </c>
      <c r="U8" s="67">
        <v>9</v>
      </c>
      <c r="V8" s="68">
        <v>127.2</v>
      </c>
      <c r="W8" s="67">
        <v>869</v>
      </c>
      <c r="X8" s="68">
        <v>109</v>
      </c>
      <c r="Y8" s="69">
        <v>6.58</v>
      </c>
      <c r="Z8" s="68">
        <v>68.3</v>
      </c>
      <c r="AA8" s="70">
        <v>1.84</v>
      </c>
      <c r="AB8" s="50"/>
      <c r="AC8" s="50"/>
      <c r="AD8" s="50"/>
      <c r="AE8" s="50"/>
    </row>
    <row r="9" spans="1:31" ht="18.75">
      <c r="A9" s="22" t="s">
        <v>4</v>
      </c>
      <c r="B9" s="27"/>
      <c r="C9" s="26"/>
      <c r="D9" s="26"/>
      <c r="E9" s="28"/>
      <c r="F9" s="116" t="s">
        <v>113</v>
      </c>
      <c r="G9" s="117" t="s">
        <v>1</v>
      </c>
      <c r="H9" s="33">
        <f>IF(G7="St.37",3.6,IF(G7="St.44",4.4,5.2))</f>
        <v>3.6</v>
      </c>
      <c r="I9" s="99" t="s">
        <v>14</v>
      </c>
      <c r="J9" s="26"/>
      <c r="K9" s="26"/>
      <c r="L9" s="26"/>
      <c r="M9" s="26"/>
      <c r="N9" s="26"/>
      <c r="O9" s="135" t="s">
        <v>86</v>
      </c>
      <c r="P9" s="65">
        <v>23.9</v>
      </c>
      <c r="Q9" s="66">
        <v>180</v>
      </c>
      <c r="R9" s="67">
        <v>91</v>
      </c>
      <c r="S9" s="68">
        <v>5.3</v>
      </c>
      <c r="T9" s="68">
        <v>8</v>
      </c>
      <c r="U9" s="67">
        <v>9</v>
      </c>
      <c r="V9" s="68">
        <v>146</v>
      </c>
      <c r="W9" s="67">
        <v>1320</v>
      </c>
      <c r="X9" s="68">
        <v>146</v>
      </c>
      <c r="Y9" s="69">
        <v>7.42</v>
      </c>
      <c r="Z9" s="68">
        <v>101</v>
      </c>
      <c r="AA9" s="70">
        <v>2.05</v>
      </c>
      <c r="AB9" s="50"/>
      <c r="AC9" s="50"/>
      <c r="AD9" s="50"/>
      <c r="AE9" s="50"/>
    </row>
    <row r="10" spans="1:31" ht="16.5">
      <c r="A10" s="29" t="s">
        <v>102</v>
      </c>
      <c r="B10" s="30" t="s">
        <v>1</v>
      </c>
      <c r="C10" s="12">
        <v>10</v>
      </c>
      <c r="D10" s="26" t="s">
        <v>5</v>
      </c>
      <c r="E10" s="28"/>
      <c r="F10" s="28"/>
      <c r="G10" s="28"/>
      <c r="H10" s="28"/>
      <c r="I10" s="100"/>
      <c r="J10" s="37"/>
      <c r="K10" s="37"/>
      <c r="L10" s="37"/>
      <c r="M10" s="37"/>
      <c r="N10" s="37"/>
      <c r="O10" s="135" t="s">
        <v>87</v>
      </c>
      <c r="P10" s="65">
        <v>28.5</v>
      </c>
      <c r="Q10" s="66">
        <v>200</v>
      </c>
      <c r="R10" s="67">
        <v>100</v>
      </c>
      <c r="S10" s="68">
        <v>5.6</v>
      </c>
      <c r="T10" s="68">
        <v>8.5</v>
      </c>
      <c r="U10" s="67">
        <v>12</v>
      </c>
      <c r="V10" s="68">
        <v>159</v>
      </c>
      <c r="W10" s="67">
        <v>1940</v>
      </c>
      <c r="X10" s="68">
        <v>194</v>
      </c>
      <c r="Y10" s="69">
        <v>8.26</v>
      </c>
      <c r="Z10" s="68">
        <v>142</v>
      </c>
      <c r="AA10" s="70">
        <v>2.24</v>
      </c>
      <c r="AB10" s="50"/>
      <c r="AC10" s="50"/>
      <c r="AD10" s="50"/>
      <c r="AE10" s="50"/>
    </row>
    <row r="11" spans="1:31" ht="15">
      <c r="A11" s="29" t="s">
        <v>88</v>
      </c>
      <c r="B11" s="30" t="s">
        <v>1</v>
      </c>
      <c r="C11" s="12">
        <v>11</v>
      </c>
      <c r="D11" s="26" t="s">
        <v>2</v>
      </c>
      <c r="E11" s="28"/>
      <c r="F11" s="28"/>
      <c r="G11" s="28"/>
      <c r="H11" s="28"/>
      <c r="I11" s="100"/>
      <c r="J11" s="37"/>
      <c r="K11" s="37"/>
      <c r="L11" s="37"/>
      <c r="M11" s="37"/>
      <c r="N11" s="37"/>
      <c r="O11" s="135" t="s">
        <v>89</v>
      </c>
      <c r="P11" s="65">
        <v>33.4</v>
      </c>
      <c r="Q11" s="66">
        <v>220</v>
      </c>
      <c r="R11" s="67">
        <v>110</v>
      </c>
      <c r="S11" s="68">
        <v>5.9</v>
      </c>
      <c r="T11" s="68">
        <v>9.2</v>
      </c>
      <c r="U11" s="67">
        <v>12</v>
      </c>
      <c r="V11" s="68">
        <v>177.6</v>
      </c>
      <c r="W11" s="67">
        <v>2770</v>
      </c>
      <c r="X11" s="68">
        <v>252</v>
      </c>
      <c r="Y11" s="69">
        <v>9.11</v>
      </c>
      <c r="Z11" s="68">
        <v>205</v>
      </c>
      <c r="AA11" s="70">
        <v>2.48</v>
      </c>
      <c r="AB11" s="50"/>
      <c r="AC11" s="50"/>
      <c r="AD11" s="50"/>
      <c r="AE11" s="50"/>
    </row>
    <row r="12" spans="1:31" ht="15">
      <c r="A12" s="29"/>
      <c r="B12" s="30"/>
      <c r="C12" s="31"/>
      <c r="D12" s="26"/>
      <c r="E12" s="28"/>
      <c r="F12" s="28"/>
      <c r="G12" s="28"/>
      <c r="H12" s="28"/>
      <c r="I12" s="100"/>
      <c r="J12" s="37"/>
      <c r="K12" s="37"/>
      <c r="L12" s="37"/>
      <c r="M12" s="37"/>
      <c r="N12" s="37"/>
      <c r="O12" s="136" t="s">
        <v>90</v>
      </c>
      <c r="P12" s="65">
        <v>39.1</v>
      </c>
      <c r="Q12" s="67">
        <v>240</v>
      </c>
      <c r="R12" s="67">
        <v>120</v>
      </c>
      <c r="S12" s="68">
        <v>6.2</v>
      </c>
      <c r="T12" s="68">
        <v>9.8</v>
      </c>
      <c r="U12" s="67">
        <v>15</v>
      </c>
      <c r="V12" s="68">
        <v>190.4</v>
      </c>
      <c r="W12" s="67">
        <v>3890</v>
      </c>
      <c r="X12" s="68">
        <v>324</v>
      </c>
      <c r="Y12" s="69">
        <v>9.97</v>
      </c>
      <c r="Z12" s="68">
        <v>284</v>
      </c>
      <c r="AA12" s="70">
        <v>2.69</v>
      </c>
      <c r="AB12" s="50"/>
      <c r="AC12" s="50"/>
      <c r="AD12" s="50"/>
      <c r="AE12" s="50"/>
    </row>
    <row r="13" spans="1:31" ht="15">
      <c r="A13" s="29"/>
      <c r="B13" s="30"/>
      <c r="C13" s="31"/>
      <c r="D13" s="26"/>
      <c r="E13" s="26"/>
      <c r="F13" s="26"/>
      <c r="G13" s="26"/>
      <c r="H13" s="26"/>
      <c r="I13" s="99"/>
      <c r="J13" s="26"/>
      <c r="K13" s="26"/>
      <c r="L13" s="26"/>
      <c r="M13" s="26"/>
      <c r="N13" s="26"/>
      <c r="O13" s="135" t="s">
        <v>91</v>
      </c>
      <c r="P13" s="65">
        <v>45.9</v>
      </c>
      <c r="Q13" s="66">
        <v>270</v>
      </c>
      <c r="R13" s="67">
        <v>135</v>
      </c>
      <c r="S13" s="68">
        <v>6.6</v>
      </c>
      <c r="T13" s="68">
        <v>10.2</v>
      </c>
      <c r="U13" s="67">
        <v>15</v>
      </c>
      <c r="V13" s="68">
        <v>219.6</v>
      </c>
      <c r="W13" s="67">
        <v>5790</v>
      </c>
      <c r="X13" s="68">
        <v>429</v>
      </c>
      <c r="Y13" s="69">
        <v>11.2</v>
      </c>
      <c r="Z13" s="68">
        <v>420</v>
      </c>
      <c r="AA13" s="70">
        <v>3.02</v>
      </c>
      <c r="AB13" s="50"/>
      <c r="AC13" s="50"/>
      <c r="AD13" s="50"/>
      <c r="AE13" s="50"/>
    </row>
    <row r="14" spans="1:31" ht="15">
      <c r="A14" s="29"/>
      <c r="B14" s="26"/>
      <c r="C14" s="26"/>
      <c r="D14" s="26"/>
      <c r="E14" s="26"/>
      <c r="F14" s="26"/>
      <c r="G14" s="26"/>
      <c r="H14" s="26"/>
      <c r="I14" s="99"/>
      <c r="J14" s="26"/>
      <c r="K14" s="26"/>
      <c r="L14" s="26"/>
      <c r="M14" s="26"/>
      <c r="N14" s="26"/>
      <c r="O14" s="136" t="s">
        <v>92</v>
      </c>
      <c r="P14" s="65">
        <v>53.8</v>
      </c>
      <c r="Q14" s="67">
        <v>300</v>
      </c>
      <c r="R14" s="67">
        <v>150</v>
      </c>
      <c r="S14" s="68">
        <v>7.1</v>
      </c>
      <c r="T14" s="68">
        <v>10.7</v>
      </c>
      <c r="U14" s="67">
        <v>15</v>
      </c>
      <c r="V14" s="68">
        <v>248.6</v>
      </c>
      <c r="W14" s="67">
        <v>8360</v>
      </c>
      <c r="X14" s="68">
        <v>557</v>
      </c>
      <c r="Y14" s="69">
        <v>12.5</v>
      </c>
      <c r="Z14" s="68">
        <v>604</v>
      </c>
      <c r="AA14" s="70">
        <v>3.35</v>
      </c>
      <c r="AB14" s="50"/>
      <c r="AC14" s="50"/>
      <c r="AD14" s="50"/>
      <c r="AE14" s="50"/>
    </row>
    <row r="15" spans="1:31" ht="15">
      <c r="A15" s="32" t="s">
        <v>50</v>
      </c>
      <c r="B15" s="33"/>
      <c r="C15" s="26"/>
      <c r="D15" s="26"/>
      <c r="E15" s="26"/>
      <c r="F15" s="26"/>
      <c r="G15" s="26"/>
      <c r="H15" s="28"/>
      <c r="I15" s="100"/>
      <c r="J15" s="37"/>
      <c r="K15" s="37"/>
      <c r="L15" s="37"/>
      <c r="M15" s="37"/>
      <c r="N15" s="37"/>
      <c r="O15" s="136" t="s">
        <v>93</v>
      </c>
      <c r="P15" s="65">
        <v>62.6</v>
      </c>
      <c r="Q15" s="67">
        <v>330</v>
      </c>
      <c r="R15" s="67">
        <v>160</v>
      </c>
      <c r="S15" s="68">
        <v>7.5</v>
      </c>
      <c r="T15" s="68">
        <v>11.5</v>
      </c>
      <c r="U15" s="67">
        <v>18</v>
      </c>
      <c r="V15" s="68">
        <v>271</v>
      </c>
      <c r="W15" s="67">
        <v>11770</v>
      </c>
      <c r="X15" s="68">
        <v>713</v>
      </c>
      <c r="Y15" s="69">
        <v>13.7</v>
      </c>
      <c r="Z15" s="68">
        <v>788</v>
      </c>
      <c r="AA15" s="70">
        <v>3.55</v>
      </c>
      <c r="AB15" s="50"/>
      <c r="AC15" s="50"/>
      <c r="AD15" s="50"/>
      <c r="AE15" s="50"/>
    </row>
    <row r="16" spans="1:31" ht="15">
      <c r="A16" s="29" t="s">
        <v>94</v>
      </c>
      <c r="B16" s="109" t="s">
        <v>96</v>
      </c>
      <c r="C16" s="26"/>
      <c r="D16" s="26"/>
      <c r="E16" s="26"/>
      <c r="F16" s="26"/>
      <c r="G16" s="26"/>
      <c r="H16" s="26"/>
      <c r="I16" s="99"/>
      <c r="J16" s="26"/>
      <c r="K16" s="26"/>
      <c r="L16" s="26"/>
      <c r="M16" s="26"/>
      <c r="N16" s="26"/>
      <c r="O16" s="136" t="s">
        <v>95</v>
      </c>
      <c r="P16" s="65">
        <v>72.7</v>
      </c>
      <c r="Q16" s="67">
        <v>360</v>
      </c>
      <c r="R16" s="67">
        <v>170</v>
      </c>
      <c r="S16" s="68">
        <v>8</v>
      </c>
      <c r="T16" s="68">
        <v>12.7</v>
      </c>
      <c r="U16" s="67">
        <v>18</v>
      </c>
      <c r="V16" s="68">
        <v>298.6</v>
      </c>
      <c r="W16" s="67">
        <v>16270</v>
      </c>
      <c r="X16" s="68">
        <v>904</v>
      </c>
      <c r="Y16" s="69">
        <v>15</v>
      </c>
      <c r="Z16" s="68">
        <v>1040</v>
      </c>
      <c r="AA16" s="70">
        <v>3.79</v>
      </c>
      <c r="AB16" s="50"/>
      <c r="AC16" s="50"/>
      <c r="AD16" s="50"/>
      <c r="AE16" s="50"/>
    </row>
    <row r="17" spans="1:31" ht="16.5">
      <c r="A17" s="29" t="s">
        <v>60</v>
      </c>
      <c r="B17" s="30" t="s">
        <v>1</v>
      </c>
      <c r="C17" s="53">
        <f>VLOOKUP(B16,O7:AA21,4,FALSE)</f>
        <v>180</v>
      </c>
      <c r="D17" s="26" t="s">
        <v>3</v>
      </c>
      <c r="E17" s="30"/>
      <c r="F17" s="26"/>
      <c r="G17" s="26"/>
      <c r="H17" s="26"/>
      <c r="I17" s="99"/>
      <c r="J17" s="26"/>
      <c r="K17" s="26"/>
      <c r="L17" s="26"/>
      <c r="M17" s="26"/>
      <c r="N17" s="26"/>
      <c r="O17" s="136" t="s">
        <v>96</v>
      </c>
      <c r="P17" s="65">
        <v>84.5</v>
      </c>
      <c r="Q17" s="67">
        <v>400</v>
      </c>
      <c r="R17" s="67">
        <v>180</v>
      </c>
      <c r="S17" s="68">
        <v>8.6</v>
      </c>
      <c r="T17" s="68">
        <v>13.5</v>
      </c>
      <c r="U17" s="67">
        <v>21</v>
      </c>
      <c r="V17" s="68">
        <v>331</v>
      </c>
      <c r="W17" s="67">
        <v>23130</v>
      </c>
      <c r="X17" s="68">
        <v>1160</v>
      </c>
      <c r="Y17" s="69">
        <v>16.5</v>
      </c>
      <c r="Z17" s="68">
        <v>1320</v>
      </c>
      <c r="AA17" s="70">
        <v>3.95</v>
      </c>
      <c r="AB17" s="50"/>
      <c r="AC17" s="50"/>
      <c r="AD17" s="50"/>
      <c r="AE17" s="50"/>
    </row>
    <row r="18" spans="1:31" ht="16.5">
      <c r="A18" s="29" t="s">
        <v>61</v>
      </c>
      <c r="B18" s="30" t="s">
        <v>1</v>
      </c>
      <c r="C18" s="53">
        <f>VLOOKUP(B16,O7:AA21,6,FALSE)</f>
        <v>13.5</v>
      </c>
      <c r="D18" s="26" t="s">
        <v>3</v>
      </c>
      <c r="E18" s="30"/>
      <c r="F18" s="30"/>
      <c r="G18" s="98"/>
      <c r="H18" s="26"/>
      <c r="I18" s="99"/>
      <c r="J18" s="26"/>
      <c r="K18" s="26"/>
      <c r="L18" s="26"/>
      <c r="M18" s="26"/>
      <c r="N18" s="26"/>
      <c r="O18" s="136" t="s">
        <v>97</v>
      </c>
      <c r="P18" s="65">
        <v>98.8</v>
      </c>
      <c r="Q18" s="67">
        <v>450</v>
      </c>
      <c r="R18" s="67">
        <v>190</v>
      </c>
      <c r="S18" s="68">
        <v>9.4</v>
      </c>
      <c r="T18" s="68">
        <v>14.6</v>
      </c>
      <c r="U18" s="67">
        <v>21</v>
      </c>
      <c r="V18" s="68">
        <v>378.8</v>
      </c>
      <c r="W18" s="67">
        <v>33740</v>
      </c>
      <c r="X18" s="68">
        <v>1500</v>
      </c>
      <c r="Y18" s="69">
        <v>18.5</v>
      </c>
      <c r="Z18" s="68">
        <v>1680</v>
      </c>
      <c r="AA18" s="70">
        <v>4.12</v>
      </c>
      <c r="AB18" s="50"/>
      <c r="AC18" s="50"/>
      <c r="AD18" s="50"/>
      <c r="AE18" s="50"/>
    </row>
    <row r="19" spans="1:31" ht="16.5">
      <c r="A19" s="29" t="s">
        <v>62</v>
      </c>
      <c r="B19" s="30" t="s">
        <v>1</v>
      </c>
      <c r="C19" s="53">
        <f>VLOOKUP(B16,O7:AA21,3,FALSE)</f>
        <v>400</v>
      </c>
      <c r="D19" s="26" t="s">
        <v>3</v>
      </c>
      <c r="E19" s="30"/>
      <c r="F19" s="30"/>
      <c r="G19" s="30"/>
      <c r="H19" s="26"/>
      <c r="I19" s="99"/>
      <c r="J19" s="26"/>
      <c r="K19" s="26"/>
      <c r="L19" s="26"/>
      <c r="M19" s="26"/>
      <c r="N19" s="26"/>
      <c r="O19" s="135" t="s">
        <v>98</v>
      </c>
      <c r="P19" s="65">
        <v>116</v>
      </c>
      <c r="Q19" s="66">
        <v>500</v>
      </c>
      <c r="R19" s="67">
        <v>200</v>
      </c>
      <c r="S19" s="68">
        <v>10.2</v>
      </c>
      <c r="T19" s="68">
        <v>16</v>
      </c>
      <c r="U19" s="67">
        <v>21</v>
      </c>
      <c r="V19" s="68">
        <v>426</v>
      </c>
      <c r="W19" s="67">
        <v>48200</v>
      </c>
      <c r="X19" s="68">
        <v>1930</v>
      </c>
      <c r="Y19" s="69">
        <v>20.4</v>
      </c>
      <c r="Z19" s="68">
        <v>2140</v>
      </c>
      <c r="AA19" s="70">
        <v>4.31</v>
      </c>
      <c r="AB19" s="50"/>
      <c r="AC19" s="50"/>
      <c r="AD19" s="50"/>
      <c r="AE19" s="50"/>
    </row>
    <row r="20" spans="1:31" ht="16.5">
      <c r="A20" s="29" t="s">
        <v>63</v>
      </c>
      <c r="B20" s="30" t="s">
        <v>1</v>
      </c>
      <c r="C20" s="53">
        <f>VLOOKUP(B16,O7:AA21,5,FALSE)</f>
        <v>8.6</v>
      </c>
      <c r="D20" s="26" t="s">
        <v>3</v>
      </c>
      <c r="E20" s="26"/>
      <c r="F20" s="30"/>
      <c r="G20" s="30"/>
      <c r="H20" s="26"/>
      <c r="I20" s="100"/>
      <c r="J20" s="37"/>
      <c r="K20" s="37"/>
      <c r="L20" s="37"/>
      <c r="M20" s="37"/>
      <c r="N20" s="37"/>
      <c r="O20" s="135" t="s">
        <v>99</v>
      </c>
      <c r="P20" s="65">
        <v>134</v>
      </c>
      <c r="Q20" s="66">
        <v>550</v>
      </c>
      <c r="R20" s="67">
        <v>210</v>
      </c>
      <c r="S20" s="68">
        <v>11.1</v>
      </c>
      <c r="T20" s="68">
        <v>17.2</v>
      </c>
      <c r="U20" s="67">
        <v>24</v>
      </c>
      <c r="V20" s="68">
        <v>467.6</v>
      </c>
      <c r="W20" s="67">
        <v>67120</v>
      </c>
      <c r="X20" s="68">
        <v>2440</v>
      </c>
      <c r="Y20" s="69">
        <v>22.3</v>
      </c>
      <c r="Z20" s="68">
        <v>2670</v>
      </c>
      <c r="AA20" s="70">
        <v>4.45</v>
      </c>
      <c r="AB20" s="50"/>
      <c r="AC20" s="50"/>
      <c r="AD20" s="50"/>
      <c r="AE20" s="50"/>
    </row>
    <row r="21" spans="1:31" ht="17.25" thickBot="1">
      <c r="A21" s="29" t="s">
        <v>64</v>
      </c>
      <c r="B21" s="30" t="s">
        <v>1</v>
      </c>
      <c r="C21" s="53">
        <f>VLOOKUP(B16,O7:AA21,4,FALSE)</f>
        <v>180</v>
      </c>
      <c r="D21" s="26" t="s">
        <v>3</v>
      </c>
      <c r="E21" s="26"/>
      <c r="F21" s="26"/>
      <c r="G21" s="26"/>
      <c r="H21" s="26"/>
      <c r="I21" s="100"/>
      <c r="J21" s="37"/>
      <c r="K21" s="37"/>
      <c r="L21" s="37"/>
      <c r="M21" s="37"/>
      <c r="N21" s="37"/>
      <c r="O21" s="137" t="s">
        <v>100</v>
      </c>
      <c r="P21" s="71">
        <v>156</v>
      </c>
      <c r="Q21" s="72">
        <v>600</v>
      </c>
      <c r="R21" s="73">
        <v>220</v>
      </c>
      <c r="S21" s="74">
        <v>12</v>
      </c>
      <c r="T21" s="74">
        <v>19</v>
      </c>
      <c r="U21" s="73">
        <v>24</v>
      </c>
      <c r="V21" s="74">
        <v>514</v>
      </c>
      <c r="W21" s="73">
        <v>92080</v>
      </c>
      <c r="X21" s="74">
        <v>3070</v>
      </c>
      <c r="Y21" s="75">
        <v>24.3</v>
      </c>
      <c r="Z21" s="74">
        <v>3390</v>
      </c>
      <c r="AA21" s="76">
        <v>4.66</v>
      </c>
      <c r="AB21" s="50"/>
      <c r="AC21" s="50"/>
      <c r="AD21" s="50"/>
      <c r="AE21" s="50"/>
    </row>
    <row r="22" spans="1:31" ht="17.25" thickTop="1">
      <c r="A22" s="29" t="s">
        <v>65</v>
      </c>
      <c r="B22" s="30" t="s">
        <v>1</v>
      </c>
      <c r="C22" s="53">
        <f>VLOOKUP(B16,O7:AA21,6,FALSE)</f>
        <v>13.5</v>
      </c>
      <c r="D22" s="26" t="s">
        <v>3</v>
      </c>
      <c r="E22" s="26"/>
      <c r="F22" s="26"/>
      <c r="G22" s="26"/>
      <c r="H22" s="26"/>
      <c r="I22" s="100"/>
      <c r="J22" s="37"/>
      <c r="K22" s="37"/>
      <c r="L22" s="37"/>
      <c r="M22" s="37"/>
      <c r="N22" s="37"/>
      <c r="O22" s="37"/>
      <c r="P22" s="37"/>
      <c r="Q22" s="15"/>
      <c r="R22" s="15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ht="15">
      <c r="A23" s="84"/>
      <c r="B23" s="83"/>
      <c r="C23" s="85"/>
      <c r="D23" s="83"/>
      <c r="E23" s="26"/>
      <c r="F23" s="26"/>
      <c r="G23" s="26"/>
      <c r="H23" s="26"/>
      <c r="I23" s="99"/>
      <c r="J23" s="26"/>
      <c r="K23" s="26"/>
      <c r="L23" s="26"/>
      <c r="M23" s="26"/>
      <c r="N23" s="26"/>
      <c r="O23" s="119"/>
      <c r="P23" s="50"/>
      <c r="Q23" s="50"/>
      <c r="R23" s="50">
        <f>(699/(H8)^0.5)/(13*Q24-1)</f>
        <v>70.18537932341846</v>
      </c>
      <c r="S23" s="50"/>
      <c r="T23" s="50"/>
      <c r="U23" s="110"/>
      <c r="V23" s="54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ht="18">
      <c r="A24" s="32" t="s">
        <v>51</v>
      </c>
      <c r="B24" s="33"/>
      <c r="C24" s="85"/>
      <c r="D24" s="83"/>
      <c r="E24" s="26"/>
      <c r="F24" s="26"/>
      <c r="G24" s="26"/>
      <c r="H24" s="26"/>
      <c r="I24" s="99"/>
      <c r="J24" s="26"/>
      <c r="K24" s="26"/>
      <c r="L24" s="26"/>
      <c r="M24" s="26"/>
      <c r="N24" s="26"/>
      <c r="O24" s="120" t="s">
        <v>116</v>
      </c>
      <c r="P24" s="54" t="s">
        <v>1</v>
      </c>
      <c r="Q24" s="50">
        <f>0.5*(C11/(((C19/10)-2*(C18/10))*(C20/10)*H8)+1)</f>
        <v>0.5714404472431781</v>
      </c>
      <c r="R24" s="50">
        <f>(63.6/Q24)/(H8)^0.5</f>
        <v>71.84234799593759</v>
      </c>
      <c r="S24" s="50"/>
      <c r="T24" s="50"/>
      <c r="U24" s="110"/>
      <c r="V24" s="54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ht="15">
      <c r="A25" s="25" t="s">
        <v>52</v>
      </c>
      <c r="B25" s="26"/>
      <c r="C25" s="12">
        <v>2.5</v>
      </c>
      <c r="D25" s="28" t="s">
        <v>0</v>
      </c>
      <c r="E25" s="26"/>
      <c r="F25" s="26"/>
      <c r="G25" s="26"/>
      <c r="H25" s="26"/>
      <c r="I25" s="99"/>
      <c r="J25" s="26"/>
      <c r="K25" s="26"/>
      <c r="L25" s="26"/>
      <c r="M25" s="26"/>
      <c r="N25" s="26"/>
      <c r="O25" s="50"/>
      <c r="P25" s="50"/>
      <c r="Q25" s="50"/>
      <c r="R25" s="121">
        <f>IF(Q24&gt;0.5,R23,R24)</f>
        <v>70.18537932341846</v>
      </c>
      <c r="S25" s="50"/>
      <c r="T25" s="50"/>
      <c r="U25" s="110"/>
      <c r="V25" s="54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ht="15.75">
      <c r="A26" s="34" t="s">
        <v>53</v>
      </c>
      <c r="B26" s="28"/>
      <c r="C26" s="12">
        <v>2.5</v>
      </c>
      <c r="D26" s="28" t="s">
        <v>0</v>
      </c>
      <c r="E26" s="26"/>
      <c r="F26" s="26"/>
      <c r="G26" s="26"/>
      <c r="H26" s="26"/>
      <c r="I26" s="99"/>
      <c r="J26" s="26"/>
      <c r="K26" s="26"/>
      <c r="L26" s="26"/>
      <c r="M26" s="26"/>
      <c r="N26" s="26"/>
      <c r="O26" s="122" t="s">
        <v>117</v>
      </c>
      <c r="P26" s="54" t="s">
        <v>1</v>
      </c>
      <c r="Q26" s="50">
        <f>((-C11/C34)+(C10*100/C37))/((-C11/C34)-(C10*100/C37))</f>
        <v>-0.7376105284803619</v>
      </c>
      <c r="R26" s="50">
        <f>(190/(H8)^0.5)/(2+Q26)</f>
        <v>97.15264218915313</v>
      </c>
      <c r="S26" s="50"/>
      <c r="T26" s="50"/>
      <c r="U26" s="110"/>
      <c r="V26" s="54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ht="15">
      <c r="A27" s="25" t="s">
        <v>54</v>
      </c>
      <c r="B27" s="86"/>
      <c r="C27" s="12">
        <v>2.5</v>
      </c>
      <c r="D27" s="28" t="s">
        <v>0</v>
      </c>
      <c r="E27" s="26"/>
      <c r="F27" s="26"/>
      <c r="G27" s="26"/>
      <c r="H27" s="26"/>
      <c r="I27" s="99"/>
      <c r="J27" s="26"/>
      <c r="K27" s="26"/>
      <c r="L27" s="26"/>
      <c r="M27" s="26"/>
      <c r="N27" s="26"/>
      <c r="O27" s="37"/>
      <c r="P27" s="50"/>
      <c r="Q27" s="50"/>
      <c r="R27" s="123">
        <f>(95*(1-Q26)*(-Q26)^0.5)/(H8)^0.5</f>
        <v>91.51324962428338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ht="15.75" customHeight="1">
      <c r="A28" s="25" t="s">
        <v>55</v>
      </c>
      <c r="B28" s="86"/>
      <c r="C28" s="12">
        <v>2.5</v>
      </c>
      <c r="D28" s="28" t="s">
        <v>0</v>
      </c>
      <c r="E28" s="26"/>
      <c r="F28" s="26"/>
      <c r="G28" s="26"/>
      <c r="H28" s="26"/>
      <c r="I28" s="99"/>
      <c r="J28" s="26"/>
      <c r="K28" s="26"/>
      <c r="L28" s="26"/>
      <c r="M28" s="26"/>
      <c r="N28" s="26"/>
      <c r="O28" s="37"/>
      <c r="P28" s="50"/>
      <c r="Q28" s="50"/>
      <c r="R28" s="124">
        <f>IF(Q26&gt;-1,R26,R27)</f>
        <v>97.15264218915313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ht="15.75" customHeight="1">
      <c r="A29" s="25" t="s">
        <v>123</v>
      </c>
      <c r="B29" s="86"/>
      <c r="C29" s="12">
        <v>2.5</v>
      </c>
      <c r="D29" s="28" t="s">
        <v>0</v>
      </c>
      <c r="E29" s="26"/>
      <c r="F29" s="26"/>
      <c r="G29" s="26"/>
      <c r="H29" s="26"/>
      <c r="I29" s="99"/>
      <c r="J29" s="26"/>
      <c r="K29" s="26"/>
      <c r="L29" s="26"/>
      <c r="M29" s="26"/>
      <c r="N29" s="26"/>
      <c r="O29" s="37"/>
      <c r="P29" s="50"/>
      <c r="Q29" s="50"/>
      <c r="R29" s="46" t="str">
        <f>IF(C42&lt;58/(H8)^0.5,"Compact",IF(AND(C42&gt;58/(H8)^0.5,C42&lt;64/(H8)^0.5),"Non compact","Slender"))</f>
        <v>Non compact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spans="1:31" ht="15.75" customHeight="1">
      <c r="A30" s="55"/>
      <c r="B30" s="15"/>
      <c r="C30" s="15"/>
      <c r="D30" s="15"/>
      <c r="E30" s="26"/>
      <c r="F30" s="26"/>
      <c r="G30" s="26"/>
      <c r="H30" s="26"/>
      <c r="I30" s="99"/>
      <c r="J30" s="26"/>
      <c r="K30" s="26"/>
      <c r="L30" s="26"/>
      <c r="M30" s="26"/>
      <c r="N30" s="26"/>
      <c r="O30" s="47"/>
      <c r="P30" s="47"/>
      <c r="Q30" s="15"/>
      <c r="R30" s="15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ht="15.75" customHeight="1">
      <c r="A31" s="32" t="s">
        <v>56</v>
      </c>
      <c r="B31" s="33"/>
      <c r="C31" s="26"/>
      <c r="D31" s="26"/>
      <c r="E31" s="26"/>
      <c r="F31" s="26"/>
      <c r="G31" s="26"/>
      <c r="H31" s="26"/>
      <c r="I31" s="99"/>
      <c r="J31" s="26"/>
      <c r="K31" s="26"/>
      <c r="L31" s="26"/>
      <c r="M31" s="26"/>
      <c r="N31" s="26"/>
      <c r="O31" s="47"/>
      <c r="P31" s="47"/>
      <c r="Q31" s="15"/>
      <c r="R31" s="15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ht="15.75" customHeight="1">
      <c r="A32" s="29"/>
      <c r="B32" s="30"/>
      <c r="C32" s="33"/>
      <c r="D32" s="26"/>
      <c r="E32" s="26"/>
      <c r="F32" s="26"/>
      <c r="G32" s="26"/>
      <c r="H32" s="26"/>
      <c r="I32" s="99"/>
      <c r="J32" s="26"/>
      <c r="K32" s="26"/>
      <c r="L32" s="26"/>
      <c r="M32" s="26"/>
      <c r="N32" s="26"/>
      <c r="O32" s="47"/>
      <c r="P32" s="47"/>
      <c r="Q32" s="15"/>
      <c r="R32" s="15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15.75" customHeight="1">
      <c r="A33" s="29" t="s">
        <v>7</v>
      </c>
      <c r="B33" s="30" t="s">
        <v>1</v>
      </c>
      <c r="C33" s="33">
        <f>VLOOKUP(B16,O7:AA21,3,FALSE)/2</f>
        <v>200</v>
      </c>
      <c r="D33" s="26" t="s">
        <v>6</v>
      </c>
      <c r="E33" s="26"/>
      <c r="F33" s="26"/>
      <c r="G33" s="26"/>
      <c r="H33" s="26"/>
      <c r="I33" s="100"/>
      <c r="J33" s="37"/>
      <c r="K33" s="37"/>
      <c r="L33" s="37"/>
      <c r="M33" s="37"/>
      <c r="N33" s="37"/>
      <c r="O33" s="37"/>
      <c r="P33" s="37"/>
      <c r="Q33" s="15"/>
      <c r="R33" s="15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15.75" customHeight="1">
      <c r="A34" s="29" t="s">
        <v>8</v>
      </c>
      <c r="B34" s="30" t="s">
        <v>1</v>
      </c>
      <c r="C34" s="33">
        <f>VLOOKUP(B16,O7:AA21,2,FALSE)</f>
        <v>84.5</v>
      </c>
      <c r="D34" s="26" t="s">
        <v>12</v>
      </c>
      <c r="E34" s="26"/>
      <c r="F34" s="26"/>
      <c r="G34" s="26"/>
      <c r="H34" s="26"/>
      <c r="I34" s="100"/>
      <c r="J34" s="37"/>
      <c r="K34" s="37"/>
      <c r="L34" s="37"/>
      <c r="M34" s="37"/>
      <c r="N34" s="37"/>
      <c r="O34" s="37"/>
      <c r="P34" s="37"/>
      <c r="Q34" s="15"/>
      <c r="R34" s="15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5.75" customHeight="1">
      <c r="A35" s="29" t="s">
        <v>79</v>
      </c>
      <c r="B35" s="30" t="s">
        <v>1</v>
      </c>
      <c r="C35" s="33">
        <f>VLOOKUP(B16,O7:AA21,9,FALSE)</f>
        <v>23130</v>
      </c>
      <c r="D35" s="26" t="s">
        <v>15</v>
      </c>
      <c r="E35" s="83"/>
      <c r="F35" s="83"/>
      <c r="G35" s="83"/>
      <c r="H35" s="83"/>
      <c r="I35" s="100"/>
      <c r="J35" s="37"/>
      <c r="K35" s="37"/>
      <c r="L35" s="37"/>
      <c r="M35" s="37"/>
      <c r="N35" s="37"/>
      <c r="O35" s="37"/>
      <c r="P35" s="37"/>
      <c r="Q35" s="15"/>
      <c r="R35" s="15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15.75" customHeight="1">
      <c r="A36" s="29" t="s">
        <v>82</v>
      </c>
      <c r="B36" s="30" t="s">
        <v>1</v>
      </c>
      <c r="C36" s="33">
        <f>VLOOKUP(B16,O7:AA21,12,FALSE)</f>
        <v>1320</v>
      </c>
      <c r="D36" s="26" t="s">
        <v>15</v>
      </c>
      <c r="E36" s="83"/>
      <c r="F36" s="83"/>
      <c r="G36" s="83"/>
      <c r="H36" s="83"/>
      <c r="I36" s="100"/>
      <c r="J36" s="37"/>
      <c r="K36" s="37"/>
      <c r="L36" s="37"/>
      <c r="M36" s="37"/>
      <c r="N36" s="37"/>
      <c r="O36" s="37"/>
      <c r="P36" s="37"/>
      <c r="Q36" s="15"/>
      <c r="R36" s="15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5.75" customHeight="1">
      <c r="A37" s="29" t="s">
        <v>32</v>
      </c>
      <c r="B37" s="30" t="s">
        <v>1</v>
      </c>
      <c r="C37" s="33">
        <f>VLOOKUP(B16,O7:AA21,10,FALSE)</f>
        <v>1160</v>
      </c>
      <c r="D37" s="26" t="s">
        <v>13</v>
      </c>
      <c r="E37" s="83"/>
      <c r="F37" s="83"/>
      <c r="G37" s="83"/>
      <c r="H37" s="83"/>
      <c r="I37" s="100"/>
      <c r="J37" s="37"/>
      <c r="K37" s="37"/>
      <c r="L37" s="37"/>
      <c r="M37" s="37"/>
      <c r="N37" s="37"/>
      <c r="O37" s="37"/>
      <c r="P37" s="37"/>
      <c r="Q37" s="15"/>
      <c r="R37" s="108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15.75" customHeight="1">
      <c r="A38" s="29" t="s">
        <v>33</v>
      </c>
      <c r="B38" s="30" t="s">
        <v>1</v>
      </c>
      <c r="C38" s="33">
        <f>VLOOKUP(B16,O7:AA21,11,FALSE)</f>
        <v>16.5</v>
      </c>
      <c r="D38" s="26" t="s">
        <v>6</v>
      </c>
      <c r="E38" s="83"/>
      <c r="F38" s="83"/>
      <c r="G38" s="83"/>
      <c r="H38" s="83"/>
      <c r="I38" s="100"/>
      <c r="J38" s="37"/>
      <c r="K38" s="37"/>
      <c r="L38" s="37"/>
      <c r="M38" s="37"/>
      <c r="N38" s="37"/>
      <c r="O38" s="37"/>
      <c r="P38" s="37"/>
      <c r="Q38" s="50"/>
      <c r="R38" s="50"/>
      <c r="S38" s="46"/>
      <c r="T38" s="46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5.75" customHeight="1">
      <c r="A39" s="29" t="s">
        <v>34</v>
      </c>
      <c r="B39" s="30" t="s">
        <v>1</v>
      </c>
      <c r="C39" s="33">
        <f>VLOOKUP(B16,O7:AA21,13,FALSE)</f>
        <v>3.95</v>
      </c>
      <c r="D39" s="26" t="s">
        <v>6</v>
      </c>
      <c r="E39" s="83"/>
      <c r="F39" s="83"/>
      <c r="G39" s="83"/>
      <c r="H39" s="83"/>
      <c r="I39" s="100"/>
      <c r="J39" s="37"/>
      <c r="K39" s="37"/>
      <c r="L39" s="37"/>
      <c r="M39" s="37"/>
      <c r="N39" s="37"/>
      <c r="O39" s="37"/>
      <c r="P39" s="37"/>
      <c r="Q39" s="50"/>
      <c r="R39" s="50"/>
      <c r="S39" s="46"/>
      <c r="T39" s="46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5.75" customHeight="1">
      <c r="A40" s="29"/>
      <c r="B40" s="30"/>
      <c r="C40" s="33"/>
      <c r="D40" s="26"/>
      <c r="E40" s="83"/>
      <c r="F40" s="83"/>
      <c r="G40" s="83"/>
      <c r="H40" s="83"/>
      <c r="I40" s="100"/>
      <c r="J40" s="37"/>
      <c r="K40" s="37"/>
      <c r="L40" s="37"/>
      <c r="M40" s="37"/>
      <c r="N40" s="37"/>
      <c r="O40" s="37"/>
      <c r="P40" s="37"/>
      <c r="Q40" s="50"/>
      <c r="R40" s="50"/>
      <c r="S40" s="46"/>
      <c r="T40" s="15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5.75" customHeight="1">
      <c r="A41" s="32" t="s">
        <v>57</v>
      </c>
      <c r="B41" s="24"/>
      <c r="C41" s="24"/>
      <c r="D41" s="26"/>
      <c r="E41" s="15"/>
      <c r="F41" s="15"/>
      <c r="G41" s="15"/>
      <c r="H41" s="15"/>
      <c r="I41" s="100"/>
      <c r="J41" s="37"/>
      <c r="K41" s="37"/>
      <c r="L41" s="37"/>
      <c r="M41" s="37"/>
      <c r="N41" s="37"/>
      <c r="O41" s="37"/>
      <c r="P41" s="37"/>
      <c r="Q41" s="46"/>
      <c r="R41" s="46"/>
      <c r="S41" s="54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15.75" customHeight="1">
      <c r="A42" s="38" t="s">
        <v>29</v>
      </c>
      <c r="B42" s="39" t="s">
        <v>1</v>
      </c>
      <c r="C42" s="39">
        <f>VLOOKUP(B16,O7:AA21,8,FALSE)/C20</f>
        <v>38.48837209302326</v>
      </c>
      <c r="D42" s="138" t="str">
        <f>IF(Q26&gt;=1,R29,IF(C42&lt;R25,"Compact",IF(C42&lt;R28,"Non compact","Slender")))</f>
        <v>Compact</v>
      </c>
      <c r="E42" s="15"/>
      <c r="F42" s="15"/>
      <c r="G42" s="15"/>
      <c r="H42" s="15"/>
      <c r="I42" s="100"/>
      <c r="J42" s="37"/>
      <c r="K42" s="37"/>
      <c r="L42" s="37"/>
      <c r="M42" s="37"/>
      <c r="N42" s="37"/>
      <c r="O42" s="37"/>
      <c r="P42" s="37"/>
      <c r="Q42" s="46"/>
      <c r="R42" s="46"/>
      <c r="S42" s="54"/>
      <c r="T42" s="54"/>
      <c r="U42" s="54"/>
      <c r="V42" s="54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15.75" customHeight="1">
      <c r="A43" s="38" t="s">
        <v>103</v>
      </c>
      <c r="B43" s="39" t="s">
        <v>1</v>
      </c>
      <c r="C43" s="39">
        <f>(C17/(2*C18))</f>
        <v>6.666666666666667</v>
      </c>
      <c r="D43" s="138" t="str">
        <f>IF(C43&lt;(16.9/(H8)^0.5),"Compact",IF(C43&lt;(23/(H8)^0.5),"Non compact","Slender"))</f>
        <v>Compact</v>
      </c>
      <c r="E43" s="15"/>
      <c r="F43" s="15"/>
      <c r="G43" s="15"/>
      <c r="H43" s="15"/>
      <c r="I43" s="100"/>
      <c r="J43" s="37"/>
      <c r="K43" s="37"/>
      <c r="L43" s="37"/>
      <c r="M43" s="37"/>
      <c r="N43" s="37"/>
      <c r="O43" s="37"/>
      <c r="P43" s="37"/>
      <c r="Q43" s="46"/>
      <c r="R43" s="46"/>
      <c r="S43" s="54"/>
      <c r="T43" s="54"/>
      <c r="U43" s="54"/>
      <c r="V43" s="54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15.75" customHeight="1">
      <c r="A44" s="144" t="s">
        <v>28</v>
      </c>
      <c r="B44" s="138" t="str">
        <f>IF(AND(D42="Compact",D43="Compact"),"Compact",IF(AND(D42&lt;&gt;"Slender",D43&lt;&gt;"Slender",OR(D42="Non compact",D43="Non compact")),"Non compact","Slender"))</f>
        <v>Compact</v>
      </c>
      <c r="C44" s="23"/>
      <c r="D44" s="26"/>
      <c r="E44" s="15"/>
      <c r="F44" s="15"/>
      <c r="G44" s="15"/>
      <c r="H44" s="15"/>
      <c r="I44" s="100"/>
      <c r="J44" s="37"/>
      <c r="K44" s="37"/>
      <c r="L44" s="37"/>
      <c r="M44" s="37"/>
      <c r="N44" s="37"/>
      <c r="O44" s="37"/>
      <c r="P44" s="37"/>
      <c r="Q44" s="15"/>
      <c r="R44" s="15" t="s">
        <v>124</v>
      </c>
      <c r="S44" s="50"/>
      <c r="T44" s="54"/>
      <c r="U44" s="54"/>
      <c r="V44" s="54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15.75" customHeight="1">
      <c r="A45" s="55"/>
      <c r="B45" s="23"/>
      <c r="C45" s="23"/>
      <c r="D45" s="26"/>
      <c r="E45" s="15"/>
      <c r="F45" s="15"/>
      <c r="G45" s="15"/>
      <c r="H45" s="15"/>
      <c r="I45" s="100"/>
      <c r="J45" s="37"/>
      <c r="K45" s="37"/>
      <c r="L45" s="37"/>
      <c r="M45" s="37"/>
      <c r="N45" s="37"/>
      <c r="O45" s="37"/>
      <c r="P45" s="37"/>
      <c r="Q45" s="15"/>
      <c r="R45" s="15" t="s">
        <v>25</v>
      </c>
      <c r="S45" s="50"/>
      <c r="T45" s="54"/>
      <c r="U45" s="54"/>
      <c r="V45" s="54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15.75" customHeight="1">
      <c r="A46" s="32" t="s">
        <v>58</v>
      </c>
      <c r="B46" s="33"/>
      <c r="C46" s="26"/>
      <c r="D46" s="26"/>
      <c r="E46" s="83"/>
      <c r="F46" s="83"/>
      <c r="G46" s="83"/>
      <c r="H46" s="83"/>
      <c r="I46" s="100"/>
      <c r="J46" s="37"/>
      <c r="K46" s="37"/>
      <c r="L46" s="37"/>
      <c r="M46" s="37"/>
      <c r="N46" s="37"/>
      <c r="O46" s="37"/>
      <c r="P46" s="37"/>
      <c r="Q46" s="15"/>
      <c r="R46" s="15"/>
      <c r="S46" s="50"/>
      <c r="T46" s="54"/>
      <c r="U46" s="54"/>
      <c r="V46" s="54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15.75" customHeight="1">
      <c r="A47" s="29" t="s">
        <v>30</v>
      </c>
      <c r="B47" s="33" t="s">
        <v>1</v>
      </c>
      <c r="C47" s="33">
        <f>C10*100/C37</f>
        <v>0.8620689655172413</v>
      </c>
      <c r="D47" s="26" t="s">
        <v>14</v>
      </c>
      <c r="E47" s="83"/>
      <c r="F47" s="83"/>
      <c r="G47" s="30"/>
      <c r="H47" s="33"/>
      <c r="I47" s="103"/>
      <c r="J47" s="33"/>
      <c r="K47" s="33"/>
      <c r="L47" s="33"/>
      <c r="M47" s="33"/>
      <c r="N47" s="33"/>
      <c r="O47" s="33"/>
      <c r="P47" s="33"/>
      <c r="Q47" s="26"/>
      <c r="R47" s="15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15.75" customHeight="1" thickBot="1">
      <c r="A48" s="142" t="s">
        <v>16</v>
      </c>
      <c r="B48" s="143" t="s">
        <v>1</v>
      </c>
      <c r="C48" s="143">
        <f>C11/C34</f>
        <v>0.1301775147928994</v>
      </c>
      <c r="D48" s="40" t="s">
        <v>14</v>
      </c>
      <c r="E48" s="40"/>
      <c r="F48" s="40"/>
      <c r="G48" s="149"/>
      <c r="H48" s="40"/>
      <c r="I48" s="102"/>
      <c r="J48" s="37"/>
      <c r="K48" s="37"/>
      <c r="L48" s="37"/>
      <c r="M48" s="37"/>
      <c r="N48" s="37"/>
      <c r="O48" s="37"/>
      <c r="P48" s="37"/>
      <c r="Q48" s="15"/>
      <c r="R48" s="15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15.75" customHeight="1">
      <c r="A49" s="145" t="s">
        <v>66</v>
      </c>
      <c r="B49" s="146" t="s">
        <v>1</v>
      </c>
      <c r="C49" s="147">
        <v>1.3</v>
      </c>
      <c r="D49" s="41"/>
      <c r="E49" s="41"/>
      <c r="F49" s="41"/>
      <c r="G49" s="41"/>
      <c r="H49" s="41"/>
      <c r="I49" s="148"/>
      <c r="J49" s="37"/>
      <c r="K49" s="37"/>
      <c r="L49" s="37"/>
      <c r="M49" s="37"/>
      <c r="N49" s="37"/>
      <c r="O49" s="37"/>
      <c r="P49" s="37"/>
      <c r="Q49" s="15"/>
      <c r="R49" s="15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15.75" customHeight="1">
      <c r="A50" s="166" t="s">
        <v>11</v>
      </c>
      <c r="B50" s="167" t="s">
        <v>1</v>
      </c>
      <c r="C50" s="26" t="s">
        <v>26</v>
      </c>
      <c r="D50" s="26"/>
      <c r="E50" s="15"/>
      <c r="F50" s="30">
        <f>(20*(C17/1000))/(2.4^0.5)</f>
        <v>2.3237900077244498</v>
      </c>
      <c r="G50" s="26" t="s">
        <v>0</v>
      </c>
      <c r="H50" s="163">
        <f>MIN(F50,F51)</f>
        <v>2.3237900077244498</v>
      </c>
      <c r="I50" s="164" t="s">
        <v>0</v>
      </c>
      <c r="J50" s="114"/>
      <c r="K50" s="114"/>
      <c r="L50" s="114"/>
      <c r="M50" s="114"/>
      <c r="N50" s="114"/>
      <c r="O50" s="37"/>
      <c r="P50" s="37"/>
      <c r="Q50" s="15"/>
      <c r="R50" s="30" t="s">
        <v>118</v>
      </c>
      <c r="S50" s="30" t="s">
        <v>1</v>
      </c>
      <c r="T50" s="125">
        <f>IF(H53="no",MIN((800*C49*C17*C18)/(1000*(C19-2*C18)*C26),0.58*H8),MIN((800*C49*C17*C18)/(1000*(C19-2*C18)*C29),0.58*H8))</f>
        <v>1.392</v>
      </c>
      <c r="U50" s="26" t="s">
        <v>14</v>
      </c>
      <c r="V50" s="48" t="s">
        <v>119</v>
      </c>
      <c r="W50" s="48" t="s">
        <v>1</v>
      </c>
      <c r="X50" s="47">
        <f>((C18*C17^3/12)+(C19*C20^3/36))/10000</f>
        <v>656.8067288888889</v>
      </c>
      <c r="Y50" s="26" t="s">
        <v>15</v>
      </c>
      <c r="Z50" s="50"/>
      <c r="AA50" s="50"/>
      <c r="AB50" s="50"/>
      <c r="AC50" s="50"/>
      <c r="AD50" s="50"/>
      <c r="AE50" s="50"/>
    </row>
    <row r="51" spans="1:31" ht="15.75" customHeight="1">
      <c r="A51" s="166"/>
      <c r="B51" s="167"/>
      <c r="C51" s="26" t="s">
        <v>27</v>
      </c>
      <c r="D51" s="26"/>
      <c r="E51" s="26"/>
      <c r="F51" s="33">
        <f>(1380*C49*(C17*C18/100)/(2.4*10*C19))</f>
        <v>4.541062500000001</v>
      </c>
      <c r="G51" s="26" t="s">
        <v>0</v>
      </c>
      <c r="H51" s="163"/>
      <c r="I51" s="164"/>
      <c r="J51" s="114"/>
      <c r="K51" s="114"/>
      <c r="L51" s="114"/>
      <c r="M51" s="114"/>
      <c r="N51" s="114"/>
      <c r="O51" s="37"/>
      <c r="P51" s="37"/>
      <c r="Q51" s="30"/>
      <c r="R51" s="30" t="s">
        <v>120</v>
      </c>
      <c r="S51" s="30" t="s">
        <v>1</v>
      </c>
      <c r="T51" s="48">
        <f>(C18*C17+C20*C19/6)/100</f>
        <v>30.033333333333335</v>
      </c>
      <c r="U51" s="26" t="s">
        <v>12</v>
      </c>
      <c r="V51" s="48" t="s">
        <v>18</v>
      </c>
      <c r="W51" s="48" t="s">
        <v>1</v>
      </c>
      <c r="X51" s="47">
        <f>(X50/T51)^0.5</f>
        <v>4.67645789605446</v>
      </c>
      <c r="Y51" s="26" t="s">
        <v>6</v>
      </c>
      <c r="Z51" s="50"/>
      <c r="AA51" s="50"/>
      <c r="AB51" s="50"/>
      <c r="AC51" s="50"/>
      <c r="AD51" s="50"/>
      <c r="AE51" s="50"/>
    </row>
    <row r="52" spans="1:31" ht="15.75" customHeight="1">
      <c r="A52" s="29"/>
      <c r="B52" s="26" t="s">
        <v>101</v>
      </c>
      <c r="C52" s="26"/>
      <c r="D52" s="26"/>
      <c r="E52" s="26"/>
      <c r="F52" s="140" t="str">
        <f>IF(H53="no",IF(H50&gt;C26,"No L.T.B","There is L.T.B"),IF(H50&gt;C29,"No L.T.B","There is L.T.B"))</f>
        <v>There is L.T.B</v>
      </c>
      <c r="G52" s="36"/>
      <c r="H52" s="26"/>
      <c r="I52" s="99"/>
      <c r="J52" s="26"/>
      <c r="K52" s="26"/>
      <c r="L52" s="26"/>
      <c r="M52" s="26"/>
      <c r="N52" s="26"/>
      <c r="O52" s="26"/>
      <c r="P52" s="26"/>
      <c r="Q52" s="30"/>
      <c r="R52" s="30" t="s">
        <v>20</v>
      </c>
      <c r="S52" s="30" t="s">
        <v>1</v>
      </c>
      <c r="T52" s="48">
        <f>IF(H53="no",C26*100/X51,C29*100/X51)</f>
        <v>53.45926458803909</v>
      </c>
      <c r="U52" s="47"/>
      <c r="V52" s="48">
        <f>84*(C49/H8)^0.5</f>
        <v>61.822326064294934</v>
      </c>
      <c r="W52" s="48">
        <f>188*(C49/H8)^0.5</f>
        <v>138.3642535724696</v>
      </c>
      <c r="X52" s="47"/>
      <c r="Y52" s="26"/>
      <c r="Z52" s="50"/>
      <c r="AA52" s="50"/>
      <c r="AB52" s="50"/>
      <c r="AC52" s="50"/>
      <c r="AD52" s="50"/>
      <c r="AE52" s="50"/>
    </row>
    <row r="53" spans="1:31" ht="15.75" customHeight="1">
      <c r="A53" s="29" t="s">
        <v>23</v>
      </c>
      <c r="B53" s="30" t="s">
        <v>1</v>
      </c>
      <c r="C53" s="30">
        <f>IF(F52="No L.T.B",T59,T57)</f>
        <v>1.392</v>
      </c>
      <c r="D53" s="26" t="s">
        <v>14</v>
      </c>
      <c r="E53" s="26"/>
      <c r="F53" s="165" t="s">
        <v>24</v>
      </c>
      <c r="G53" s="165"/>
      <c r="H53" s="13" t="s">
        <v>25</v>
      </c>
      <c r="I53" s="104"/>
      <c r="J53" s="132"/>
      <c r="K53" s="132"/>
      <c r="L53" s="132"/>
      <c r="M53" s="132"/>
      <c r="N53" s="132"/>
      <c r="O53" s="26"/>
      <c r="P53" s="26"/>
      <c r="Q53" s="30"/>
      <c r="R53" s="30" t="s">
        <v>19</v>
      </c>
      <c r="S53" s="30" t="s">
        <v>1</v>
      </c>
      <c r="T53" s="48">
        <f>0.58*H8</f>
        <v>1.392</v>
      </c>
      <c r="U53" s="26" t="s">
        <v>14</v>
      </c>
      <c r="V53" s="48"/>
      <c r="W53" s="48"/>
      <c r="X53" s="47"/>
      <c r="Y53" s="26"/>
      <c r="Z53" s="50"/>
      <c r="AA53" s="50"/>
      <c r="AB53" s="50"/>
      <c r="AC53" s="50"/>
      <c r="AD53" s="50"/>
      <c r="AE53" s="50"/>
    </row>
    <row r="54" spans="1:31" ht="15.75" customHeight="1">
      <c r="A54" s="29" t="s">
        <v>31</v>
      </c>
      <c r="B54" s="30" t="s">
        <v>1</v>
      </c>
      <c r="C54" s="30">
        <f>C53</f>
        <v>1.392</v>
      </c>
      <c r="D54" s="26" t="s">
        <v>14</v>
      </c>
      <c r="E54" s="26"/>
      <c r="F54" s="42"/>
      <c r="G54" s="36"/>
      <c r="H54" s="26"/>
      <c r="I54" s="99"/>
      <c r="J54" s="26"/>
      <c r="K54" s="26"/>
      <c r="L54" s="26"/>
      <c r="M54" s="26"/>
      <c r="N54" s="26"/>
      <c r="O54" s="26"/>
      <c r="P54" s="26"/>
      <c r="Q54" s="30"/>
      <c r="R54" s="30" t="s">
        <v>21</v>
      </c>
      <c r="S54" s="30" t="s">
        <v>1</v>
      </c>
      <c r="T54" s="48">
        <f>MIN(ABS((0.64-((T52^2*H8)/(1.176*10^5*C49)))*H8),0.58*H8)</f>
        <v>1.392</v>
      </c>
      <c r="U54" s="26" t="s">
        <v>14</v>
      </c>
      <c r="V54" s="48"/>
      <c r="W54" s="48"/>
      <c r="X54" s="49"/>
      <c r="Y54" s="26"/>
      <c r="Z54" s="50"/>
      <c r="AA54" s="50"/>
      <c r="AB54" s="50"/>
      <c r="AC54" s="50"/>
      <c r="AD54" s="50"/>
      <c r="AE54" s="50"/>
    </row>
    <row r="55" spans="1:31" ht="15.75" customHeight="1">
      <c r="A55" s="29"/>
      <c r="B55" s="30"/>
      <c r="C55" s="87"/>
      <c r="D55" s="26"/>
      <c r="E55" s="26"/>
      <c r="F55" s="26"/>
      <c r="G55" s="26"/>
      <c r="H55" s="26"/>
      <c r="I55" s="100"/>
      <c r="J55" s="37"/>
      <c r="K55" s="37"/>
      <c r="L55" s="37"/>
      <c r="M55" s="37"/>
      <c r="N55" s="37"/>
      <c r="O55" s="37"/>
      <c r="P55" s="37"/>
      <c r="Q55" s="30"/>
      <c r="R55" s="30" t="s">
        <v>22</v>
      </c>
      <c r="S55" s="30" t="s">
        <v>1</v>
      </c>
      <c r="T55" s="48">
        <f>MIN((12000*C49)/T52^2,0.58*H8)</f>
        <v>1.392</v>
      </c>
      <c r="U55" s="26" t="s">
        <v>14</v>
      </c>
      <c r="V55" s="48"/>
      <c r="W55" s="48"/>
      <c r="X55" s="47"/>
      <c r="Y55" s="47"/>
      <c r="Z55" s="50"/>
      <c r="AA55" s="50"/>
      <c r="AB55" s="50"/>
      <c r="AC55" s="50"/>
      <c r="AD55" s="50"/>
      <c r="AE55" s="50"/>
    </row>
    <row r="56" spans="1:31" ht="15.75" customHeight="1">
      <c r="A56" s="29"/>
      <c r="B56" s="30"/>
      <c r="C56" s="33"/>
      <c r="D56" s="26"/>
      <c r="E56" s="26"/>
      <c r="F56" s="26"/>
      <c r="G56" s="26"/>
      <c r="H56" s="26"/>
      <c r="I56" s="100"/>
      <c r="J56" s="37"/>
      <c r="K56" s="37"/>
      <c r="L56" s="37"/>
      <c r="M56" s="37"/>
      <c r="N56" s="37"/>
      <c r="O56" s="37"/>
      <c r="P56" s="37"/>
      <c r="Q56" s="30"/>
      <c r="R56" s="30" t="s">
        <v>121</v>
      </c>
      <c r="S56" s="30" t="s">
        <v>1</v>
      </c>
      <c r="T56" s="48">
        <f>IF(T52&lt;V52,T53,IF(AND(T52&gt;V52,T52&lt;W52),T54,T55))</f>
        <v>1.392</v>
      </c>
      <c r="U56" s="26" t="s">
        <v>14</v>
      </c>
      <c r="V56" s="30"/>
      <c r="W56" s="30"/>
      <c r="X56" s="48"/>
      <c r="Y56" s="26"/>
      <c r="Z56" s="50"/>
      <c r="AA56" s="50"/>
      <c r="AB56" s="50"/>
      <c r="AC56" s="50"/>
      <c r="AD56" s="50"/>
      <c r="AE56" s="50"/>
    </row>
    <row r="57" spans="1:31" ht="15.75" customHeight="1">
      <c r="A57" s="29" t="s">
        <v>126</v>
      </c>
      <c r="B57" s="30" t="s">
        <v>1</v>
      </c>
      <c r="C57" s="12">
        <v>2</v>
      </c>
      <c r="D57" s="26" t="s">
        <v>125</v>
      </c>
      <c r="E57" s="26"/>
      <c r="F57" s="26"/>
      <c r="G57" s="26"/>
      <c r="H57" s="26"/>
      <c r="I57" s="100"/>
      <c r="J57" s="37"/>
      <c r="K57" s="37"/>
      <c r="L57" s="37"/>
      <c r="M57" s="37"/>
      <c r="N57" s="37"/>
      <c r="O57" s="37"/>
      <c r="P57" s="37"/>
      <c r="Q57" s="15"/>
      <c r="R57" s="30" t="s">
        <v>23</v>
      </c>
      <c r="S57" s="30" t="s">
        <v>1</v>
      </c>
      <c r="T57" s="48">
        <f>MIN((T50^2+T56^2)^0.5,0.58*H8)</f>
        <v>1.392</v>
      </c>
      <c r="U57" s="26" t="s">
        <v>14</v>
      </c>
      <c r="V57" s="26"/>
      <c r="W57" s="47"/>
      <c r="X57" s="47"/>
      <c r="Y57" s="47"/>
      <c r="Z57" s="50"/>
      <c r="AA57" s="50"/>
      <c r="AB57" s="50"/>
      <c r="AC57" s="50"/>
      <c r="AD57" s="50"/>
      <c r="AE57" s="50"/>
    </row>
    <row r="58" spans="1:31" ht="15.75" customHeight="1">
      <c r="A58" s="29" t="s">
        <v>127</v>
      </c>
      <c r="B58" s="30" t="s">
        <v>1</v>
      </c>
      <c r="C58" s="12">
        <v>1</v>
      </c>
      <c r="D58" s="26"/>
      <c r="E58" s="26"/>
      <c r="F58" s="26"/>
      <c r="G58" s="26"/>
      <c r="H58" s="26"/>
      <c r="I58" s="100"/>
      <c r="J58" s="37"/>
      <c r="K58" s="37"/>
      <c r="L58" s="37"/>
      <c r="M58" s="37"/>
      <c r="N58" s="37"/>
      <c r="O58" s="37"/>
      <c r="P58" s="37"/>
      <c r="Q58" s="15"/>
      <c r="R58" s="30"/>
      <c r="S58" s="30"/>
      <c r="T58" s="48"/>
      <c r="U58" s="26"/>
      <c r="V58" s="26"/>
      <c r="W58" s="47"/>
      <c r="X58" s="47"/>
      <c r="Y58" s="47"/>
      <c r="Z58" s="50"/>
      <c r="AA58" s="50"/>
      <c r="AB58" s="50"/>
      <c r="AC58" s="50"/>
      <c r="AD58" s="50"/>
      <c r="AE58" s="50"/>
    </row>
    <row r="59" spans="1:31" ht="15.75" customHeight="1">
      <c r="A59" s="29" t="s">
        <v>17</v>
      </c>
      <c r="B59" s="33" t="s">
        <v>1</v>
      </c>
      <c r="C59" s="33">
        <f>C57*C27</f>
        <v>5</v>
      </c>
      <c r="D59" s="26" t="s">
        <v>0</v>
      </c>
      <c r="E59" s="26"/>
      <c r="F59" s="26"/>
      <c r="G59" s="43"/>
      <c r="H59" s="26"/>
      <c r="I59" s="100"/>
      <c r="J59" s="37"/>
      <c r="K59" s="37"/>
      <c r="L59" s="37"/>
      <c r="M59" s="37"/>
      <c r="N59" s="37"/>
      <c r="O59" s="37"/>
      <c r="P59" s="37"/>
      <c r="Q59" s="15"/>
      <c r="R59" s="30" t="s">
        <v>122</v>
      </c>
      <c r="S59" s="30" t="s">
        <v>1</v>
      </c>
      <c r="T59" s="30">
        <f>IF(B44="Compact",0.64*H8,0.58*H8)</f>
        <v>1.536</v>
      </c>
      <c r="U59" s="26" t="s">
        <v>14</v>
      </c>
      <c r="V59" s="30"/>
      <c r="W59" s="30"/>
      <c r="X59" s="30"/>
      <c r="Y59" s="26"/>
      <c r="Z59" s="50"/>
      <c r="AA59" s="50"/>
      <c r="AB59" s="50"/>
      <c r="AC59" s="50"/>
      <c r="AD59" s="50"/>
      <c r="AE59" s="50"/>
    </row>
    <row r="60" spans="1:31" ht="15.75" customHeight="1">
      <c r="A60" s="88" t="s">
        <v>67</v>
      </c>
      <c r="B60" s="33" t="s">
        <v>1</v>
      </c>
      <c r="C60" s="89">
        <f>C28*C58</f>
        <v>2.5</v>
      </c>
      <c r="D60" s="37" t="s">
        <v>0</v>
      </c>
      <c r="E60" s="37"/>
      <c r="F60" s="37"/>
      <c r="G60" s="37"/>
      <c r="H60" s="37"/>
      <c r="I60" s="100"/>
      <c r="J60" s="37"/>
      <c r="K60" s="37"/>
      <c r="L60" s="37"/>
      <c r="M60" s="37"/>
      <c r="N60" s="37"/>
      <c r="O60" s="37"/>
      <c r="P60" s="37"/>
      <c r="Q60" s="15"/>
      <c r="R60" s="15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15.75" customHeight="1">
      <c r="A61" s="90" t="s">
        <v>68</v>
      </c>
      <c r="B61" s="33" t="s">
        <v>1</v>
      </c>
      <c r="C61" s="89">
        <f>C59*100/C38</f>
        <v>30.303030303030305</v>
      </c>
      <c r="D61" s="37"/>
      <c r="E61" s="37"/>
      <c r="F61" s="37"/>
      <c r="G61" s="37"/>
      <c r="H61" s="37"/>
      <c r="I61" s="100"/>
      <c r="J61" s="37"/>
      <c r="K61" s="37"/>
      <c r="L61" s="37"/>
      <c r="M61" s="37"/>
      <c r="N61" s="37"/>
      <c r="O61" s="37"/>
      <c r="P61" s="37"/>
      <c r="Q61" s="15"/>
      <c r="R61" s="15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15.75" customHeight="1">
      <c r="A62" s="90" t="s">
        <v>69</v>
      </c>
      <c r="B62" s="33" t="s">
        <v>1</v>
      </c>
      <c r="C62" s="89">
        <f>C60*100/C39</f>
        <v>63.291139240506325</v>
      </c>
      <c r="D62" s="37"/>
      <c r="E62" s="37"/>
      <c r="F62" s="37"/>
      <c r="G62" s="37"/>
      <c r="H62" s="35"/>
      <c r="I62" s="100"/>
      <c r="J62" s="37"/>
      <c r="K62" s="37"/>
      <c r="L62" s="37"/>
      <c r="M62" s="37"/>
      <c r="N62" s="37"/>
      <c r="O62" s="37"/>
      <c r="P62" s="37"/>
      <c r="Q62" s="15"/>
      <c r="R62" s="15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15.75" customHeight="1">
      <c r="A63" s="25"/>
      <c r="B63" s="26"/>
      <c r="C63" s="26"/>
      <c r="D63" s="91" t="s">
        <v>70</v>
      </c>
      <c r="E63" s="92" t="s">
        <v>1</v>
      </c>
      <c r="F63" s="89">
        <f>MAX(C61,C62)</f>
        <v>63.291139240506325</v>
      </c>
      <c r="G63" s="37" t="s">
        <v>9</v>
      </c>
      <c r="H63" s="139" t="str">
        <f>IF(AND(F63&lt;180),"SAFE","Unsafe")</f>
        <v>SAFE</v>
      </c>
      <c r="I63" s="100"/>
      <c r="J63" s="37"/>
      <c r="K63" s="37"/>
      <c r="L63" s="37"/>
      <c r="M63" s="37"/>
      <c r="N63" s="37"/>
      <c r="O63" s="37"/>
      <c r="P63" s="37"/>
      <c r="Q63" s="15"/>
      <c r="R63" s="15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15.75" customHeight="1">
      <c r="A64" s="88" t="s">
        <v>104</v>
      </c>
      <c r="B64" s="33" t="s">
        <v>1</v>
      </c>
      <c r="C64" s="33">
        <f>IF(AND(F63&lt;100),(P3-Q3*(F63)^2),(7500/(F63)^2))</f>
        <v>1.1396250600865245</v>
      </c>
      <c r="D64" s="37" t="s">
        <v>71</v>
      </c>
      <c r="E64" s="37"/>
      <c r="F64" s="37"/>
      <c r="G64" s="37"/>
      <c r="H64" s="37"/>
      <c r="I64" s="100"/>
      <c r="J64" s="37"/>
      <c r="K64" s="37"/>
      <c r="L64" s="37"/>
      <c r="M64" s="37"/>
      <c r="N64" s="37"/>
      <c r="O64" s="37"/>
      <c r="P64" s="37"/>
      <c r="Q64" s="15"/>
      <c r="R64" s="15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15.75" customHeight="1">
      <c r="A65" s="88" t="s">
        <v>105</v>
      </c>
      <c r="B65" s="33" t="s">
        <v>1</v>
      </c>
      <c r="C65" s="89">
        <f>C48/C64</f>
        <v>0.11422837155144329</v>
      </c>
      <c r="D65" s="37"/>
      <c r="E65" s="24"/>
      <c r="F65" s="24"/>
      <c r="G65" s="24"/>
      <c r="H65" s="37"/>
      <c r="I65" s="105"/>
      <c r="J65" s="93"/>
      <c r="K65" s="93"/>
      <c r="L65" s="93"/>
      <c r="M65" s="93"/>
      <c r="N65" s="93"/>
      <c r="O65" s="93"/>
      <c r="P65" s="93"/>
      <c r="Q65" s="15"/>
      <c r="R65" s="15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15.75" customHeight="1">
      <c r="A66" s="88" t="s">
        <v>72</v>
      </c>
      <c r="B66" s="33" t="s">
        <v>1</v>
      </c>
      <c r="C66" s="89" t="str">
        <f>IF(AND(C65&lt;0.15),"1.00",MAX(((1/(1-C48/(7500/(C61)^2)))),1))</f>
        <v>1.00</v>
      </c>
      <c r="D66" s="26"/>
      <c r="E66" s="26"/>
      <c r="F66" s="26"/>
      <c r="G66" s="26"/>
      <c r="H66" s="26"/>
      <c r="I66" s="105"/>
      <c r="J66" s="93"/>
      <c r="K66" s="93"/>
      <c r="L66" s="93"/>
      <c r="M66" s="93"/>
      <c r="N66" s="93"/>
      <c r="O66" s="93"/>
      <c r="P66" s="93"/>
      <c r="Q66" s="15"/>
      <c r="R66" s="15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15.75" customHeight="1">
      <c r="A67" s="88"/>
      <c r="B67" s="33"/>
      <c r="C67" s="89"/>
      <c r="D67" s="37"/>
      <c r="E67" s="30"/>
      <c r="F67" s="33"/>
      <c r="G67" s="26"/>
      <c r="H67" s="37"/>
      <c r="I67" s="106"/>
      <c r="J67" s="94"/>
      <c r="K67" s="94"/>
      <c r="L67" s="94"/>
      <c r="M67" s="94"/>
      <c r="N67" s="94"/>
      <c r="O67" s="94"/>
      <c r="P67" s="94"/>
      <c r="Q67" s="15"/>
      <c r="R67" s="15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15.75" customHeight="1">
      <c r="A68" s="88"/>
      <c r="B68" s="31"/>
      <c r="C68" s="37"/>
      <c r="D68" s="37"/>
      <c r="E68" s="30"/>
      <c r="F68" s="33"/>
      <c r="G68" s="26"/>
      <c r="H68" s="37"/>
      <c r="I68" s="106"/>
      <c r="J68" s="94"/>
      <c r="K68" s="94"/>
      <c r="L68" s="94"/>
      <c r="M68" s="94"/>
      <c r="N68" s="94"/>
      <c r="O68" s="94"/>
      <c r="P68" s="94"/>
      <c r="Q68" s="15"/>
      <c r="R68" s="15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15.75" customHeight="1">
      <c r="A69" s="44" t="s">
        <v>59</v>
      </c>
      <c r="B69" s="26"/>
      <c r="C69" s="26"/>
      <c r="D69" s="26"/>
      <c r="E69" s="30"/>
      <c r="F69" s="33"/>
      <c r="G69" s="26"/>
      <c r="H69" s="37"/>
      <c r="I69" s="106"/>
      <c r="J69" s="94"/>
      <c r="K69" s="94"/>
      <c r="L69" s="94"/>
      <c r="M69" s="94"/>
      <c r="N69" s="94"/>
      <c r="O69" s="94"/>
      <c r="P69" s="94"/>
      <c r="Q69" s="15"/>
      <c r="R69" s="15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15.75" customHeight="1">
      <c r="A70" s="88"/>
      <c r="B70" s="31"/>
      <c r="C70" s="37"/>
      <c r="D70" s="37"/>
      <c r="E70" s="30"/>
      <c r="F70" s="33"/>
      <c r="G70" s="26"/>
      <c r="H70" s="37"/>
      <c r="I70" s="16"/>
      <c r="J70" s="15"/>
      <c r="K70" s="15"/>
      <c r="L70" s="15"/>
      <c r="M70" s="15"/>
      <c r="N70" s="15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5.75" customHeight="1">
      <c r="A71" s="155" t="s">
        <v>106</v>
      </c>
      <c r="B71" s="15"/>
      <c r="C71" s="45">
        <f>C65+(C47/C54)*C66</f>
        <v>0.7335307893080822</v>
      </c>
      <c r="D71" s="33" t="str">
        <f>IF(C71&gt;E71,"&gt;","&lt;")</f>
        <v>&lt;</v>
      </c>
      <c r="E71" s="95">
        <f>IF(C7="a",1,1.2)</f>
        <v>1</v>
      </c>
      <c r="H71" s="139" t="str">
        <f>IF(AND(C71&lt;E71),"SAFE","Unsafe")</f>
        <v>SAFE</v>
      </c>
      <c r="I71" s="107"/>
      <c r="J71" s="128"/>
      <c r="K71" s="128"/>
      <c r="L71" s="128"/>
      <c r="M71" s="128"/>
      <c r="N71" s="128"/>
      <c r="O71" s="111"/>
      <c r="P71" s="111"/>
      <c r="Q71" s="112"/>
      <c r="R71" s="113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5.75" customHeight="1">
      <c r="A72" s="55"/>
      <c r="B72" s="15"/>
      <c r="C72" s="15"/>
      <c r="D72" s="15"/>
      <c r="E72" s="15"/>
      <c r="F72" s="15"/>
      <c r="G72" s="15"/>
      <c r="H72" s="15"/>
      <c r="I72" s="16"/>
      <c r="J72" s="15"/>
      <c r="K72" s="15"/>
      <c r="L72" s="15"/>
      <c r="M72" s="15"/>
      <c r="N72" s="15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5.75" customHeight="1">
      <c r="A73" s="55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ht="15.75" customHeight="1">
      <c r="A74" s="55"/>
      <c r="B74" s="15"/>
      <c r="C74" s="15"/>
      <c r="D74" s="15"/>
      <c r="E74" s="15"/>
      <c r="F74" s="15"/>
      <c r="G74" s="15"/>
      <c r="H74" s="15"/>
      <c r="I74" s="16"/>
      <c r="J74" s="15"/>
      <c r="K74" s="15"/>
      <c r="L74" s="15"/>
      <c r="M74" s="15"/>
      <c r="N74" s="1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</row>
    <row r="75" spans="1:31" ht="15.75" customHeight="1">
      <c r="A75" s="55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ht="15.75" customHeight="1">
      <c r="A76" s="55"/>
      <c r="B76" s="15"/>
      <c r="C76" s="15"/>
      <c r="D76" s="15"/>
      <c r="E76" s="15"/>
      <c r="F76" s="15"/>
      <c r="G76" s="15"/>
      <c r="H76" s="15"/>
      <c r="I76" s="16"/>
      <c r="J76" s="15"/>
      <c r="K76" s="15"/>
      <c r="L76" s="15"/>
      <c r="M76" s="15"/>
      <c r="N76" s="15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ht="15.75" customHeight="1">
      <c r="A77" s="55"/>
      <c r="B77" s="15"/>
      <c r="C77" s="15"/>
      <c r="D77" s="15"/>
      <c r="E77" s="15"/>
      <c r="F77" s="15"/>
      <c r="G77" s="15"/>
      <c r="H77" s="15"/>
      <c r="I77" s="16"/>
      <c r="J77" s="15"/>
      <c r="K77" s="15"/>
      <c r="L77" s="15"/>
      <c r="M77" s="15"/>
      <c r="N77" s="15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ht="15.75" customHeight="1">
      <c r="A78" s="55"/>
      <c r="B78" s="15"/>
      <c r="C78" s="15"/>
      <c r="D78" s="15"/>
      <c r="E78" s="15"/>
      <c r="F78" s="15"/>
      <c r="G78" s="15"/>
      <c r="H78" s="15"/>
      <c r="I78" s="16"/>
      <c r="J78" s="15"/>
      <c r="K78" s="15"/>
      <c r="L78" s="15"/>
      <c r="M78" s="15"/>
      <c r="N78" s="1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</row>
    <row r="79" spans="1:31" ht="15.75" customHeight="1">
      <c r="A79" s="55"/>
      <c r="B79" s="15"/>
      <c r="C79" s="15"/>
      <c r="D79" s="15"/>
      <c r="E79" s="15"/>
      <c r="F79" s="15"/>
      <c r="G79" s="15"/>
      <c r="H79" s="15"/>
      <c r="I79" s="16"/>
      <c r="J79" s="15"/>
      <c r="K79" s="15"/>
      <c r="L79" s="15"/>
      <c r="M79" s="15"/>
      <c r="N79" s="15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15.75" customHeight="1">
      <c r="A80" s="55"/>
      <c r="B80" s="15"/>
      <c r="C80" s="15"/>
      <c r="D80" s="15"/>
      <c r="E80" s="15"/>
      <c r="F80" s="15"/>
      <c r="G80" s="15"/>
      <c r="H80" s="15"/>
      <c r="I80" s="16"/>
      <c r="J80" s="15"/>
      <c r="K80" s="15"/>
      <c r="L80" s="15"/>
      <c r="M80" s="15"/>
      <c r="N80" s="15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</row>
    <row r="81" spans="1:31" ht="15.75" customHeight="1">
      <c r="A81" s="55"/>
      <c r="B81" s="15"/>
      <c r="C81" s="15"/>
      <c r="D81" s="15"/>
      <c r="E81" s="15"/>
      <c r="F81" s="15"/>
      <c r="G81" s="15"/>
      <c r="H81" s="15"/>
      <c r="I81" s="16"/>
      <c r="J81" s="15"/>
      <c r="K81" s="15"/>
      <c r="L81" s="15"/>
      <c r="M81" s="15"/>
      <c r="N81" s="15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ht="15.75" customHeight="1">
      <c r="A82" s="55"/>
      <c r="B82" s="15"/>
      <c r="C82" s="15"/>
      <c r="D82" s="15"/>
      <c r="E82" s="15"/>
      <c r="F82" s="15"/>
      <c r="G82" s="15"/>
      <c r="H82" s="15"/>
      <c r="I82" s="16"/>
      <c r="J82" s="15"/>
      <c r="K82" s="15"/>
      <c r="L82" s="15"/>
      <c r="M82" s="15"/>
      <c r="N82" s="15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ht="15.75" customHeight="1">
      <c r="A83" s="55"/>
      <c r="B83" s="15"/>
      <c r="C83" s="15"/>
      <c r="D83" s="15"/>
      <c r="E83" s="15"/>
      <c r="F83" s="15"/>
      <c r="G83" s="15"/>
      <c r="H83" s="15"/>
      <c r="I83" s="16"/>
      <c r="J83" s="15"/>
      <c r="K83" s="15"/>
      <c r="L83" s="15"/>
      <c r="M83" s="15"/>
      <c r="N83" s="15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ht="15.75" customHeight="1">
      <c r="A84" s="55"/>
      <c r="B84" s="15"/>
      <c r="C84" s="15"/>
      <c r="D84" s="15"/>
      <c r="E84" s="15"/>
      <c r="F84" s="15"/>
      <c r="G84" s="15"/>
      <c r="H84" s="15"/>
      <c r="I84" s="16"/>
      <c r="J84" s="15"/>
      <c r="K84" s="15"/>
      <c r="L84" s="15"/>
      <c r="M84" s="15"/>
      <c r="N84" s="15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15.75" customHeight="1">
      <c r="A85" s="55"/>
      <c r="B85" s="15"/>
      <c r="C85" s="15"/>
      <c r="D85" s="15"/>
      <c r="E85" s="15"/>
      <c r="F85" s="15"/>
      <c r="G85" s="15"/>
      <c r="H85" s="15"/>
      <c r="I85" s="16"/>
      <c r="J85" s="15"/>
      <c r="K85" s="15"/>
      <c r="L85" s="15"/>
      <c r="M85" s="15"/>
      <c r="N85" s="15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5.75" customHeight="1">
      <c r="A86" s="55"/>
      <c r="B86" s="15"/>
      <c r="C86" s="15"/>
      <c r="D86" s="15"/>
      <c r="E86" s="15"/>
      <c r="F86" s="15"/>
      <c r="G86" s="15"/>
      <c r="H86" s="15"/>
      <c r="I86" s="16"/>
      <c r="J86" s="15"/>
      <c r="K86" s="15"/>
      <c r="L86" s="15"/>
      <c r="M86" s="15"/>
      <c r="N86" s="15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5.75" customHeight="1">
      <c r="A87" s="55"/>
      <c r="B87" s="15"/>
      <c r="C87" s="15"/>
      <c r="D87" s="15"/>
      <c r="E87" s="15"/>
      <c r="F87" s="15"/>
      <c r="G87" s="15"/>
      <c r="H87" s="15"/>
      <c r="I87" s="16"/>
      <c r="J87" s="15"/>
      <c r="K87" s="15"/>
      <c r="L87" s="15"/>
      <c r="M87" s="15"/>
      <c r="N87" s="15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9" ht="15.75" customHeight="1">
      <c r="A88" s="151"/>
      <c r="I88" s="153"/>
    </row>
    <row r="89" spans="1:9" ht="15.75" customHeight="1">
      <c r="A89" s="151"/>
      <c r="I89" s="153"/>
    </row>
    <row r="90" spans="1:9" ht="15.75" customHeight="1">
      <c r="A90" s="151"/>
      <c r="I90" s="153"/>
    </row>
    <row r="91" spans="1:9" ht="15.75" customHeight="1">
      <c r="A91" s="151"/>
      <c r="I91" s="153"/>
    </row>
    <row r="92" spans="1:9" ht="15.75" customHeight="1">
      <c r="A92" s="151"/>
      <c r="I92" s="153"/>
    </row>
    <row r="93" spans="1:9" ht="15.75" customHeight="1" thickBot="1">
      <c r="A93" s="152"/>
      <c r="B93" s="150"/>
      <c r="C93" s="150"/>
      <c r="D93" s="150"/>
      <c r="E93" s="150"/>
      <c r="F93" s="150"/>
      <c r="G93" s="150"/>
      <c r="H93" s="150"/>
      <c r="I93" s="154"/>
    </row>
    <row r="94" ht="15.75" customHeight="1"/>
    <row r="95" ht="15.75" customHeight="1"/>
    <row r="96" ht="15.75" customHeight="1"/>
  </sheetData>
  <sheetProtection password="D98F" sheet="1" objects="1" scenarios="1"/>
  <mergeCells count="8">
    <mergeCell ref="F53:G53"/>
    <mergeCell ref="A50:A51"/>
    <mergeCell ref="B50:B51"/>
    <mergeCell ref="D1:G1"/>
    <mergeCell ref="H1:I2"/>
    <mergeCell ref="D2:G2"/>
    <mergeCell ref="H50:H51"/>
    <mergeCell ref="I50:I51"/>
  </mergeCells>
  <conditionalFormatting sqref="D42:D43 B44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1" operator="equal" stopIfTrue="1">
      <formula>"Slender"</formula>
    </cfRule>
  </conditionalFormatting>
  <conditionalFormatting sqref="H63 H71">
    <cfRule type="cellIs" priority="4" dxfId="0" operator="equal" stopIfTrue="1">
      <formula>"SAFE"</formula>
    </cfRule>
    <cfRule type="cellIs" priority="5" dxfId="1" operator="equal" stopIfTrue="1">
      <formula>"Unsafe"</formula>
    </cfRule>
  </conditionalFormatting>
  <dataValidations count="4">
    <dataValidation type="list" allowBlank="1" showInputMessage="1" showErrorMessage="1" sqref="B16">
      <formula1>$O$7:$O$21</formula1>
    </dataValidation>
    <dataValidation type="list" allowBlank="1" showInputMessage="1" showErrorMessage="1" sqref="B7">
      <formula1>$O$1:$O$2</formula1>
    </dataValidation>
    <dataValidation type="list" allowBlank="1" showInputMessage="1" showErrorMessage="1" sqref="G7">
      <formula1>$O$3:$O$5</formula1>
    </dataValidation>
    <dataValidation type="list" allowBlank="1" showInputMessage="1" showErrorMessage="1" sqref="H53">
      <formula1>$R$44:$R$45</formula1>
    </dataValidation>
  </dataValidations>
  <printOptions horizontalCentered="1" verticalCentered="1"/>
  <pageMargins left="0" right="0" top="1" bottom="1" header="0.5" footer="0.5"/>
  <pageSetup horizontalDpi="600" verticalDpi="600" orientation="portrait" paperSize="9" scale="90" r:id="rId4"/>
  <rowBreaks count="1" manualBreakCount="1">
    <brk id="48" max="8" man="1"/>
  </rowBreaks>
  <drawing r:id="rId3"/>
  <legacyDrawing r:id="rId2"/>
  <oleObjects>
    <oleObject progId="AutoCAD.Drawing.17" shapeId="7274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2009-02-11T10:59:36Z</cp:lastPrinted>
  <dcterms:created xsi:type="dcterms:W3CDTF">1997-10-17T07:03:38Z</dcterms:created>
  <dcterms:modified xsi:type="dcterms:W3CDTF">2010-02-10T12:18:27Z</dcterms:modified>
  <cp:category/>
  <cp:version/>
  <cp:contentType/>
  <cp:contentStatus/>
</cp:coreProperties>
</file>