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280" windowHeight="4695" activeTab="0"/>
  </bookViews>
  <sheets>
    <sheet name="ST1" sheetId="1" r:id="rId1"/>
    <sheet name="Sheet2" sheetId="2" r:id="rId2"/>
  </sheets>
  <definedNames>
    <definedName name="case">'ST1'!$C$41:$C$42</definedName>
    <definedName name="_xlnm.Print_Area" localSheetId="0">'ST1'!$B$2:$V$85</definedName>
  </definedNames>
  <calcPr fullCalcOnLoad="1"/>
</workbook>
</file>

<file path=xl/sharedStrings.xml><?xml version="1.0" encoding="utf-8"?>
<sst xmlns="http://schemas.openxmlformats.org/spreadsheetml/2006/main" count="188" uniqueCount="120">
  <si>
    <t>n</t>
  </si>
  <si>
    <t>k</t>
  </si>
  <si>
    <t>J</t>
  </si>
  <si>
    <t>R</t>
  </si>
  <si>
    <t xml:space="preserve"> Es/Ec</t>
  </si>
  <si>
    <t>=</t>
  </si>
  <si>
    <t xml:space="preserve"> 1/[1+fs/(n fc)]</t>
  </si>
  <si>
    <t xml:space="preserve"> 1 - k/3</t>
  </si>
  <si>
    <t>fc j k / 2</t>
  </si>
  <si>
    <t>A:</t>
  </si>
  <si>
    <t>B:</t>
  </si>
  <si>
    <t>C:</t>
  </si>
  <si>
    <t>D:</t>
  </si>
  <si>
    <t>E:</t>
  </si>
  <si>
    <t>F:</t>
  </si>
  <si>
    <t>G:</t>
  </si>
  <si>
    <t>H:</t>
  </si>
  <si>
    <t>I:</t>
  </si>
  <si>
    <t>:</t>
  </si>
  <si>
    <t>L/20</t>
  </si>
  <si>
    <t>L/24</t>
  </si>
  <si>
    <t>L/28</t>
  </si>
  <si>
    <t>Min  3·t or 0.30</t>
  </si>
  <si>
    <t>x</t>
  </si>
  <si>
    <t>h</t>
  </si>
  <si>
    <t>Mr</t>
  </si>
  <si>
    <t>Mmax</t>
  </si>
  <si>
    <t>As,Req</t>
  </si>
  <si>
    <r>
      <t>Rbd</t>
    </r>
    <r>
      <rPr>
        <vertAlign val="superscript"/>
        <sz val="8"/>
        <color indexed="8"/>
        <rFont val="Times New Roman"/>
        <family val="1"/>
      </rPr>
      <t>2</t>
    </r>
  </si>
  <si>
    <t xml:space="preserve">t = </t>
  </si>
  <si>
    <t>W =</t>
  </si>
  <si>
    <t>RB 9</t>
  </si>
  <si>
    <r>
      <t>WL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/8</t>
    </r>
  </si>
  <si>
    <t>f'c</t>
  </si>
  <si>
    <t>fc</t>
  </si>
  <si>
    <t>Ec</t>
  </si>
  <si>
    <t>fy</t>
  </si>
  <si>
    <t>fs</t>
  </si>
  <si>
    <t>Es</t>
  </si>
  <si>
    <t>โครงการ :</t>
  </si>
  <si>
    <t>รายการ :</t>
  </si>
  <si>
    <t>หน้า</t>
  </si>
  <si>
    <t>เจ้าของ :</t>
  </si>
  <si>
    <t>วิศวกรโครงสร้าง :</t>
  </si>
  <si>
    <t>ของ</t>
  </si>
  <si>
    <t>ที่ตั้ง :</t>
  </si>
  <si>
    <t>วันที่:</t>
  </si>
  <si>
    <t>ST1</t>
  </si>
  <si>
    <t>คุณสมบัติของวัสดุ</t>
  </si>
  <si>
    <t>คอนกรีต</t>
  </si>
  <si>
    <t>กำลังอัดประลัย</t>
  </si>
  <si>
    <t>หน่วยแรงอัดที่ยอมให้</t>
  </si>
  <si>
    <t>ตัวคูณลดกำลัง</t>
  </si>
  <si>
    <t>โมดูลัสยืดหยุ่น , 15210√f'c</t>
  </si>
  <si>
    <t>เหล็กเสริม</t>
  </si>
  <si>
    <t>ชั้นคุณภาพ   ("SD-xx or" SR-xx)</t>
  </si>
  <si>
    <t>กำลังคราก</t>
  </si>
  <si>
    <t>หน่วยแรงดึงที่ยอมให้</t>
  </si>
  <si>
    <t>โมดูลัสยืดหยุ่น</t>
  </si>
  <si>
    <t>พารามิเตอร์</t>
  </si>
  <si>
    <t xml:space="preserve"> กรณี 1</t>
  </si>
  <si>
    <t xml:space="preserve"> กรณี 2</t>
  </si>
  <si>
    <t xml:space="preserve"> กรณี 3</t>
  </si>
  <si>
    <t>ออกแบบบันได</t>
  </si>
  <si>
    <t>ตรวจสอบความลึกต่ำสุดในกรณีไม้ต้องตรวจสอบระยะโก่ง</t>
  </si>
  <si>
    <t>กรณี</t>
  </si>
  <si>
    <t>ชนิด</t>
  </si>
  <si>
    <t>ออกแบบขนาดบันได</t>
  </si>
  <si>
    <t xml:space="preserve">ความยาว,L </t>
  </si>
  <si>
    <t>ความกว้างลูกนอน,x</t>
  </si>
  <si>
    <t xml:space="preserve">ความกว้าง,B </t>
  </si>
  <si>
    <t>ความสูงลูกตั้ง,h</t>
  </si>
  <si>
    <t>ออกแบบความหนา, t</t>
  </si>
  <si>
    <t>ศูนย์ถ่วงของกลุ่มเหล็กเสริม, d'</t>
  </si>
  <si>
    <t>ความลึกประสิทธิผลที่ออกแบบ,d</t>
  </si>
  <si>
    <t>ความลึกประสิทธิผลที่ต้องการ</t>
  </si>
  <si>
    <t>ตรวจสอบ</t>
  </si>
  <si>
    <t>ออกแบบเหล็กเสริมหลัก</t>
  </si>
  <si>
    <t>ตำแหน่ง</t>
  </si>
  <si>
    <t>โมเมนต์ดัด</t>
  </si>
  <si>
    <t>ด้านสั้น</t>
  </si>
  <si>
    <t>น้ำหนักทั้งหมดถ่ายลงที่รองรับ</t>
  </si>
  <si>
    <t>รายละเอียดบันได</t>
  </si>
  <si>
    <t>ด้านสั้นทั้ง 2 ด้าน</t>
  </si>
  <si>
    <t>ใช้</t>
  </si>
  <si>
    <t>ที่มุมทุกมุม</t>
  </si>
  <si>
    <t>ออกแบบความหนาบันได</t>
  </si>
  <si>
    <t>น้ำหนักบรรทุกคงที่,นค.</t>
  </si>
  <si>
    <t>น้ำหนักบรรทุกจร,นจ.</t>
  </si>
  <si>
    <t>น้ำหนักตกแต่งพื้น</t>
  </si>
  <si>
    <t>น้ำหนักทั้งหมด ,W</t>
  </si>
  <si>
    <t>ออกแบบเหล็กเสริมต้านการยืดหด</t>
  </si>
  <si>
    <t>บันไดช่วงเดียว</t>
  </si>
  <si>
    <t>บันไดต่อเนื่องด้านเดียว</t>
  </si>
  <si>
    <t>บันไดต่อเนื่องสองด้าน</t>
  </si>
  <si>
    <t>มม.</t>
  </si>
  <si>
    <t>ม.</t>
  </si>
  <si>
    <t>กก./ตร.ซม.</t>
  </si>
  <si>
    <t>กก./ตร.ม.</t>
  </si>
  <si>
    <t>กก.-ม.</t>
  </si>
  <si>
    <t>ม. @</t>
  </si>
  <si>
    <t>ตร.ซม.</t>
  </si>
  <si>
    <t>ขนาดเหล็กเสริม, มม.</t>
  </si>
  <si>
    <t>Smin(0.0018/0.0020/0.0025)·b·t,@ ม.</t>
  </si>
  <si>
    <t>Min  3·t or 0.30 ,ม.</t>
  </si>
  <si>
    <t>Use Smin,@ม.</t>
  </si>
  <si>
    <t>ความหนาต่ำสุด,tmin,</t>
  </si>
  <si>
    <t>ความลึกต่ำสุด ,tmin</t>
  </si>
  <si>
    <t>ออกแบบบันไดท้องแบนคอนกรีตเสริมเหล็ก - วิธีหน่วยแรงใช้งาน</t>
  </si>
  <si>
    <t>นาย สุธีร์     แก้วคำ  สย.9698</t>
  </si>
  <si>
    <t>RB 9 มม. @0.15 ม.</t>
  </si>
  <si>
    <t>รายการคำนวณออกแบบ</t>
  </si>
  <si>
    <t>คอนกรีตเสริมเหล็ก</t>
  </si>
  <si>
    <t>SR-24</t>
  </si>
  <si>
    <t>บ้านพักอาศัยสองชั้น</t>
  </si>
  <si>
    <t>พ.ต.ท. ธงชัย ภัยพิทักษ์</t>
  </si>
  <si>
    <t>นนทบุรี</t>
  </si>
  <si>
    <t>น้ำหนักจร</t>
  </si>
  <si>
    <t>น้ำหนักบรรทุกคงที่</t>
  </si>
  <si>
    <t>กก./ม.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</si>
</sst>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m/d"/>
    <numFmt numFmtId="192" formatCode="[$-41E]d\ mmmm\ yyyy"/>
    <numFmt numFmtId="193" formatCode="[$-1010409]d\ mmmm\ yyyy;@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_ ;\-0.00\ "/>
    <numFmt numFmtId="206" formatCode="_-* #,##0.0_-;\-* #,##0.0_-;_-* &quot;-&quot;??_-;_-@_-"/>
    <numFmt numFmtId="207" formatCode="_-* #,##0_-;\-* #,##0_-;_-* &quot;-&quot;??_-;_-@_-"/>
    <numFmt numFmtId="208" formatCode="0.000_ ;\-0.000\ "/>
    <numFmt numFmtId="209" formatCode="0.0000_ ;\-0.0000\ "/>
    <numFmt numFmtId="210" formatCode="0#&quot;mm.&quot;"/>
    <numFmt numFmtId="211" formatCode="#&quot;mm.&quot;"/>
    <numFmt numFmtId="212" formatCode="#&quot;  mm.&quot;"/>
    <numFmt numFmtId="213" formatCode="_-* #,##0.000_-;\-* #,##0.000_-;_-* &quot;-&quot;??_-;_-@_-"/>
    <numFmt numFmtId="214" formatCode="#,##0.000"/>
    <numFmt numFmtId="215" formatCode="0.0_ ;\-0.0\ "/>
    <numFmt numFmtId="216" formatCode="0_ ;\-0\ "/>
    <numFmt numFmtId="217" formatCode="0.\ &quot;kg/m.&quot;"/>
    <numFmt numFmtId="218" formatCode="#&quot;  mm. @&quot;"/>
    <numFmt numFmtId="219" formatCode="#&quot;@ &quot;"/>
    <numFmt numFmtId="220" formatCode="&quot;@ &quot;#"/>
    <numFmt numFmtId="221" formatCode="&quot;@ &quot;#0.00"/>
    <numFmt numFmtId="222" formatCode="#,###&quot;  mm.&quot;"/>
    <numFmt numFmtId="223" formatCode="[$-101041E]d\ mmmm\ yyyy;@"/>
    <numFmt numFmtId="224" formatCode="#&quot;  มม.&quot;"/>
  </numFmts>
  <fonts count="65">
    <font>
      <sz val="16"/>
      <color theme="1"/>
      <name val="AngsanaUPC"/>
      <family val="2"/>
    </font>
    <font>
      <sz val="16"/>
      <color indexed="8"/>
      <name val="AngsanaUPC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.5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color indexed="9"/>
      <name val="AngsanaUPC"/>
      <family val="2"/>
    </font>
    <font>
      <sz val="16"/>
      <color indexed="20"/>
      <name val="AngsanaUPC"/>
      <family val="2"/>
    </font>
    <font>
      <b/>
      <sz val="16"/>
      <color indexed="52"/>
      <name val="AngsanaUPC"/>
      <family val="2"/>
    </font>
    <font>
      <b/>
      <sz val="16"/>
      <color indexed="9"/>
      <name val="AngsanaUPC"/>
      <family val="2"/>
    </font>
    <font>
      <i/>
      <sz val="16"/>
      <color indexed="23"/>
      <name val="AngsanaUPC"/>
      <family val="2"/>
    </font>
    <font>
      <sz val="16"/>
      <color indexed="17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62"/>
      <name val="AngsanaUPC"/>
      <family val="2"/>
    </font>
    <font>
      <sz val="16"/>
      <color indexed="52"/>
      <name val="AngsanaUPC"/>
      <family val="2"/>
    </font>
    <font>
      <sz val="16"/>
      <color indexed="60"/>
      <name val="AngsanaUPC"/>
      <family val="2"/>
    </font>
    <font>
      <b/>
      <sz val="16"/>
      <color indexed="63"/>
      <name val="AngsanaUPC"/>
      <family val="2"/>
    </font>
    <font>
      <b/>
      <sz val="18"/>
      <color indexed="56"/>
      <name val="Tahoma"/>
      <family val="2"/>
    </font>
    <font>
      <b/>
      <sz val="16"/>
      <color indexed="8"/>
      <name val="AngsanaUPC"/>
      <family val="2"/>
    </font>
    <font>
      <sz val="16"/>
      <color indexed="10"/>
      <name val="AngsanaUPC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14"/>
      <name val="Times New Roman"/>
      <family val="1"/>
    </font>
    <font>
      <sz val="9"/>
      <color indexed="8"/>
      <name val="Times New Roman"/>
      <family val="1"/>
    </font>
    <font>
      <b/>
      <sz val="8"/>
      <color indexed="12"/>
      <name val="Times New Roman"/>
      <family val="1"/>
    </font>
    <font>
      <sz val="7.5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6"/>
      <color theme="0"/>
      <name val="AngsanaUPC"/>
      <family val="2"/>
    </font>
    <font>
      <sz val="16"/>
      <color rgb="FF9C0006"/>
      <name val="AngsanaUPC"/>
      <family val="2"/>
    </font>
    <font>
      <b/>
      <sz val="16"/>
      <color rgb="FFFA7D00"/>
      <name val="AngsanaUPC"/>
      <family val="2"/>
    </font>
    <font>
      <b/>
      <sz val="16"/>
      <color theme="0"/>
      <name val="AngsanaUPC"/>
      <family val="2"/>
    </font>
    <font>
      <i/>
      <sz val="16"/>
      <color rgb="FF7F7F7F"/>
      <name val="AngsanaUPC"/>
      <family val="2"/>
    </font>
    <font>
      <sz val="16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rgb="FF3F3F76"/>
      <name val="AngsanaUPC"/>
      <family val="2"/>
    </font>
    <font>
      <sz val="16"/>
      <color rgb="FFFA7D00"/>
      <name val="AngsanaUPC"/>
      <family val="2"/>
    </font>
    <font>
      <sz val="16"/>
      <color rgb="FF9C6500"/>
      <name val="AngsanaUPC"/>
      <family val="2"/>
    </font>
    <font>
      <b/>
      <sz val="16"/>
      <color rgb="FF3F3F3F"/>
      <name val="AngsanaUPC"/>
      <family val="2"/>
    </font>
    <font>
      <b/>
      <sz val="18"/>
      <color theme="3"/>
      <name val="Cambria"/>
      <family val="2"/>
    </font>
    <font>
      <b/>
      <sz val="16"/>
      <color theme="1"/>
      <name val="AngsanaUPC"/>
      <family val="2"/>
    </font>
    <font>
      <sz val="16"/>
      <color rgb="FFFF0000"/>
      <name val="AngsanaUPC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2504EC"/>
      <name val="Times New Roman"/>
      <family val="1"/>
    </font>
    <font>
      <sz val="8"/>
      <color rgb="FF0000FF"/>
      <name val="Times New Roman"/>
      <family val="1"/>
    </font>
    <font>
      <b/>
      <sz val="8"/>
      <color rgb="FFFF0000"/>
      <name val="Times New Roman"/>
      <family val="1"/>
    </font>
    <font>
      <b/>
      <sz val="6"/>
      <color theme="1"/>
      <name val="Times New Roman"/>
      <family val="1"/>
    </font>
    <font>
      <b/>
      <sz val="8"/>
      <color rgb="FFFF00FF"/>
      <name val="Times New Roman"/>
      <family val="1"/>
    </font>
    <font>
      <sz val="9"/>
      <color theme="1"/>
      <name val="Times New Roman"/>
      <family val="1"/>
    </font>
    <font>
      <b/>
      <sz val="8"/>
      <color rgb="FF0000FF"/>
      <name val="Times New Roman"/>
      <family val="1"/>
    </font>
    <font>
      <b/>
      <sz val="8"/>
      <color rgb="FF2504EC"/>
      <name val="Times New Roman"/>
      <family val="1"/>
    </font>
    <font>
      <sz val="7.5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lightVertical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ashed">
        <color rgb="FF00B0F0"/>
      </left>
      <right>
        <color indexed="63"/>
      </right>
      <top style="dashed">
        <color rgb="FF00B0F0"/>
      </top>
      <bottom>
        <color indexed="63"/>
      </bottom>
    </border>
    <border>
      <left>
        <color indexed="63"/>
      </left>
      <right>
        <color indexed="63"/>
      </right>
      <top style="dashed">
        <color rgb="FF00B0F0"/>
      </top>
      <bottom>
        <color indexed="63"/>
      </bottom>
    </border>
    <border>
      <left>
        <color indexed="63"/>
      </left>
      <right style="dashed">
        <color rgb="FF00B0F0"/>
      </right>
      <top style="dashed">
        <color rgb="FF00B0F0"/>
      </top>
      <bottom>
        <color indexed="63"/>
      </bottom>
    </border>
    <border>
      <left style="dashed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rgb="FF00B0F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</cellStyleXfs>
  <cellXfs count="229">
    <xf numFmtId="0" fontId="0" fillId="0" borderId="0" xfId="0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52" fillId="0" borderId="0" xfId="0" applyNumberFormat="1" applyFont="1" applyFill="1" applyBorder="1" applyAlignment="1">
      <alignment horizontal="center"/>
    </xf>
    <xf numFmtId="1" fontId="52" fillId="0" borderId="0" xfId="0" applyNumberFormat="1" applyFont="1" applyFill="1" applyBorder="1" applyAlignment="1">
      <alignment horizontal="center"/>
    </xf>
    <xf numFmtId="200" fontId="52" fillId="0" borderId="0" xfId="0" applyNumberFormat="1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/>
    </xf>
    <xf numFmtId="0" fontId="52" fillId="0" borderId="12" xfId="0" applyFont="1" applyFill="1" applyBorder="1" applyAlignment="1">
      <alignment horizontal="center"/>
    </xf>
    <xf numFmtId="0" fontId="52" fillId="0" borderId="13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2" fillId="19" borderId="0" xfId="0" applyFont="1" applyFill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199" fontId="52" fillId="0" borderId="0" xfId="0" applyNumberFormat="1" applyFont="1" applyFill="1" applyBorder="1" applyAlignment="1">
      <alignment/>
    </xf>
    <xf numFmtId="2" fontId="54" fillId="0" borderId="0" xfId="0" applyNumberFormat="1" applyFont="1" applyFill="1" applyBorder="1" applyAlignment="1" applyProtection="1">
      <alignment horizontal="center"/>
      <protection locked="0"/>
    </xf>
    <xf numFmtId="0" fontId="55" fillId="0" borderId="12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/>
      <protection locked="0"/>
    </xf>
    <xf numFmtId="2" fontId="52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 horizontal="center"/>
    </xf>
    <xf numFmtId="199" fontId="52" fillId="0" borderId="0" xfId="0" applyNumberFormat="1" applyFont="1" applyFill="1" applyBorder="1" applyAlignment="1">
      <alignment horizontal="center"/>
    </xf>
    <xf numFmtId="199" fontId="52" fillId="0" borderId="0" xfId="0" applyNumberFormat="1" applyFont="1" applyFill="1" applyAlignment="1">
      <alignment horizontal="center"/>
    </xf>
    <xf numFmtId="0" fontId="53" fillId="0" borderId="11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11" xfId="0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52" fillId="0" borderId="0" xfId="0" applyFont="1" applyFill="1" applyBorder="1" applyAlignment="1" applyProtection="1">
      <alignment/>
      <protection locked="0"/>
    </xf>
    <xf numFmtId="0" fontId="52" fillId="0" borderId="0" xfId="0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 applyProtection="1">
      <alignment horizontal="center"/>
      <protection locked="0"/>
    </xf>
    <xf numFmtId="208" fontId="4" fillId="0" borderId="0" xfId="42" applyNumberFormat="1" applyFont="1" applyFill="1" applyBorder="1" applyAlignment="1">
      <alignment horizontal="center"/>
    </xf>
    <xf numFmtId="4" fontId="4" fillId="0" borderId="0" xfId="42" applyNumberFormat="1" applyFont="1" applyFill="1" applyBorder="1" applyAlignment="1">
      <alignment horizontal="center"/>
    </xf>
    <xf numFmtId="0" fontId="53" fillId="0" borderId="0" xfId="0" applyFont="1" applyFill="1" applyBorder="1" applyAlignment="1" applyProtection="1">
      <alignment/>
      <protection locked="0"/>
    </xf>
    <xf numFmtId="0" fontId="53" fillId="0" borderId="16" xfId="0" applyFont="1" applyFill="1" applyBorder="1" applyAlignment="1" applyProtection="1">
      <alignment horizontal="left"/>
      <protection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1" fontId="52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vertical="center"/>
    </xf>
    <xf numFmtId="0" fontId="52" fillId="0" borderId="17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1" fontId="52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3" fillId="0" borderId="18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19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0" fontId="53" fillId="0" borderId="21" xfId="0" applyFont="1" applyFill="1" applyBorder="1" applyAlignment="1">
      <alignment/>
    </xf>
    <xf numFmtId="0" fontId="52" fillId="0" borderId="22" xfId="0" applyFont="1" applyFill="1" applyBorder="1" applyAlignment="1">
      <alignment horizontal="center"/>
    </xf>
    <xf numFmtId="0" fontId="53" fillId="0" borderId="21" xfId="0" applyFont="1" applyFill="1" applyBorder="1" applyAlignment="1" applyProtection="1">
      <alignment/>
      <protection locked="0"/>
    </xf>
    <xf numFmtId="0" fontId="52" fillId="0" borderId="22" xfId="0" applyFont="1" applyFill="1" applyBorder="1" applyAlignment="1" applyProtection="1">
      <alignment horizontal="center"/>
      <protection locked="0"/>
    </xf>
    <xf numFmtId="0" fontId="55" fillId="0" borderId="22" xfId="0" applyFont="1" applyFill="1" applyBorder="1" applyAlignment="1" applyProtection="1">
      <alignment horizontal="center"/>
      <protection locked="0"/>
    </xf>
    <xf numFmtId="2" fontId="55" fillId="0" borderId="0" xfId="0" applyNumberFormat="1" applyFont="1" applyFill="1" applyBorder="1" applyAlignment="1" applyProtection="1">
      <alignment/>
      <protection locked="0"/>
    </xf>
    <xf numFmtId="1" fontId="4" fillId="0" borderId="23" xfId="0" applyNumberFormat="1" applyFont="1" applyFill="1" applyBorder="1" applyAlignment="1" applyProtection="1">
      <alignment horizontal="center"/>
      <protection locked="0"/>
    </xf>
    <xf numFmtId="0" fontId="53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199" fontId="52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3" fillId="0" borderId="24" xfId="0" applyFont="1" applyFill="1" applyBorder="1" applyAlignment="1">
      <alignment/>
    </xf>
    <xf numFmtId="0" fontId="53" fillId="0" borderId="25" xfId="0" applyFont="1" applyFill="1" applyBorder="1" applyAlignment="1">
      <alignment/>
    </xf>
    <xf numFmtId="0" fontId="53" fillId="0" borderId="26" xfId="0" applyFont="1" applyFill="1" applyBorder="1" applyAlignment="1">
      <alignment/>
    </xf>
    <xf numFmtId="0" fontId="52" fillId="0" borderId="25" xfId="0" applyFont="1" applyFill="1" applyBorder="1" applyAlignment="1">
      <alignment/>
    </xf>
    <xf numFmtId="1" fontId="52" fillId="0" borderId="0" xfId="0" applyNumberFormat="1" applyFont="1" applyFill="1" applyAlignment="1">
      <alignment horizontal="center"/>
    </xf>
    <xf numFmtId="0" fontId="57" fillId="0" borderId="15" xfId="0" applyFont="1" applyFill="1" applyBorder="1" applyAlignment="1">
      <alignment horizontal="center"/>
    </xf>
    <xf numFmtId="0" fontId="53" fillId="0" borderId="19" xfId="0" applyFont="1" applyFill="1" applyBorder="1" applyAlignment="1" applyProtection="1">
      <alignment/>
      <protection locked="0"/>
    </xf>
    <xf numFmtId="0" fontId="52" fillId="0" borderId="19" xfId="0" applyFont="1" applyFill="1" applyBorder="1" applyAlignment="1" applyProtection="1">
      <alignment/>
      <protection locked="0"/>
    </xf>
    <xf numFmtId="0" fontId="52" fillId="0" borderId="19" xfId="0" applyFont="1" applyFill="1" applyBorder="1" applyAlignment="1" applyProtection="1">
      <alignment horizontal="center"/>
      <protection locked="0"/>
    </xf>
    <xf numFmtId="0" fontId="52" fillId="0" borderId="19" xfId="0" applyFont="1" applyFill="1" applyBorder="1" applyAlignment="1" applyProtection="1">
      <alignment horizontal="left"/>
      <protection locked="0"/>
    </xf>
    <xf numFmtId="0" fontId="55" fillId="0" borderId="19" xfId="0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>
      <alignment horizontal="center"/>
    </xf>
    <xf numFmtId="0" fontId="58" fillId="33" borderId="0" xfId="0" applyFont="1" applyFill="1" applyAlignment="1">
      <alignment horizontal="center"/>
    </xf>
    <xf numFmtId="0" fontId="52" fillId="34" borderId="24" xfId="0" applyFont="1" applyFill="1" applyBorder="1" applyAlignment="1">
      <alignment/>
    </xf>
    <xf numFmtId="0" fontId="52" fillId="34" borderId="27" xfId="0" applyFont="1" applyFill="1" applyBorder="1" applyAlignment="1">
      <alignment/>
    </xf>
    <xf numFmtId="0" fontId="52" fillId="34" borderId="25" xfId="0" applyFont="1" applyFill="1" applyBorder="1" applyAlignment="1">
      <alignment/>
    </xf>
    <xf numFmtId="0" fontId="52" fillId="19" borderId="0" xfId="0" applyFont="1" applyFill="1" applyAlignment="1">
      <alignment horizontal="left" indent="12"/>
    </xf>
    <xf numFmtId="0" fontId="52" fillId="0" borderId="0" xfId="0" applyFont="1" applyFill="1" applyAlignment="1">
      <alignment horizontal="right"/>
    </xf>
    <xf numFmtId="0" fontId="52" fillId="0" borderId="17" xfId="0" applyFont="1" applyFill="1" applyBorder="1" applyAlignment="1" applyProtection="1">
      <alignment/>
      <protection/>
    </xf>
    <xf numFmtId="0" fontId="52" fillId="0" borderId="11" xfId="0" applyFont="1" applyFill="1" applyBorder="1" applyAlignment="1" applyProtection="1">
      <alignment/>
      <protection/>
    </xf>
    <xf numFmtId="0" fontId="52" fillId="0" borderId="28" xfId="0" applyFont="1" applyFill="1" applyBorder="1" applyAlignment="1">
      <alignment/>
    </xf>
    <xf numFmtId="0" fontId="52" fillId="0" borderId="28" xfId="0" applyFont="1" applyFill="1" applyBorder="1" applyAlignment="1" applyProtection="1">
      <alignment/>
      <protection locked="0"/>
    </xf>
    <xf numFmtId="0" fontId="52" fillId="0" borderId="28" xfId="0" applyFont="1" applyFill="1" applyBorder="1" applyAlignment="1" applyProtection="1">
      <alignment horizontal="center"/>
      <protection locked="0"/>
    </xf>
    <xf numFmtId="0" fontId="55" fillId="0" borderId="28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>
      <alignment/>
    </xf>
    <xf numFmtId="0" fontId="52" fillId="0" borderId="17" xfId="0" applyFont="1" applyFill="1" applyBorder="1" applyAlignment="1" applyProtection="1">
      <alignment horizontal="left"/>
      <protection locked="0"/>
    </xf>
    <xf numFmtId="0" fontId="52" fillId="0" borderId="11" xfId="0" applyFont="1" applyFill="1" applyBorder="1" applyAlignment="1" applyProtection="1">
      <alignment horizontal="left"/>
      <protection locked="0"/>
    </xf>
    <xf numFmtId="0" fontId="55" fillId="0" borderId="16" xfId="0" applyFont="1" applyFill="1" applyBorder="1" applyAlignment="1" applyProtection="1">
      <alignment horizontal="center"/>
      <protection locked="0"/>
    </xf>
    <xf numFmtId="0" fontId="52" fillId="0" borderId="16" xfId="0" applyFont="1" applyFill="1" applyBorder="1" applyAlignment="1" applyProtection="1">
      <alignment/>
      <protection locked="0"/>
    </xf>
    <xf numFmtId="0" fontId="52" fillId="0" borderId="14" xfId="0" applyFont="1" applyFill="1" applyBorder="1" applyAlignment="1" applyProtection="1">
      <alignment/>
      <protection locked="0"/>
    </xf>
    <xf numFmtId="0" fontId="53" fillId="0" borderId="11" xfId="0" applyFont="1" applyFill="1" applyBorder="1" applyAlignment="1" applyProtection="1">
      <alignment/>
      <protection locked="0"/>
    </xf>
    <xf numFmtId="0" fontId="53" fillId="0" borderId="29" xfId="0" applyFont="1" applyFill="1" applyBorder="1" applyAlignment="1" applyProtection="1">
      <alignment/>
      <protection locked="0"/>
    </xf>
    <xf numFmtId="0" fontId="53" fillId="0" borderId="30" xfId="0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22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>
      <alignment/>
    </xf>
    <xf numFmtId="0" fontId="52" fillId="0" borderId="11" xfId="0" applyFont="1" applyFill="1" applyBorder="1" applyAlignment="1" applyProtection="1">
      <alignment/>
      <protection locked="0"/>
    </xf>
    <xf numFmtId="2" fontId="60" fillId="35" borderId="10" xfId="0" applyNumberFormat="1" applyFont="1" applyFill="1" applyBorder="1" applyAlignment="1" applyProtection="1">
      <alignment horizontal="center"/>
      <protection locked="0"/>
    </xf>
    <xf numFmtId="1" fontId="60" fillId="35" borderId="10" xfId="0" applyNumberFormat="1" applyFont="1" applyFill="1" applyBorder="1" applyAlignment="1" applyProtection="1">
      <alignment horizontal="center"/>
      <protection locked="0"/>
    </xf>
    <xf numFmtId="199" fontId="60" fillId="35" borderId="10" xfId="0" applyNumberFormat="1" applyFont="1" applyFill="1" applyBorder="1" applyAlignment="1" applyProtection="1">
      <alignment horizontal="center"/>
      <protection locked="0"/>
    </xf>
    <xf numFmtId="212" fontId="60" fillId="35" borderId="0" xfId="0" applyNumberFormat="1" applyFont="1" applyFill="1" applyBorder="1" applyAlignment="1" applyProtection="1">
      <alignment horizontal="center" vertical="center"/>
      <protection locked="0"/>
    </xf>
    <xf numFmtId="22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Alignment="1">
      <alignment horizontal="center" vertic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 applyProtection="1">
      <alignment horizontal="left"/>
      <protection/>
    </xf>
    <xf numFmtId="0" fontId="3" fillId="0" borderId="17" xfId="61" applyFont="1" applyFill="1" applyBorder="1" applyAlignment="1" applyProtection="1">
      <alignment vertical="center"/>
      <protection/>
    </xf>
    <xf numFmtId="0" fontId="61" fillId="0" borderId="16" xfId="61" applyFont="1" applyFill="1" applyBorder="1" applyAlignment="1" applyProtection="1">
      <alignment/>
      <protection/>
    </xf>
    <xf numFmtId="0" fontId="52" fillId="0" borderId="31" xfId="0" applyFont="1" applyFill="1" applyBorder="1" applyAlignment="1" applyProtection="1">
      <alignment/>
      <protection/>
    </xf>
    <xf numFmtId="0" fontId="3" fillId="0" borderId="11" xfId="61" applyFont="1" applyFill="1" applyBorder="1" applyAlignment="1" applyProtection="1">
      <alignment/>
      <protection/>
    </xf>
    <xf numFmtId="0" fontId="61" fillId="0" borderId="0" xfId="61" applyFont="1" applyFill="1" applyBorder="1" applyAlignment="1" applyProtection="1">
      <alignment/>
      <protection/>
    </xf>
    <xf numFmtId="0" fontId="52" fillId="0" borderId="12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52" fillId="0" borderId="11" xfId="0" applyFont="1" applyFill="1" applyBorder="1" applyAlignment="1" applyProtection="1">
      <alignment/>
      <protection/>
    </xf>
    <xf numFmtId="0" fontId="61" fillId="36" borderId="13" xfId="61" applyFont="1" applyFill="1" applyBorder="1" applyAlignment="1" applyProtection="1">
      <alignment horizontal="left"/>
      <protection/>
    </xf>
    <xf numFmtId="0" fontId="61" fillId="36" borderId="14" xfId="61" applyFont="1" applyFill="1" applyBorder="1" applyAlignment="1" applyProtection="1">
      <alignment horizontal="left"/>
      <protection/>
    </xf>
    <xf numFmtId="0" fontId="4" fillId="0" borderId="14" xfId="61" applyFont="1" applyFill="1" applyBorder="1" applyProtection="1">
      <alignment/>
      <protection/>
    </xf>
    <xf numFmtId="14" fontId="8" fillId="0" borderId="14" xfId="61" applyNumberFormat="1" applyFont="1" applyFill="1" applyBorder="1" applyAlignment="1" applyProtection="1">
      <alignment/>
      <protection/>
    </xf>
    <xf numFmtId="0" fontId="8" fillId="0" borderId="14" xfId="61" applyNumberFormat="1" applyFont="1" applyFill="1" applyBorder="1" applyAlignment="1" applyProtection="1">
      <alignment/>
      <protection/>
    </xf>
    <xf numFmtId="0" fontId="52" fillId="0" borderId="15" xfId="0" applyFont="1" applyFill="1" applyBorder="1" applyAlignment="1" applyProtection="1">
      <alignment/>
      <protection/>
    </xf>
    <xf numFmtId="193" fontId="61" fillId="0" borderId="0" xfId="0" applyNumberFormat="1" applyFont="1" applyFill="1" applyBorder="1" applyAlignment="1" applyProtection="1">
      <alignment horizontal="left"/>
      <protection/>
    </xf>
    <xf numFmtId="0" fontId="61" fillId="0" borderId="30" xfId="0" applyNumberFormat="1" applyFont="1" applyFill="1" applyBorder="1" applyAlignment="1" applyProtection="1">
      <alignment horizontal="center"/>
      <protection/>
    </xf>
    <xf numFmtId="0" fontId="53" fillId="37" borderId="11" xfId="0" applyFont="1" applyFill="1" applyBorder="1" applyAlignment="1" applyProtection="1">
      <alignment horizontal="center"/>
      <protection/>
    </xf>
    <xf numFmtId="0" fontId="53" fillId="37" borderId="0" xfId="0" applyFont="1" applyFill="1" applyBorder="1" applyAlignment="1" applyProtection="1">
      <alignment/>
      <protection/>
    </xf>
    <xf numFmtId="0" fontId="52" fillId="37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62" fillId="0" borderId="32" xfId="0" applyFont="1" applyFill="1" applyBorder="1" applyAlignment="1" applyProtection="1">
      <alignment horizontal="left"/>
      <protection/>
    </xf>
    <xf numFmtId="0" fontId="52" fillId="0" borderId="33" xfId="0" applyFont="1" applyFill="1" applyBorder="1" applyAlignment="1" applyProtection="1">
      <alignment/>
      <protection/>
    </xf>
    <xf numFmtId="0" fontId="52" fillId="0" borderId="24" xfId="0" applyFont="1" applyFill="1" applyBorder="1" applyAlignment="1" applyProtection="1">
      <alignment horizontal="center"/>
      <protection/>
    </xf>
    <xf numFmtId="0" fontId="52" fillId="0" borderId="24" xfId="0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 horizontal="center"/>
      <protection/>
    </xf>
    <xf numFmtId="0" fontId="63" fillId="0" borderId="24" xfId="0" applyFont="1" applyFill="1" applyBorder="1" applyAlignment="1" applyProtection="1">
      <alignment/>
      <protection/>
    </xf>
    <xf numFmtId="0" fontId="63" fillId="0" borderId="10" xfId="0" applyFont="1" applyFill="1" applyBorder="1" applyAlignment="1" applyProtection="1">
      <alignment/>
      <protection/>
    </xf>
    <xf numFmtId="0" fontId="63" fillId="0" borderId="0" xfId="0" applyFont="1" applyFill="1" applyBorder="1" applyAlignment="1">
      <alignment/>
    </xf>
    <xf numFmtId="0" fontId="52" fillId="0" borderId="0" xfId="0" applyFont="1" applyFill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54" fillId="37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3" fillId="37" borderId="11" xfId="0" applyFont="1" applyFill="1" applyBorder="1" applyAlignment="1">
      <alignment horizontal="center"/>
    </xf>
    <xf numFmtId="0" fontId="53" fillId="37" borderId="0" xfId="0" applyFont="1" applyFill="1" applyBorder="1" applyAlignment="1">
      <alignment/>
    </xf>
    <xf numFmtId="0" fontId="52" fillId="37" borderId="0" xfId="0" applyFont="1" applyFill="1" applyBorder="1" applyAlignment="1">
      <alignment/>
    </xf>
    <xf numFmtId="0" fontId="52" fillId="37" borderId="0" xfId="0" applyFont="1" applyFill="1" applyBorder="1" applyAlignment="1">
      <alignment/>
    </xf>
    <xf numFmtId="0" fontId="52" fillId="37" borderId="0" xfId="0" applyFont="1" applyFill="1" applyBorder="1" applyAlignment="1">
      <alignment horizontal="center"/>
    </xf>
    <xf numFmtId="1" fontId="52" fillId="37" borderId="0" xfId="0" applyNumberFormat="1" applyFont="1" applyFill="1" applyBorder="1" applyAlignment="1">
      <alignment horizontal="center"/>
    </xf>
    <xf numFmtId="199" fontId="52" fillId="37" borderId="0" xfId="0" applyNumberFormat="1" applyFont="1" applyFill="1" applyBorder="1" applyAlignment="1">
      <alignment/>
    </xf>
    <xf numFmtId="0" fontId="54" fillId="37" borderId="0" xfId="0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 applyProtection="1">
      <alignment/>
      <protection/>
    </xf>
    <xf numFmtId="0" fontId="61" fillId="35" borderId="29" xfId="0" applyNumberFormat="1" applyFont="1" applyFill="1" applyBorder="1" applyAlignment="1" applyProtection="1">
      <alignment horizontal="center"/>
      <protection locked="0"/>
    </xf>
    <xf numFmtId="0" fontId="61" fillId="35" borderId="34" xfId="0" applyFont="1" applyFill="1" applyBorder="1" applyAlignment="1" applyProtection="1">
      <alignment horizontal="center"/>
      <protection locked="0"/>
    </xf>
    <xf numFmtId="1" fontId="52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left"/>
    </xf>
    <xf numFmtId="1" fontId="52" fillId="19" borderId="0" xfId="0" applyNumberFormat="1" applyFont="1" applyFill="1" applyAlignment="1">
      <alignment/>
    </xf>
    <xf numFmtId="0" fontId="10" fillId="0" borderId="16" xfId="61" applyFont="1" applyFill="1" applyBorder="1" applyAlignment="1" applyProtection="1">
      <alignment horizontal="center" vertical="center"/>
      <protection/>
    </xf>
    <xf numFmtId="0" fontId="10" fillId="0" borderId="31" xfId="61" applyFont="1" applyFill="1" applyBorder="1" applyAlignment="1" applyProtection="1">
      <alignment horizontal="center" vertical="center"/>
      <protection/>
    </xf>
    <xf numFmtId="0" fontId="10" fillId="0" borderId="0" xfId="61" applyFont="1" applyFill="1" applyBorder="1" applyAlignment="1" applyProtection="1">
      <alignment horizontal="center" vertical="center"/>
      <protection/>
    </xf>
    <xf numFmtId="0" fontId="10" fillId="0" borderId="12" xfId="61" applyFont="1" applyFill="1" applyBorder="1" applyAlignment="1" applyProtection="1">
      <alignment horizontal="center" vertical="center"/>
      <protection/>
    </xf>
    <xf numFmtId="0" fontId="10" fillId="0" borderId="14" xfId="61" applyFont="1" applyFill="1" applyBorder="1" applyAlignment="1" applyProtection="1">
      <alignment horizontal="center" vertical="center"/>
      <protection/>
    </xf>
    <xf numFmtId="0" fontId="10" fillId="0" borderId="15" xfId="6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2" fontId="52" fillId="0" borderId="24" xfId="0" applyNumberFormat="1" applyFont="1" applyFill="1" applyBorder="1" applyAlignment="1">
      <alignment horizontal="center"/>
    </xf>
    <xf numFmtId="2" fontId="52" fillId="0" borderId="25" xfId="0" applyNumberFormat="1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  <xf numFmtId="2" fontId="52" fillId="0" borderId="27" xfId="0" applyNumberFormat="1" applyFont="1" applyFill="1" applyBorder="1" applyAlignment="1">
      <alignment horizontal="center"/>
    </xf>
    <xf numFmtId="224" fontId="4" fillId="0" borderId="24" xfId="0" applyNumberFormat="1" applyFont="1" applyFill="1" applyBorder="1" applyAlignment="1">
      <alignment horizontal="center"/>
    </xf>
    <xf numFmtId="224" fontId="4" fillId="0" borderId="25" xfId="0" applyNumberFormat="1" applyFont="1" applyFill="1" applyBorder="1" applyAlignment="1">
      <alignment horizontal="center"/>
    </xf>
    <xf numFmtId="1" fontId="52" fillId="0" borderId="0" xfId="0" applyNumberFormat="1" applyFont="1" applyFill="1" applyBorder="1" applyAlignment="1">
      <alignment horizontal="center"/>
    </xf>
    <xf numFmtId="216" fontId="4" fillId="0" borderId="10" xfId="42" applyNumberFormat="1" applyFont="1" applyFill="1" applyBorder="1" applyAlignment="1">
      <alignment horizontal="center"/>
    </xf>
    <xf numFmtId="224" fontId="60" fillId="35" borderId="24" xfId="0" applyNumberFormat="1" applyFont="1" applyFill="1" applyBorder="1" applyAlignment="1" applyProtection="1">
      <alignment horizontal="center"/>
      <protection locked="0"/>
    </xf>
    <xf numFmtId="224" fontId="60" fillId="35" borderId="25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>
      <alignment horizontal="center"/>
    </xf>
    <xf numFmtId="4" fontId="4" fillId="0" borderId="24" xfId="42" applyNumberFormat="1" applyFont="1" applyFill="1" applyBorder="1" applyAlignment="1">
      <alignment horizontal="center"/>
    </xf>
    <xf numFmtId="4" fontId="4" fillId="0" borderId="25" xfId="42" applyNumberFormat="1" applyFont="1" applyFill="1" applyBorder="1" applyAlignment="1">
      <alignment horizontal="center"/>
    </xf>
    <xf numFmtId="43" fontId="4" fillId="0" borderId="10" xfId="42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61" fillId="35" borderId="0" xfId="0" applyFont="1" applyFill="1" applyBorder="1" applyAlignment="1" applyProtection="1">
      <alignment horizontal="left"/>
      <protection locked="0"/>
    </xf>
    <xf numFmtId="223" fontId="61" fillId="35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>
      <alignment horizontal="center"/>
    </xf>
    <xf numFmtId="43" fontId="4" fillId="0" borderId="24" xfId="42" applyFont="1" applyFill="1" applyBorder="1" applyAlignment="1">
      <alignment horizontal="center"/>
    </xf>
    <xf numFmtId="43" fontId="4" fillId="0" borderId="27" xfId="42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9" fillId="37" borderId="37" xfId="61" applyFont="1" applyFill="1" applyBorder="1" applyAlignment="1" applyProtection="1">
      <alignment horizontal="center" vertical="center"/>
      <protection/>
    </xf>
    <xf numFmtId="0" fontId="9" fillId="37" borderId="38" xfId="61" applyFont="1" applyFill="1" applyBorder="1" applyAlignment="1" applyProtection="1">
      <alignment horizontal="center" vertical="center"/>
      <protection/>
    </xf>
    <xf numFmtId="0" fontId="9" fillId="37" borderId="39" xfId="61" applyFont="1" applyFill="1" applyBorder="1" applyAlignment="1" applyProtection="1">
      <alignment horizontal="center" vertical="center"/>
      <protection/>
    </xf>
    <xf numFmtId="2" fontId="52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center" textRotation="90"/>
    </xf>
    <xf numFmtId="0" fontId="52" fillId="0" borderId="23" xfId="0" applyNumberFormat="1" applyFont="1" applyFill="1" applyBorder="1" applyAlignment="1">
      <alignment horizontal="center"/>
    </xf>
    <xf numFmtId="0" fontId="60" fillId="35" borderId="24" xfId="0" applyFont="1" applyFill="1" applyBorder="1" applyAlignment="1" applyProtection="1">
      <alignment horizontal="center"/>
      <protection locked="0"/>
    </xf>
    <xf numFmtId="0" fontId="60" fillId="35" borderId="25" xfId="0" applyFont="1" applyFill="1" applyBorder="1" applyAlignment="1" applyProtection="1">
      <alignment horizontal="center"/>
      <protection locked="0"/>
    </xf>
    <xf numFmtId="0" fontId="57" fillId="0" borderId="0" xfId="0" applyFont="1" applyFill="1" applyAlignment="1">
      <alignment vertical="center" textRotation="90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textRotation="90" shrinkToFit="1"/>
    </xf>
    <xf numFmtId="0" fontId="4" fillId="0" borderId="0" xfId="0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center"/>
      <protection locked="0"/>
    </xf>
    <xf numFmtId="0" fontId="61" fillId="35" borderId="16" xfId="0" applyFont="1" applyFill="1" applyBorder="1" applyAlignment="1" applyProtection="1">
      <alignment horizontal="left"/>
      <protection locked="0"/>
    </xf>
    <xf numFmtId="0" fontId="53" fillId="0" borderId="11" xfId="0" applyFont="1" applyFill="1" applyBorder="1" applyAlignment="1" applyProtection="1">
      <alignment shrinkToFit="1"/>
      <protection/>
    </xf>
    <xf numFmtId="0" fontId="53" fillId="0" borderId="0" xfId="0" applyFont="1" applyFill="1" applyBorder="1" applyAlignment="1" applyProtection="1">
      <alignment shrinkToFit="1"/>
      <protection/>
    </xf>
    <xf numFmtId="0" fontId="53" fillId="0" borderId="0" xfId="0" applyFont="1" applyFill="1" applyBorder="1" applyAlignment="1" applyProtection="1">
      <alignment horizontal="left"/>
      <protection/>
    </xf>
    <xf numFmtId="0" fontId="61" fillId="35" borderId="16" xfId="61" applyFont="1" applyFill="1" applyBorder="1" applyAlignment="1" applyProtection="1">
      <alignment horizontal="left" vertical="center"/>
      <protection locked="0"/>
    </xf>
    <xf numFmtId="0" fontId="61" fillId="35" borderId="0" xfId="61" applyFont="1" applyFill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>
      <alignment horizontal="center"/>
    </xf>
    <xf numFmtId="212" fontId="60" fillId="35" borderId="0" xfId="0" applyNumberFormat="1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Mbeam" xfId="61"/>
  </cellStyles>
  <dxfs count="11">
    <dxf>
      <font>
        <b/>
        <i val="0"/>
        <color rgb="FFFF0000"/>
      </font>
    </dxf>
    <dxf>
      <font>
        <b/>
        <i val="0"/>
        <color rgb="FFFF00FF"/>
      </font>
      <fill>
        <patternFill>
          <bgColor rgb="FFFFFF99"/>
        </patternFill>
      </fill>
    </dxf>
    <dxf>
      <font>
        <color auto="1"/>
      </font>
      <fill>
        <patternFill>
          <bgColor rgb="FFFF0000"/>
        </patternFill>
      </fill>
      <border>
        <left style="dashDot"/>
        <right style="dashDot"/>
        <top style="dashDot"/>
        <bottom style="dashDot"/>
      </border>
    </dxf>
    <dxf>
      <font>
        <b/>
        <i val="0"/>
        <color auto="1"/>
      </font>
      <fill>
        <patternFill>
          <fgColor indexed="64"/>
          <bgColor indexed="10"/>
        </patternFill>
      </fill>
    </dxf>
    <dxf>
      <font>
        <b/>
        <i val="0"/>
        <color auto="1"/>
      </font>
      <fill>
        <patternFill>
          <fgColor indexed="64"/>
          <bgColor indexed="10"/>
        </patternFill>
      </fill>
      <border>
        <left/>
        <right/>
        <top/>
        <bottom/>
      </border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gradientFill degree="90">
          <stop position="0">
            <color rgb="FFFF0000"/>
          </stop>
          <stop position="1">
            <color rgb="FFFFC000"/>
          </stop>
        </gradient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auto="1"/>
      </font>
      <fill>
        <gradientFill degree="90">
          <stop position="0">
            <color rgb="FFFF0000"/>
          </stop>
          <stop position="1">
            <color rgb="FFFFFF00"/>
          </stop>
        </gradientFill>
      </fill>
      <border/>
    </dxf>
    <dxf>
      <font>
        <color auto="1"/>
      </font>
      <fill>
        <patternFill>
          <bgColor rgb="FFFF0000"/>
        </pattern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  <dxf>
      <font>
        <b/>
        <i val="0"/>
        <color rgb="FFFF00FF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9525</xdr:rowOff>
    </xdr:from>
    <xdr:to>
      <xdr:col>10</xdr:col>
      <xdr:colOff>361950</xdr:colOff>
      <xdr:row>22</xdr:row>
      <xdr:rowOff>0</xdr:rowOff>
    </xdr:to>
    <xdr:grpSp>
      <xdr:nvGrpSpPr>
        <xdr:cNvPr id="1" name="Group 67"/>
        <xdr:cNvGrpSpPr>
          <a:grpSpLocks/>
        </xdr:cNvGrpSpPr>
      </xdr:nvGrpSpPr>
      <xdr:grpSpPr>
        <a:xfrm>
          <a:off x="2809875" y="2724150"/>
          <a:ext cx="1476375" cy="419100"/>
          <a:chOff x="2444750" y="2454275"/>
          <a:chExt cx="1481138" cy="427038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444750" y="2454275"/>
            <a:ext cx="1481138" cy="427038"/>
          </a:xfrm>
          <a:prstGeom prst="rect">
            <a:avLst/>
          </a:prstGeom>
          <a:solidFill>
            <a:srgbClr val="8EB4E3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" name="Straight Connector 19"/>
          <xdr:cNvSpPr>
            <a:spLocks/>
          </xdr:cNvSpPr>
        </xdr:nvSpPr>
        <xdr:spPr>
          <a:xfrm rot="5400000">
            <a:off x="2418091" y="2672598"/>
            <a:ext cx="417311" cy="0"/>
          </a:xfrm>
          <a:prstGeom prst="line">
            <a:avLst/>
          </a:prstGeom>
          <a:noFill/>
          <a:ln w="127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" name="Straight Connector 25"/>
          <xdr:cNvSpPr>
            <a:spLocks/>
          </xdr:cNvSpPr>
        </xdr:nvSpPr>
        <xdr:spPr>
          <a:xfrm rot="5400000">
            <a:off x="2613600" y="2667794"/>
            <a:ext cx="407683" cy="0"/>
          </a:xfrm>
          <a:prstGeom prst="line">
            <a:avLst/>
          </a:prstGeom>
          <a:noFill/>
          <a:ln w="127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" name="Straight Connector 26"/>
          <xdr:cNvSpPr>
            <a:spLocks/>
          </xdr:cNvSpPr>
        </xdr:nvSpPr>
        <xdr:spPr>
          <a:xfrm rot="5400000">
            <a:off x="2790225" y="2662990"/>
            <a:ext cx="417311" cy="0"/>
          </a:xfrm>
          <a:prstGeom prst="line">
            <a:avLst/>
          </a:prstGeom>
          <a:noFill/>
          <a:ln w="127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" name="Straight Connector 27"/>
          <xdr:cNvSpPr>
            <a:spLocks/>
          </xdr:cNvSpPr>
        </xdr:nvSpPr>
        <xdr:spPr>
          <a:xfrm rot="16200000" flipH="1">
            <a:off x="3199760" y="2454275"/>
            <a:ext cx="0" cy="427038"/>
          </a:xfrm>
          <a:prstGeom prst="line">
            <a:avLst/>
          </a:prstGeom>
          <a:noFill/>
          <a:ln w="127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" name="Straight Connector 29"/>
          <xdr:cNvSpPr>
            <a:spLocks/>
          </xdr:cNvSpPr>
        </xdr:nvSpPr>
        <xdr:spPr>
          <a:xfrm rot="5400000">
            <a:off x="3354169" y="2662990"/>
            <a:ext cx="417311" cy="0"/>
          </a:xfrm>
          <a:prstGeom prst="line">
            <a:avLst/>
          </a:prstGeom>
          <a:noFill/>
          <a:ln w="127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" name="Straight Connector 40"/>
          <xdr:cNvSpPr>
            <a:spLocks/>
          </xdr:cNvSpPr>
        </xdr:nvSpPr>
        <xdr:spPr>
          <a:xfrm rot="5400000">
            <a:off x="3177173" y="2658186"/>
            <a:ext cx="417311" cy="9608"/>
          </a:xfrm>
          <a:prstGeom prst="line">
            <a:avLst/>
          </a:prstGeom>
          <a:noFill/>
          <a:ln w="127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11</xdr:col>
      <xdr:colOff>285750</xdr:colOff>
      <xdr:row>21</xdr:row>
      <xdr:rowOff>9525</xdr:rowOff>
    </xdr:from>
    <xdr:to>
      <xdr:col>16</xdr:col>
      <xdr:colOff>76200</xdr:colOff>
      <xdr:row>27</xdr:row>
      <xdr:rowOff>66675</xdr:rowOff>
    </xdr:to>
    <xdr:grpSp>
      <xdr:nvGrpSpPr>
        <xdr:cNvPr id="9" name="Group 31"/>
        <xdr:cNvGrpSpPr>
          <a:grpSpLocks/>
        </xdr:cNvGrpSpPr>
      </xdr:nvGrpSpPr>
      <xdr:grpSpPr>
        <a:xfrm>
          <a:off x="4581525" y="3009900"/>
          <a:ext cx="1647825" cy="914400"/>
          <a:chOff x="4595812" y="2889251"/>
          <a:chExt cx="1658938" cy="928687"/>
        </a:xfrm>
        <a:solidFill>
          <a:srgbClr val="FFFFFF"/>
        </a:solidFill>
      </xdr:grpSpPr>
      <xdr:sp>
        <xdr:nvSpPr>
          <xdr:cNvPr id="10" name="Straight Connector 42"/>
          <xdr:cNvSpPr>
            <a:spLocks/>
          </xdr:cNvSpPr>
        </xdr:nvSpPr>
        <xdr:spPr>
          <a:xfrm flipV="1">
            <a:off x="5084784" y="2928024"/>
            <a:ext cx="1169966" cy="88991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" name="Straight Arrow Connector 56"/>
          <xdr:cNvSpPr>
            <a:spLocks/>
          </xdr:cNvSpPr>
        </xdr:nvSpPr>
        <xdr:spPr>
          <a:xfrm rot="16200000" flipV="1">
            <a:off x="5842504" y="3266530"/>
            <a:ext cx="114881" cy="16437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" name="Straight Arrow Connector 60"/>
          <xdr:cNvSpPr>
            <a:spLocks/>
          </xdr:cNvSpPr>
        </xdr:nvSpPr>
        <xdr:spPr>
          <a:xfrm rot="16200000" flipH="1">
            <a:off x="5669974" y="3005337"/>
            <a:ext cx="114881" cy="17412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" name="Straight Connector 68"/>
          <xdr:cNvSpPr>
            <a:spLocks/>
          </xdr:cNvSpPr>
        </xdr:nvSpPr>
        <xdr:spPr>
          <a:xfrm flipV="1">
            <a:off x="5065706" y="2889251"/>
            <a:ext cx="1112318" cy="8608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4" name="Straight Connector 14"/>
          <xdr:cNvSpPr>
            <a:spLocks/>
          </xdr:cNvSpPr>
        </xdr:nvSpPr>
        <xdr:spPr>
          <a:xfrm rot="5400000">
            <a:off x="4969073" y="3314822"/>
            <a:ext cx="1741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5" name="Straight Connector 16"/>
          <xdr:cNvSpPr>
            <a:spLocks/>
          </xdr:cNvSpPr>
        </xdr:nvSpPr>
        <xdr:spPr>
          <a:xfrm>
            <a:off x="5065706" y="3324573"/>
            <a:ext cx="3645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6" name="Straight Connector 21"/>
          <xdr:cNvSpPr>
            <a:spLocks/>
          </xdr:cNvSpPr>
        </xdr:nvSpPr>
        <xdr:spPr>
          <a:xfrm rot="5400000">
            <a:off x="4537335" y="3614788"/>
            <a:ext cx="2903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7" name="Straight Connector 23"/>
          <xdr:cNvSpPr>
            <a:spLocks/>
          </xdr:cNvSpPr>
        </xdr:nvSpPr>
        <xdr:spPr>
          <a:xfrm>
            <a:off x="4595812" y="3469680"/>
            <a:ext cx="2015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8" name="Straight Connector 24"/>
          <xdr:cNvSpPr>
            <a:spLocks/>
          </xdr:cNvSpPr>
        </xdr:nvSpPr>
        <xdr:spPr>
          <a:xfrm>
            <a:off x="4595812" y="3750144"/>
            <a:ext cx="2015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22</xdr:row>
      <xdr:rowOff>9525</xdr:rowOff>
    </xdr:from>
    <xdr:to>
      <xdr:col>21</xdr:col>
      <xdr:colOff>95250</xdr:colOff>
      <xdr:row>24</xdr:row>
      <xdr:rowOff>114300</xdr:rowOff>
    </xdr:to>
    <xdr:grpSp>
      <xdr:nvGrpSpPr>
        <xdr:cNvPr id="19" name="Group 33"/>
        <xdr:cNvGrpSpPr>
          <a:grpSpLocks/>
        </xdr:cNvGrpSpPr>
      </xdr:nvGrpSpPr>
      <xdr:grpSpPr>
        <a:xfrm>
          <a:off x="6448425" y="3152775"/>
          <a:ext cx="1657350" cy="390525"/>
          <a:chOff x="6469063" y="3032126"/>
          <a:chExt cx="1671563" cy="397667"/>
        </a:xfrm>
        <a:solidFill>
          <a:srgbClr val="FFFFFF"/>
        </a:solidFill>
      </xdr:grpSpPr>
      <xdr:sp>
        <xdr:nvSpPr>
          <xdr:cNvPr id="20" name="Isosceles Triangle 20"/>
          <xdr:cNvSpPr>
            <a:spLocks/>
          </xdr:cNvSpPr>
        </xdr:nvSpPr>
        <xdr:spPr>
          <a:xfrm>
            <a:off x="6469063" y="3032126"/>
            <a:ext cx="163395" cy="126060"/>
          </a:xfrm>
          <a:prstGeom prst="triangle">
            <a:avLst/>
          </a:prstGeom>
          <a:solidFill>
            <a:srgbClr val="4F81BD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1" name="Oval 22"/>
          <xdr:cNvSpPr>
            <a:spLocks/>
          </xdr:cNvSpPr>
        </xdr:nvSpPr>
        <xdr:spPr>
          <a:xfrm>
            <a:off x="7937949" y="3032126"/>
            <a:ext cx="134561" cy="126060"/>
          </a:xfrm>
          <a:prstGeom prst="ellipse">
            <a:avLst/>
          </a:prstGeom>
          <a:solidFill>
            <a:srgbClr val="4F81BD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2" name="Straight Connector 30"/>
          <xdr:cNvSpPr>
            <a:spLocks/>
          </xdr:cNvSpPr>
        </xdr:nvSpPr>
        <xdr:spPr>
          <a:xfrm rot="5400000">
            <a:off x="6454020" y="3318247"/>
            <a:ext cx="2035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3" name="Straight Connector 32"/>
          <xdr:cNvSpPr>
            <a:spLocks/>
          </xdr:cNvSpPr>
        </xdr:nvSpPr>
        <xdr:spPr>
          <a:xfrm rot="5400000">
            <a:off x="7946725" y="3332762"/>
            <a:ext cx="19390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4" name="Straight Connector 35"/>
          <xdr:cNvSpPr>
            <a:spLocks/>
          </xdr:cNvSpPr>
        </xdr:nvSpPr>
        <xdr:spPr>
          <a:xfrm>
            <a:off x="6555566" y="3303733"/>
            <a:ext cx="1488109" cy="974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6</xdr:col>
      <xdr:colOff>361950</xdr:colOff>
      <xdr:row>23</xdr:row>
      <xdr:rowOff>9525</xdr:rowOff>
    </xdr:from>
    <xdr:to>
      <xdr:col>11</xdr:col>
      <xdr:colOff>9525</xdr:colOff>
      <xdr:row>23</xdr:row>
      <xdr:rowOff>9525</xdr:rowOff>
    </xdr:to>
    <xdr:sp>
      <xdr:nvSpPr>
        <xdr:cNvPr id="25" name="Straight Connector 31"/>
        <xdr:cNvSpPr>
          <a:spLocks/>
        </xdr:cNvSpPr>
      </xdr:nvSpPr>
      <xdr:spPr>
        <a:xfrm>
          <a:off x="2800350" y="3295650"/>
          <a:ext cx="150495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361950</xdr:colOff>
      <xdr:row>22</xdr:row>
      <xdr:rowOff>76200</xdr:rowOff>
    </xdr:from>
    <xdr:to>
      <xdr:col>6</xdr:col>
      <xdr:colOff>361950</xdr:colOff>
      <xdr:row>23</xdr:row>
      <xdr:rowOff>76200</xdr:rowOff>
    </xdr:to>
    <xdr:sp>
      <xdr:nvSpPr>
        <xdr:cNvPr id="26" name="Straight Connector 34"/>
        <xdr:cNvSpPr>
          <a:spLocks/>
        </xdr:cNvSpPr>
      </xdr:nvSpPr>
      <xdr:spPr>
        <a:xfrm rot="5400000">
          <a:off x="2800350" y="3219450"/>
          <a:ext cx="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22</xdr:row>
      <xdr:rowOff>85725</xdr:rowOff>
    </xdr:from>
    <xdr:to>
      <xdr:col>11</xdr:col>
      <xdr:colOff>9525</xdr:colOff>
      <xdr:row>23</xdr:row>
      <xdr:rowOff>95250</xdr:rowOff>
    </xdr:to>
    <xdr:sp>
      <xdr:nvSpPr>
        <xdr:cNvPr id="27" name="Straight Connector 36"/>
        <xdr:cNvSpPr>
          <a:spLocks/>
        </xdr:cNvSpPr>
      </xdr:nvSpPr>
      <xdr:spPr>
        <a:xfrm rot="5400000">
          <a:off x="4305300" y="3228975"/>
          <a:ext cx="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285750</xdr:colOff>
      <xdr:row>19</xdr:row>
      <xdr:rowOff>9525</xdr:rowOff>
    </xdr:from>
    <xdr:to>
      <xdr:col>11</xdr:col>
      <xdr:colOff>285750</xdr:colOff>
      <xdr:row>22</xdr:row>
      <xdr:rowOff>9525</xdr:rowOff>
    </xdr:to>
    <xdr:sp>
      <xdr:nvSpPr>
        <xdr:cNvPr id="28" name="Straight Connector 38"/>
        <xdr:cNvSpPr>
          <a:spLocks/>
        </xdr:cNvSpPr>
      </xdr:nvSpPr>
      <xdr:spPr>
        <a:xfrm rot="5400000">
          <a:off x="4581525" y="2724150"/>
          <a:ext cx="0" cy="4286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228600</xdr:colOff>
      <xdr:row>19</xdr:row>
      <xdr:rowOff>9525</xdr:rowOff>
    </xdr:from>
    <xdr:to>
      <xdr:col>12</xdr:col>
      <xdr:colOff>0</xdr:colOff>
      <xdr:row>19</xdr:row>
      <xdr:rowOff>9525</xdr:rowOff>
    </xdr:to>
    <xdr:sp>
      <xdr:nvSpPr>
        <xdr:cNvPr id="29" name="Straight Connector 45"/>
        <xdr:cNvSpPr>
          <a:spLocks/>
        </xdr:cNvSpPr>
      </xdr:nvSpPr>
      <xdr:spPr>
        <a:xfrm>
          <a:off x="4524375" y="2724150"/>
          <a:ext cx="142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219075</xdr:colOff>
      <xdr:row>22</xdr:row>
      <xdr:rowOff>19050</xdr:rowOff>
    </xdr:from>
    <xdr:to>
      <xdr:col>11</xdr:col>
      <xdr:colOff>361950</xdr:colOff>
      <xdr:row>22</xdr:row>
      <xdr:rowOff>19050</xdr:rowOff>
    </xdr:to>
    <xdr:sp>
      <xdr:nvSpPr>
        <xdr:cNvPr id="30" name="Straight Connector 47"/>
        <xdr:cNvSpPr>
          <a:spLocks/>
        </xdr:cNvSpPr>
      </xdr:nvSpPr>
      <xdr:spPr>
        <a:xfrm>
          <a:off x="4514850" y="3162300"/>
          <a:ext cx="142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9525</xdr:colOff>
      <xdr:row>52</xdr:row>
      <xdr:rowOff>38100</xdr:rowOff>
    </xdr:from>
    <xdr:to>
      <xdr:col>18</xdr:col>
      <xdr:colOff>314325</xdr:colOff>
      <xdr:row>74</xdr:row>
      <xdr:rowOff>95250</xdr:rowOff>
    </xdr:to>
    <xdr:grpSp>
      <xdr:nvGrpSpPr>
        <xdr:cNvPr id="31" name="Group 156"/>
        <xdr:cNvGrpSpPr>
          <a:grpSpLocks/>
        </xdr:cNvGrpSpPr>
      </xdr:nvGrpSpPr>
      <xdr:grpSpPr>
        <a:xfrm>
          <a:off x="1333500" y="7467600"/>
          <a:ext cx="5876925" cy="3200400"/>
          <a:chOff x="1328870" y="7746335"/>
          <a:chExt cx="5859350" cy="3313250"/>
        </a:xfrm>
        <a:solidFill>
          <a:srgbClr val="FFFFFF"/>
        </a:solidFill>
      </xdr:grpSpPr>
      <xdr:sp>
        <xdr:nvSpPr>
          <xdr:cNvPr id="32" name="Straight Connector 43"/>
          <xdr:cNvSpPr>
            <a:spLocks/>
          </xdr:cNvSpPr>
        </xdr:nvSpPr>
        <xdr:spPr>
          <a:xfrm flipV="1">
            <a:off x="1689220" y="8436319"/>
            <a:ext cx="4083967" cy="253463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3" name="Straight Connector 54"/>
          <xdr:cNvSpPr>
            <a:spLocks/>
          </xdr:cNvSpPr>
        </xdr:nvSpPr>
        <xdr:spPr>
          <a:xfrm flipV="1">
            <a:off x="1432873" y="8269000"/>
            <a:ext cx="4501446" cy="2790585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4" name="Straight Connector 58"/>
          <xdr:cNvSpPr>
            <a:spLocks/>
          </xdr:cNvSpPr>
        </xdr:nvSpPr>
        <xdr:spPr>
          <a:xfrm rot="5400000" flipH="1" flipV="1">
            <a:off x="1223403" y="10847537"/>
            <a:ext cx="423338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" name="Elbow Connector 66"/>
          <xdr:cNvSpPr>
            <a:spLocks/>
          </xdr:cNvSpPr>
        </xdr:nvSpPr>
        <xdr:spPr>
          <a:xfrm rot="5400000" flipH="1" flipV="1">
            <a:off x="1260024" y="10102884"/>
            <a:ext cx="975582" cy="759563"/>
          </a:xfrm>
          <a:prstGeom prst="bentConnector3">
            <a:avLst>
              <a:gd name="adj" fmla="val 57148"/>
            </a:avLst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6" name="Straight Connector 74"/>
          <xdr:cNvSpPr>
            <a:spLocks/>
          </xdr:cNvSpPr>
        </xdr:nvSpPr>
        <xdr:spPr>
          <a:xfrm>
            <a:off x="2127206" y="9994375"/>
            <a:ext cx="722165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7" name="Elbow Connector 77"/>
          <xdr:cNvSpPr>
            <a:spLocks/>
          </xdr:cNvSpPr>
        </xdr:nvSpPr>
        <xdr:spPr>
          <a:xfrm rot="5400000" flipH="1" flipV="1">
            <a:off x="2779059" y="9166063"/>
            <a:ext cx="906734" cy="750451"/>
          </a:xfrm>
          <a:prstGeom prst="bentConnector3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8" name="Straight Connector 78"/>
          <xdr:cNvSpPr>
            <a:spLocks/>
          </xdr:cNvSpPr>
        </xdr:nvSpPr>
        <xdr:spPr>
          <a:xfrm>
            <a:off x="3608157" y="9087373"/>
            <a:ext cx="730954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9" name="Elbow Connector 85"/>
          <xdr:cNvSpPr>
            <a:spLocks/>
          </xdr:cNvSpPr>
        </xdr:nvSpPr>
        <xdr:spPr>
          <a:xfrm rot="5400000" flipH="1" flipV="1">
            <a:off x="4276123" y="8264030"/>
            <a:ext cx="877438" cy="750451"/>
          </a:xfrm>
          <a:prstGeom prst="bentConnector3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0" name="Straight Connector 90"/>
          <xdr:cNvSpPr>
            <a:spLocks/>
          </xdr:cNvSpPr>
        </xdr:nvSpPr>
        <xdr:spPr>
          <a:xfrm>
            <a:off x="5080319" y="8200250"/>
            <a:ext cx="2107901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1" name="Oval 99"/>
          <xdr:cNvSpPr>
            <a:spLocks/>
          </xdr:cNvSpPr>
        </xdr:nvSpPr>
        <xdr:spPr>
          <a:xfrm>
            <a:off x="1385999" y="10448290"/>
            <a:ext cx="46875" cy="39759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2" name="Oval 100"/>
          <xdr:cNvSpPr>
            <a:spLocks/>
          </xdr:cNvSpPr>
        </xdr:nvSpPr>
        <xdr:spPr>
          <a:xfrm>
            <a:off x="2155038" y="10024194"/>
            <a:ext cx="46875" cy="39759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3" name="Oval 101"/>
          <xdr:cNvSpPr>
            <a:spLocks/>
          </xdr:cNvSpPr>
        </xdr:nvSpPr>
        <xdr:spPr>
          <a:xfrm>
            <a:off x="2885992" y="9570279"/>
            <a:ext cx="46875" cy="49699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4" name="Oval 102"/>
          <xdr:cNvSpPr>
            <a:spLocks/>
          </xdr:cNvSpPr>
        </xdr:nvSpPr>
        <xdr:spPr>
          <a:xfrm>
            <a:off x="3635989" y="9117192"/>
            <a:ext cx="46875" cy="39759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5" name="Oval 103"/>
          <xdr:cNvSpPr>
            <a:spLocks/>
          </xdr:cNvSpPr>
        </xdr:nvSpPr>
        <xdr:spPr>
          <a:xfrm>
            <a:off x="4358154" y="8673217"/>
            <a:ext cx="46875" cy="39759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6" name="Oval 104"/>
          <xdr:cNvSpPr>
            <a:spLocks/>
          </xdr:cNvSpPr>
        </xdr:nvSpPr>
        <xdr:spPr>
          <a:xfrm>
            <a:off x="1462170" y="10951076"/>
            <a:ext cx="46875" cy="49699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7" name="Oval 105"/>
          <xdr:cNvSpPr>
            <a:spLocks/>
          </xdr:cNvSpPr>
        </xdr:nvSpPr>
        <xdr:spPr>
          <a:xfrm>
            <a:off x="5108151" y="8219301"/>
            <a:ext cx="46875" cy="49699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8" name="Oval 106"/>
          <xdr:cNvSpPr>
            <a:spLocks/>
          </xdr:cNvSpPr>
        </xdr:nvSpPr>
        <xdr:spPr>
          <a:xfrm>
            <a:off x="1907481" y="10685188"/>
            <a:ext cx="46875" cy="39759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9" name="Oval 107"/>
          <xdr:cNvSpPr>
            <a:spLocks/>
          </xdr:cNvSpPr>
        </xdr:nvSpPr>
        <xdr:spPr>
          <a:xfrm>
            <a:off x="2307381" y="10438351"/>
            <a:ext cx="46875" cy="39759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0" name="Oval 108"/>
          <xdr:cNvSpPr>
            <a:spLocks/>
          </xdr:cNvSpPr>
        </xdr:nvSpPr>
        <xdr:spPr>
          <a:xfrm>
            <a:off x="3417728" y="9758306"/>
            <a:ext cx="46875" cy="49699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1" name="Oval 109"/>
          <xdr:cNvSpPr>
            <a:spLocks/>
          </xdr:cNvSpPr>
        </xdr:nvSpPr>
        <xdr:spPr>
          <a:xfrm>
            <a:off x="2697028" y="10191514"/>
            <a:ext cx="46875" cy="49699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2" name="Oval 110"/>
          <xdr:cNvSpPr>
            <a:spLocks/>
          </xdr:cNvSpPr>
        </xdr:nvSpPr>
        <xdr:spPr>
          <a:xfrm>
            <a:off x="3038335" y="9984435"/>
            <a:ext cx="46875" cy="49699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3" name="Oval 111"/>
          <xdr:cNvSpPr>
            <a:spLocks/>
          </xdr:cNvSpPr>
        </xdr:nvSpPr>
        <xdr:spPr>
          <a:xfrm>
            <a:off x="3760500" y="9531348"/>
            <a:ext cx="46875" cy="49699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4" name="Oval 112"/>
          <xdr:cNvSpPr>
            <a:spLocks/>
          </xdr:cNvSpPr>
        </xdr:nvSpPr>
        <xdr:spPr>
          <a:xfrm>
            <a:off x="4120850" y="9314331"/>
            <a:ext cx="46875" cy="49699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5" name="Oval 113"/>
          <xdr:cNvSpPr>
            <a:spLocks/>
          </xdr:cNvSpPr>
        </xdr:nvSpPr>
        <xdr:spPr>
          <a:xfrm>
            <a:off x="4462157" y="9097313"/>
            <a:ext cx="46875" cy="49699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6" name="Oval 114"/>
          <xdr:cNvSpPr>
            <a:spLocks/>
          </xdr:cNvSpPr>
        </xdr:nvSpPr>
        <xdr:spPr>
          <a:xfrm>
            <a:off x="5080319" y="8712976"/>
            <a:ext cx="46875" cy="39759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7" name="Oval 116"/>
          <xdr:cNvSpPr>
            <a:spLocks/>
          </xdr:cNvSpPr>
        </xdr:nvSpPr>
        <xdr:spPr>
          <a:xfrm>
            <a:off x="4766844" y="8900174"/>
            <a:ext cx="46875" cy="49699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8" name="Straight Arrow Connector 118"/>
          <xdr:cNvSpPr>
            <a:spLocks/>
          </xdr:cNvSpPr>
        </xdr:nvSpPr>
        <xdr:spPr>
          <a:xfrm rot="16200000" flipH="1">
            <a:off x="1860606" y="10063953"/>
            <a:ext cx="190429" cy="28576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9" name="Straight Arrow Connector 119"/>
          <xdr:cNvSpPr>
            <a:spLocks/>
          </xdr:cNvSpPr>
        </xdr:nvSpPr>
        <xdr:spPr>
          <a:xfrm rot="16200000" flipH="1">
            <a:off x="2239999" y="10635489"/>
            <a:ext cx="190429" cy="29570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60" name="Group 128"/>
          <xdr:cNvGrpSpPr>
            <a:grpSpLocks/>
          </xdr:cNvGrpSpPr>
        </xdr:nvGrpSpPr>
        <xdr:grpSpPr>
          <a:xfrm>
            <a:off x="2991461" y="10083005"/>
            <a:ext cx="1196772" cy="325527"/>
            <a:chOff x="3258120" y="9560439"/>
            <a:chExt cx="1050773" cy="314838"/>
          </a:xfrm>
          <a:solidFill>
            <a:srgbClr val="FFFFFF"/>
          </a:solidFill>
        </xdr:grpSpPr>
        <xdr:sp>
          <xdr:nvSpPr>
            <xdr:cNvPr id="61" name="Straight Arrow Connector 123"/>
            <xdr:cNvSpPr>
              <a:spLocks/>
            </xdr:cNvSpPr>
          </xdr:nvSpPr>
          <xdr:spPr>
            <a:xfrm rot="5400000">
              <a:off x="3105234" y="9713686"/>
              <a:ext cx="314969" cy="8343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2" name="Straight Connector 126"/>
            <xdr:cNvSpPr>
              <a:spLocks/>
            </xdr:cNvSpPr>
          </xdr:nvSpPr>
          <xdr:spPr>
            <a:xfrm>
              <a:off x="3258120" y="9875277"/>
              <a:ext cx="105077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63" name="Group 129"/>
          <xdr:cNvGrpSpPr>
            <a:grpSpLocks/>
          </xdr:cNvGrpSpPr>
        </xdr:nvGrpSpPr>
        <xdr:grpSpPr>
          <a:xfrm>
            <a:off x="4148682" y="9350776"/>
            <a:ext cx="1395990" cy="325527"/>
            <a:chOff x="3537358" y="9370160"/>
            <a:chExt cx="1044921" cy="314839"/>
          </a:xfrm>
          <a:solidFill>
            <a:srgbClr val="FFFFFF"/>
          </a:solidFill>
        </xdr:grpSpPr>
        <xdr:sp>
          <xdr:nvSpPr>
            <xdr:cNvPr id="64" name="Straight Arrow Connector 130"/>
            <xdr:cNvSpPr>
              <a:spLocks/>
            </xdr:cNvSpPr>
          </xdr:nvSpPr>
          <xdr:spPr>
            <a:xfrm rot="5400000">
              <a:off x="3383756" y="9526950"/>
              <a:ext cx="314782" cy="7084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5" name="Straight Connector 131"/>
            <xdr:cNvSpPr>
              <a:spLocks/>
            </xdr:cNvSpPr>
          </xdr:nvSpPr>
          <xdr:spPr>
            <a:xfrm>
              <a:off x="3537358" y="9687911"/>
              <a:ext cx="10449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66" name="Group 132"/>
          <xdr:cNvGrpSpPr>
            <a:grpSpLocks/>
          </xdr:cNvGrpSpPr>
        </xdr:nvGrpSpPr>
        <xdr:grpSpPr>
          <a:xfrm rot="10800000">
            <a:off x="1328870" y="9767418"/>
            <a:ext cx="854000" cy="275828"/>
            <a:chOff x="3256825" y="9556612"/>
            <a:chExt cx="1048909" cy="326849"/>
          </a:xfrm>
          <a:solidFill>
            <a:srgbClr val="FFFFFF"/>
          </a:solidFill>
        </xdr:grpSpPr>
        <xdr:sp>
          <xdr:nvSpPr>
            <xdr:cNvPr id="67" name="Straight Arrow Connector 133"/>
            <xdr:cNvSpPr>
              <a:spLocks/>
            </xdr:cNvSpPr>
          </xdr:nvSpPr>
          <xdr:spPr>
            <a:xfrm rot="5400000">
              <a:off x="3099490" y="9795865"/>
              <a:ext cx="315197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8" name="Straight Connector 134"/>
            <xdr:cNvSpPr>
              <a:spLocks/>
            </xdr:cNvSpPr>
          </xdr:nvSpPr>
          <xdr:spPr>
            <a:xfrm>
              <a:off x="3256825" y="9883461"/>
              <a:ext cx="104890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69" name="Straight Connector 137"/>
          <xdr:cNvSpPr>
            <a:spLocks/>
          </xdr:cNvSpPr>
        </xdr:nvSpPr>
        <xdr:spPr>
          <a:xfrm rot="10800000">
            <a:off x="2620857" y="8594527"/>
            <a:ext cx="15952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0" name="Straight Connector 138"/>
          <xdr:cNvSpPr>
            <a:spLocks/>
          </xdr:cNvSpPr>
        </xdr:nvSpPr>
        <xdr:spPr>
          <a:xfrm rot="10800000">
            <a:off x="2582771" y="9038503"/>
            <a:ext cx="911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1" name="Straight Connector 145"/>
          <xdr:cNvSpPr>
            <a:spLocks/>
          </xdr:cNvSpPr>
        </xdr:nvSpPr>
        <xdr:spPr>
          <a:xfrm rot="5400000">
            <a:off x="2588630" y="8816515"/>
            <a:ext cx="423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2" name="Straight Connector 146"/>
          <xdr:cNvSpPr>
            <a:spLocks/>
          </xdr:cNvSpPr>
        </xdr:nvSpPr>
        <xdr:spPr>
          <a:xfrm rot="5400000" flipH="1" flipV="1">
            <a:off x="3892336" y="8145582"/>
            <a:ext cx="789547" cy="911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3" name="Straight Connector 149"/>
          <xdr:cNvSpPr>
            <a:spLocks/>
          </xdr:cNvSpPr>
        </xdr:nvSpPr>
        <xdr:spPr>
          <a:xfrm rot="5400000" flipH="1" flipV="1">
            <a:off x="4845945" y="7923594"/>
            <a:ext cx="3544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4" name="Straight Connector 152"/>
          <xdr:cNvSpPr>
            <a:spLocks/>
          </xdr:cNvSpPr>
        </xdr:nvSpPr>
        <xdr:spPr>
          <a:xfrm>
            <a:off x="4281982" y="7894603"/>
            <a:ext cx="7499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3</xdr:col>
      <xdr:colOff>180975</xdr:colOff>
      <xdr:row>75</xdr:row>
      <xdr:rowOff>133350</xdr:rowOff>
    </xdr:from>
    <xdr:to>
      <xdr:col>3</xdr:col>
      <xdr:colOff>180975</xdr:colOff>
      <xdr:row>78</xdr:row>
      <xdr:rowOff>9525</xdr:rowOff>
    </xdr:to>
    <xdr:sp>
      <xdr:nvSpPr>
        <xdr:cNvPr id="75" name="Straight Connector 158"/>
        <xdr:cNvSpPr>
          <a:spLocks/>
        </xdr:cNvSpPr>
      </xdr:nvSpPr>
      <xdr:spPr>
        <a:xfrm rot="5400000">
          <a:off x="1504950" y="108489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371475</xdr:colOff>
      <xdr:row>56</xdr:row>
      <xdr:rowOff>142875</xdr:rowOff>
    </xdr:from>
    <xdr:to>
      <xdr:col>18</xdr:col>
      <xdr:colOff>371475</xdr:colOff>
      <xdr:row>78</xdr:row>
      <xdr:rowOff>0</xdr:rowOff>
    </xdr:to>
    <xdr:sp>
      <xdr:nvSpPr>
        <xdr:cNvPr id="76" name="Straight Connector 160"/>
        <xdr:cNvSpPr>
          <a:spLocks/>
        </xdr:cNvSpPr>
      </xdr:nvSpPr>
      <xdr:spPr>
        <a:xfrm rot="5400000">
          <a:off x="7267575" y="814387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180975</xdr:colOff>
      <xdr:row>77</xdr:row>
      <xdr:rowOff>0</xdr:rowOff>
    </xdr:from>
    <xdr:to>
      <xdr:col>18</xdr:col>
      <xdr:colOff>361950</xdr:colOff>
      <xdr:row>77</xdr:row>
      <xdr:rowOff>0</xdr:rowOff>
    </xdr:to>
    <xdr:sp>
      <xdr:nvSpPr>
        <xdr:cNvPr id="77" name="Straight Arrow Connector 163"/>
        <xdr:cNvSpPr>
          <a:spLocks/>
        </xdr:cNvSpPr>
      </xdr:nvSpPr>
      <xdr:spPr>
        <a:xfrm>
          <a:off x="1504950" y="11001375"/>
          <a:ext cx="575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76200</xdr:colOff>
      <xdr:row>56</xdr:row>
      <xdr:rowOff>85725</xdr:rowOff>
    </xdr:from>
    <xdr:to>
      <xdr:col>18</xdr:col>
      <xdr:colOff>257175</xdr:colOff>
      <xdr:row>56</xdr:row>
      <xdr:rowOff>85725</xdr:rowOff>
    </xdr:to>
    <xdr:sp>
      <xdr:nvSpPr>
        <xdr:cNvPr id="78" name="Straight Connector 167"/>
        <xdr:cNvSpPr>
          <a:spLocks/>
        </xdr:cNvSpPr>
      </xdr:nvSpPr>
      <xdr:spPr>
        <a:xfrm>
          <a:off x="5114925" y="8086725"/>
          <a:ext cx="2038350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161925</xdr:colOff>
      <xdr:row>55</xdr:row>
      <xdr:rowOff>123825</xdr:rowOff>
    </xdr:from>
    <xdr:to>
      <xdr:col>18</xdr:col>
      <xdr:colOff>190500</xdr:colOff>
      <xdr:row>55</xdr:row>
      <xdr:rowOff>123825</xdr:rowOff>
    </xdr:to>
    <xdr:sp>
      <xdr:nvSpPr>
        <xdr:cNvPr id="79" name="Straight Connector 177"/>
        <xdr:cNvSpPr>
          <a:spLocks/>
        </xdr:cNvSpPr>
      </xdr:nvSpPr>
      <xdr:spPr>
        <a:xfrm>
          <a:off x="5943600" y="7981950"/>
          <a:ext cx="1143000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314325</xdr:colOff>
      <xdr:row>55</xdr:row>
      <xdr:rowOff>47625</xdr:rowOff>
    </xdr:from>
    <xdr:to>
      <xdr:col>18</xdr:col>
      <xdr:colOff>314325</xdr:colOff>
      <xdr:row>59</xdr:row>
      <xdr:rowOff>114300</xdr:rowOff>
    </xdr:to>
    <xdr:sp>
      <xdr:nvSpPr>
        <xdr:cNvPr id="80" name="Straight Connector 181"/>
        <xdr:cNvSpPr>
          <a:spLocks/>
        </xdr:cNvSpPr>
      </xdr:nvSpPr>
      <xdr:spPr>
        <a:xfrm rot="5400000">
          <a:off x="7210425" y="7905750"/>
          <a:ext cx="0" cy="63817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257175</xdr:colOff>
      <xdr:row>56</xdr:row>
      <xdr:rowOff>95250</xdr:rowOff>
    </xdr:from>
    <xdr:to>
      <xdr:col>18</xdr:col>
      <xdr:colOff>257175</xdr:colOff>
      <xdr:row>59</xdr:row>
      <xdr:rowOff>76200</xdr:rowOff>
    </xdr:to>
    <xdr:sp>
      <xdr:nvSpPr>
        <xdr:cNvPr id="81" name="Straight Connector 184"/>
        <xdr:cNvSpPr>
          <a:spLocks/>
        </xdr:cNvSpPr>
      </xdr:nvSpPr>
      <xdr:spPr>
        <a:xfrm rot="5400000">
          <a:off x="7153275" y="8096250"/>
          <a:ext cx="0" cy="40957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57</xdr:row>
      <xdr:rowOff>76200</xdr:rowOff>
    </xdr:from>
    <xdr:to>
      <xdr:col>14</xdr:col>
      <xdr:colOff>57150</xdr:colOff>
      <xdr:row>57</xdr:row>
      <xdr:rowOff>114300</xdr:rowOff>
    </xdr:to>
    <xdr:sp>
      <xdr:nvSpPr>
        <xdr:cNvPr id="82" name="Oval 188"/>
        <xdr:cNvSpPr>
          <a:spLocks/>
        </xdr:cNvSpPr>
      </xdr:nvSpPr>
      <xdr:spPr>
        <a:xfrm>
          <a:off x="5419725" y="8220075"/>
          <a:ext cx="47625" cy="38100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55</xdr:row>
      <xdr:rowOff>66675</xdr:rowOff>
    </xdr:from>
    <xdr:to>
      <xdr:col>18</xdr:col>
      <xdr:colOff>171450</xdr:colOff>
      <xdr:row>55</xdr:row>
      <xdr:rowOff>114300</xdr:rowOff>
    </xdr:to>
    <xdr:grpSp>
      <xdr:nvGrpSpPr>
        <xdr:cNvPr id="83" name="Group 194"/>
        <xdr:cNvGrpSpPr>
          <a:grpSpLocks/>
        </xdr:cNvGrpSpPr>
      </xdr:nvGrpSpPr>
      <xdr:grpSpPr>
        <a:xfrm>
          <a:off x="5429250" y="7924800"/>
          <a:ext cx="1638300" cy="47625"/>
          <a:chOff x="5487629" y="8007145"/>
          <a:chExt cx="1646697" cy="50735"/>
        </a:xfrm>
        <a:solidFill>
          <a:srgbClr val="FFFFFF"/>
        </a:solidFill>
      </xdr:grpSpPr>
      <xdr:sp>
        <xdr:nvSpPr>
          <xdr:cNvPr id="84" name="Oval 187"/>
          <xdr:cNvSpPr>
            <a:spLocks/>
          </xdr:cNvSpPr>
        </xdr:nvSpPr>
        <xdr:spPr>
          <a:xfrm>
            <a:off x="5487629" y="8017292"/>
            <a:ext cx="47754" cy="40588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5" name="Oval 189"/>
          <xdr:cNvSpPr>
            <a:spLocks/>
          </xdr:cNvSpPr>
        </xdr:nvSpPr>
        <xdr:spPr>
          <a:xfrm>
            <a:off x="5784446" y="8017292"/>
            <a:ext cx="47754" cy="40588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6" name="Oval 190"/>
          <xdr:cNvSpPr>
            <a:spLocks/>
          </xdr:cNvSpPr>
        </xdr:nvSpPr>
        <xdr:spPr>
          <a:xfrm>
            <a:off x="6100200" y="8007145"/>
            <a:ext cx="47754" cy="50735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7" name="Oval 191"/>
          <xdr:cNvSpPr>
            <a:spLocks/>
          </xdr:cNvSpPr>
        </xdr:nvSpPr>
        <xdr:spPr>
          <a:xfrm>
            <a:off x="6425835" y="8007145"/>
            <a:ext cx="47754" cy="50735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8" name="Oval 192"/>
          <xdr:cNvSpPr>
            <a:spLocks/>
          </xdr:cNvSpPr>
        </xdr:nvSpPr>
        <xdr:spPr>
          <a:xfrm>
            <a:off x="6751469" y="8007145"/>
            <a:ext cx="38286" cy="40588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9" name="Oval 193"/>
          <xdr:cNvSpPr>
            <a:spLocks/>
          </xdr:cNvSpPr>
        </xdr:nvSpPr>
        <xdr:spPr>
          <a:xfrm>
            <a:off x="7086572" y="8007145"/>
            <a:ext cx="47754" cy="40588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56</xdr:row>
      <xdr:rowOff>28575</xdr:rowOff>
    </xdr:from>
    <xdr:to>
      <xdr:col>18</xdr:col>
      <xdr:colOff>171450</xdr:colOff>
      <xdr:row>56</xdr:row>
      <xdr:rowOff>76200</xdr:rowOff>
    </xdr:to>
    <xdr:grpSp>
      <xdr:nvGrpSpPr>
        <xdr:cNvPr id="90" name="Group 195"/>
        <xdr:cNvGrpSpPr>
          <a:grpSpLocks/>
        </xdr:cNvGrpSpPr>
      </xdr:nvGrpSpPr>
      <xdr:grpSpPr>
        <a:xfrm>
          <a:off x="5429250" y="8029575"/>
          <a:ext cx="1638300" cy="47625"/>
          <a:chOff x="5487629" y="8007145"/>
          <a:chExt cx="1646697" cy="50735"/>
        </a:xfrm>
        <a:solidFill>
          <a:srgbClr val="FFFFFF"/>
        </a:solidFill>
      </xdr:grpSpPr>
      <xdr:sp>
        <xdr:nvSpPr>
          <xdr:cNvPr id="91" name="Oval 196"/>
          <xdr:cNvSpPr>
            <a:spLocks/>
          </xdr:cNvSpPr>
        </xdr:nvSpPr>
        <xdr:spPr>
          <a:xfrm>
            <a:off x="5487629" y="8017292"/>
            <a:ext cx="47754" cy="40588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2" name="Oval 197"/>
          <xdr:cNvSpPr>
            <a:spLocks/>
          </xdr:cNvSpPr>
        </xdr:nvSpPr>
        <xdr:spPr>
          <a:xfrm>
            <a:off x="5784446" y="8017292"/>
            <a:ext cx="47754" cy="40588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3" name="Oval 198"/>
          <xdr:cNvSpPr>
            <a:spLocks/>
          </xdr:cNvSpPr>
        </xdr:nvSpPr>
        <xdr:spPr>
          <a:xfrm>
            <a:off x="6100200" y="8007145"/>
            <a:ext cx="47754" cy="50735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4" name="Oval 199"/>
          <xdr:cNvSpPr>
            <a:spLocks/>
          </xdr:cNvSpPr>
        </xdr:nvSpPr>
        <xdr:spPr>
          <a:xfrm>
            <a:off x="6425835" y="8007145"/>
            <a:ext cx="47754" cy="50735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5" name="Oval 200"/>
          <xdr:cNvSpPr>
            <a:spLocks/>
          </xdr:cNvSpPr>
        </xdr:nvSpPr>
        <xdr:spPr>
          <a:xfrm>
            <a:off x="6751469" y="8007145"/>
            <a:ext cx="38286" cy="40588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6" name="Oval 201"/>
          <xdr:cNvSpPr>
            <a:spLocks/>
          </xdr:cNvSpPr>
        </xdr:nvSpPr>
        <xdr:spPr>
          <a:xfrm>
            <a:off x="7086572" y="8007145"/>
            <a:ext cx="47754" cy="40588"/>
          </a:xfrm>
          <a:prstGeom prst="ellipse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56</xdr:row>
      <xdr:rowOff>28575</xdr:rowOff>
    </xdr:from>
    <xdr:to>
      <xdr:col>13</xdr:col>
      <xdr:colOff>133350</xdr:colOff>
      <xdr:row>56</xdr:row>
      <xdr:rowOff>76200</xdr:rowOff>
    </xdr:to>
    <xdr:sp>
      <xdr:nvSpPr>
        <xdr:cNvPr id="97" name="Oval 204"/>
        <xdr:cNvSpPr>
          <a:spLocks/>
        </xdr:cNvSpPr>
      </xdr:nvSpPr>
      <xdr:spPr>
        <a:xfrm>
          <a:off x="5124450" y="8029575"/>
          <a:ext cx="47625" cy="47625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266700</xdr:colOff>
      <xdr:row>62</xdr:row>
      <xdr:rowOff>9525</xdr:rowOff>
    </xdr:from>
    <xdr:to>
      <xdr:col>9</xdr:col>
      <xdr:colOff>95250</xdr:colOff>
      <xdr:row>67</xdr:row>
      <xdr:rowOff>28575</xdr:rowOff>
    </xdr:to>
    <xdr:sp>
      <xdr:nvSpPr>
        <xdr:cNvPr id="98" name="Rectangle 115"/>
        <xdr:cNvSpPr>
          <a:spLocks/>
        </xdr:cNvSpPr>
      </xdr:nvSpPr>
      <xdr:spPr>
        <a:xfrm rot="19211934">
          <a:off x="3448050" y="8867775"/>
          <a:ext cx="20002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62</xdr:row>
      <xdr:rowOff>95250</xdr:rowOff>
    </xdr:from>
    <xdr:to>
      <xdr:col>9</xdr:col>
      <xdr:colOff>171450</xdr:colOff>
      <xdr:row>67</xdr:row>
      <xdr:rowOff>57150</xdr:rowOff>
    </xdr:to>
    <xdr:sp>
      <xdr:nvSpPr>
        <xdr:cNvPr id="99" name="Straight Connector 120"/>
        <xdr:cNvSpPr>
          <a:spLocks/>
        </xdr:cNvSpPr>
      </xdr:nvSpPr>
      <xdr:spPr>
        <a:xfrm rot="16200000" flipV="1">
          <a:off x="3200400" y="8953500"/>
          <a:ext cx="523875" cy="6762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200025</xdr:colOff>
      <xdr:row>62</xdr:row>
      <xdr:rowOff>0</xdr:rowOff>
    </xdr:from>
    <xdr:to>
      <xdr:col>9</xdr:col>
      <xdr:colOff>352425</xdr:colOff>
      <xdr:row>66</xdr:row>
      <xdr:rowOff>114300</xdr:rowOff>
    </xdr:to>
    <xdr:sp>
      <xdr:nvSpPr>
        <xdr:cNvPr id="100" name="Straight Connector 122"/>
        <xdr:cNvSpPr>
          <a:spLocks/>
        </xdr:cNvSpPr>
      </xdr:nvSpPr>
      <xdr:spPr>
        <a:xfrm rot="16200000" flipV="1">
          <a:off x="3381375" y="8858250"/>
          <a:ext cx="523875" cy="6858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61</xdr:row>
      <xdr:rowOff>142875</xdr:rowOff>
    </xdr:from>
    <xdr:to>
      <xdr:col>7</xdr:col>
      <xdr:colOff>266700</xdr:colOff>
      <xdr:row>64</xdr:row>
      <xdr:rowOff>57150</xdr:rowOff>
    </xdr:to>
    <xdr:sp>
      <xdr:nvSpPr>
        <xdr:cNvPr id="101" name="Straight Arrow Connector 125"/>
        <xdr:cNvSpPr>
          <a:spLocks/>
        </xdr:cNvSpPr>
      </xdr:nvSpPr>
      <xdr:spPr>
        <a:xfrm rot="5400000" flipH="1" flipV="1">
          <a:off x="3076575" y="8858250"/>
          <a:ext cx="0" cy="3429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142875</xdr:rowOff>
    </xdr:from>
    <xdr:to>
      <xdr:col>7</xdr:col>
      <xdr:colOff>266700</xdr:colOff>
      <xdr:row>61</xdr:row>
      <xdr:rowOff>142875</xdr:rowOff>
    </xdr:to>
    <xdr:sp>
      <xdr:nvSpPr>
        <xdr:cNvPr id="102" name="Straight Connector 136"/>
        <xdr:cNvSpPr>
          <a:spLocks/>
        </xdr:cNvSpPr>
      </xdr:nvSpPr>
      <xdr:spPr>
        <a:xfrm rot="10800000">
          <a:off x="1323975" y="88582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</xdr:row>
      <xdr:rowOff>28575</xdr:rowOff>
    </xdr:from>
    <xdr:to>
      <xdr:col>2</xdr:col>
      <xdr:colOff>238125</xdr:colOff>
      <xdr:row>4</xdr:row>
      <xdr:rowOff>114300</xdr:rowOff>
    </xdr:to>
    <xdr:pic>
      <xdr:nvPicPr>
        <xdr:cNvPr id="103" name="Picture 76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714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00FF"/>
  </sheetPr>
  <dimension ref="A1:X386"/>
  <sheetViews>
    <sheetView showGridLines="0" tabSelected="1" zoomScale="110" zoomScaleNormal="110" zoomScalePageLayoutView="0" workbookViewId="0" topLeftCell="A1">
      <pane xSplit="2" ySplit="6" topLeftCell="C7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X41" sqref="X41"/>
    </sheetView>
  </sheetViews>
  <sheetFormatPr defaultColWidth="9.140625" defaultRowHeight="11.25" customHeight="1"/>
  <cols>
    <col min="1" max="2" width="5.57421875" style="1" customWidth="1"/>
    <col min="3" max="3" width="8.7109375" style="1" customWidth="1"/>
    <col min="4" max="22" width="5.57421875" style="1" customWidth="1"/>
    <col min="23" max="78" width="7.28125" style="18" customWidth="1"/>
    <col min="79" max="99" width="9.140625" style="18" customWidth="1"/>
    <col min="100" max="16384" width="9.140625" style="1" customWidth="1"/>
  </cols>
  <sheetData>
    <row r="1" spans="1:22" ht="11.2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1.25" customHeight="1">
      <c r="A2" s="18"/>
      <c r="B2" s="85"/>
      <c r="C2" s="167" t="s">
        <v>111</v>
      </c>
      <c r="D2" s="167"/>
      <c r="E2" s="167"/>
      <c r="F2" s="167"/>
      <c r="G2" s="168"/>
      <c r="H2" s="118" t="s">
        <v>39</v>
      </c>
      <c r="I2" s="119"/>
      <c r="J2" s="218" t="s">
        <v>114</v>
      </c>
      <c r="K2" s="218"/>
      <c r="L2" s="218"/>
      <c r="M2" s="218"/>
      <c r="N2" s="120"/>
      <c r="O2" s="41" t="s">
        <v>40</v>
      </c>
      <c r="P2" s="41"/>
      <c r="Q2" s="214" t="s">
        <v>47</v>
      </c>
      <c r="R2" s="214"/>
      <c r="S2" s="214"/>
      <c r="T2" s="214"/>
      <c r="U2" s="173" t="s">
        <v>41</v>
      </c>
      <c r="V2" s="162">
        <v>1</v>
      </c>
    </row>
    <row r="3" spans="1:22" ht="11.25" customHeight="1">
      <c r="A3" s="18"/>
      <c r="B3" s="86"/>
      <c r="C3" s="169"/>
      <c r="D3" s="169"/>
      <c r="E3" s="169"/>
      <c r="F3" s="169"/>
      <c r="G3" s="170"/>
      <c r="H3" s="121" t="s">
        <v>42</v>
      </c>
      <c r="I3" s="122"/>
      <c r="J3" s="219" t="s">
        <v>115</v>
      </c>
      <c r="K3" s="219"/>
      <c r="L3" s="219"/>
      <c r="M3" s="219"/>
      <c r="N3" s="123"/>
      <c r="O3" s="215" t="s">
        <v>43</v>
      </c>
      <c r="P3" s="216"/>
      <c r="Q3" s="194" t="s">
        <v>109</v>
      </c>
      <c r="R3" s="194"/>
      <c r="S3" s="194"/>
      <c r="T3" s="194"/>
      <c r="U3" s="174"/>
      <c r="V3" s="124" t="s">
        <v>44</v>
      </c>
    </row>
    <row r="4" spans="1:22" ht="11.25" customHeight="1">
      <c r="A4" s="18"/>
      <c r="B4" s="86"/>
      <c r="C4" s="169" t="s">
        <v>112</v>
      </c>
      <c r="D4" s="169"/>
      <c r="E4" s="169"/>
      <c r="F4" s="169"/>
      <c r="G4" s="170"/>
      <c r="H4" s="121" t="s">
        <v>45</v>
      </c>
      <c r="I4" s="122"/>
      <c r="J4" s="219" t="s">
        <v>116</v>
      </c>
      <c r="K4" s="219"/>
      <c r="L4" s="219"/>
      <c r="M4" s="219"/>
      <c r="N4" s="123"/>
      <c r="O4" s="217" t="s">
        <v>46</v>
      </c>
      <c r="P4" s="217"/>
      <c r="Q4" s="195">
        <f ca="1">NOW()</f>
        <v>41573.841339583334</v>
      </c>
      <c r="R4" s="195"/>
      <c r="S4" s="195"/>
      <c r="T4" s="195"/>
      <c r="U4" s="174"/>
      <c r="V4" s="161">
        <v>1</v>
      </c>
    </row>
    <row r="5" spans="1:22" ht="11.25" customHeight="1" thickBot="1">
      <c r="A5" s="18"/>
      <c r="B5" s="125"/>
      <c r="C5" s="171"/>
      <c r="D5" s="171"/>
      <c r="E5" s="171"/>
      <c r="F5" s="171"/>
      <c r="G5" s="172"/>
      <c r="H5" s="126"/>
      <c r="I5" s="127"/>
      <c r="J5" s="127"/>
      <c r="K5" s="128"/>
      <c r="L5" s="129"/>
      <c r="M5" s="130"/>
      <c r="N5" s="131"/>
      <c r="O5" s="117"/>
      <c r="P5" s="117"/>
      <c r="Q5" s="132"/>
      <c r="R5" s="132"/>
      <c r="S5" s="132"/>
      <c r="T5" s="132"/>
      <c r="U5" s="174"/>
      <c r="V5" s="133"/>
    </row>
    <row r="6" spans="1:22" ht="11.25" customHeight="1" thickBot="1">
      <c r="A6" s="18"/>
      <c r="B6" s="200" t="s">
        <v>108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2"/>
    </row>
    <row r="7" spans="1:22" ht="11.25" customHeight="1">
      <c r="A7" s="18"/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"/>
    </row>
    <row r="8" spans="1:22" ht="11.25" customHeight="1">
      <c r="A8" s="18"/>
      <c r="B8" s="134" t="s">
        <v>9</v>
      </c>
      <c r="C8" s="135" t="s">
        <v>48</v>
      </c>
      <c r="D8" s="136"/>
      <c r="E8" s="136"/>
      <c r="F8" s="136"/>
      <c r="G8" s="11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/>
    </row>
    <row r="9" spans="1:22" ht="11.25" customHeight="1">
      <c r="A9" s="18"/>
      <c r="B9" s="125"/>
      <c r="C9" s="114" t="s">
        <v>49</v>
      </c>
      <c r="D9" s="115"/>
      <c r="E9" s="115"/>
      <c r="F9" s="115"/>
      <c r="G9" s="115"/>
      <c r="H9" s="3"/>
      <c r="I9" s="3"/>
      <c r="J9" s="3"/>
      <c r="K9" s="3"/>
      <c r="L9" s="3"/>
      <c r="M9" s="114" t="s">
        <v>54</v>
      </c>
      <c r="N9" s="115"/>
      <c r="O9" s="115"/>
      <c r="P9" s="115"/>
      <c r="Q9" s="115"/>
      <c r="R9" s="3"/>
      <c r="S9" s="3"/>
      <c r="T9" s="3"/>
      <c r="U9" s="3"/>
      <c r="V9" s="6"/>
    </row>
    <row r="10" spans="1:22" ht="11.25" customHeight="1">
      <c r="A10" s="18"/>
      <c r="B10" s="125"/>
      <c r="C10" s="115" t="s">
        <v>50</v>
      </c>
      <c r="D10" s="115"/>
      <c r="E10" s="115"/>
      <c r="F10" s="115" t="s">
        <v>33</v>
      </c>
      <c r="G10" s="137" t="s">
        <v>5</v>
      </c>
      <c r="H10" s="206">
        <v>173</v>
      </c>
      <c r="I10" s="207"/>
      <c r="J10" s="20" t="s">
        <v>97</v>
      </c>
      <c r="K10" s="3"/>
      <c r="L10" s="3"/>
      <c r="M10" s="115" t="s">
        <v>55</v>
      </c>
      <c r="N10" s="115"/>
      <c r="O10" s="115"/>
      <c r="P10" s="115"/>
      <c r="Q10" s="115"/>
      <c r="R10" s="19" t="s">
        <v>5</v>
      </c>
      <c r="S10" s="206" t="s">
        <v>113</v>
      </c>
      <c r="T10" s="207"/>
      <c r="U10" s="3"/>
      <c r="V10" s="6"/>
    </row>
    <row r="11" spans="1:22" ht="11.25" customHeight="1">
      <c r="A11" s="18"/>
      <c r="B11" s="125"/>
      <c r="C11" s="115" t="s">
        <v>51</v>
      </c>
      <c r="D11" s="115"/>
      <c r="E11" s="115" t="str">
        <f>H12&amp;"f'c"</f>
        <v>0.375f'c</v>
      </c>
      <c r="F11" s="115" t="s">
        <v>34</v>
      </c>
      <c r="G11" s="137" t="s">
        <v>5</v>
      </c>
      <c r="H11" s="188">
        <f>H10*H12</f>
        <v>64.875</v>
      </c>
      <c r="I11" s="188"/>
      <c r="J11" s="20" t="s">
        <v>97</v>
      </c>
      <c r="K11" s="3"/>
      <c r="L11" s="3"/>
      <c r="M11" s="115" t="s">
        <v>56</v>
      </c>
      <c r="N11" s="115"/>
      <c r="O11" s="115"/>
      <c r="P11" s="115"/>
      <c r="Q11" s="115" t="s">
        <v>36</v>
      </c>
      <c r="R11" s="19" t="s">
        <v>5</v>
      </c>
      <c r="S11" s="210">
        <f>IF(S10="SR-24",2400,IF(S10="SD-30",3000,IF(S10="SD-40",4000)))</f>
        <v>2400</v>
      </c>
      <c r="T11" s="210"/>
      <c r="U11" s="20" t="s">
        <v>97</v>
      </c>
      <c r="V11" s="6"/>
    </row>
    <row r="12" spans="1:22" ht="11.25" customHeight="1">
      <c r="A12" s="18"/>
      <c r="B12" s="125"/>
      <c r="C12" s="115" t="s">
        <v>52</v>
      </c>
      <c r="D12" s="115"/>
      <c r="E12" s="115"/>
      <c r="F12" s="115"/>
      <c r="G12" s="137" t="s">
        <v>5</v>
      </c>
      <c r="H12" s="206">
        <v>0.375</v>
      </c>
      <c r="I12" s="207"/>
      <c r="J12" s="20"/>
      <c r="K12" s="3"/>
      <c r="L12" s="3"/>
      <c r="M12" s="115" t="s">
        <v>57</v>
      </c>
      <c r="N12" s="115"/>
      <c r="O12" s="115"/>
      <c r="P12" s="115"/>
      <c r="Q12" s="115" t="s">
        <v>37</v>
      </c>
      <c r="R12" s="19" t="s">
        <v>5</v>
      </c>
      <c r="S12" s="210">
        <f>MIN(S11*0.5,1700)</f>
        <v>1200</v>
      </c>
      <c r="T12" s="210"/>
      <c r="U12" s="20" t="s">
        <v>97</v>
      </c>
      <c r="V12" s="6"/>
    </row>
    <row r="13" spans="1:22" ht="11.25" customHeight="1">
      <c r="A13" s="18"/>
      <c r="B13" s="125"/>
      <c r="C13" s="115" t="s">
        <v>53</v>
      </c>
      <c r="D13" s="115"/>
      <c r="E13" s="115"/>
      <c r="F13" s="115" t="s">
        <v>35</v>
      </c>
      <c r="G13" s="137" t="s">
        <v>5</v>
      </c>
      <c r="H13" s="188">
        <f>INT(15210*SQRT(H10))</f>
        <v>200056</v>
      </c>
      <c r="I13" s="188"/>
      <c r="J13" s="20" t="s">
        <v>97</v>
      </c>
      <c r="K13" s="3"/>
      <c r="L13" s="3"/>
      <c r="M13" s="115" t="s">
        <v>58</v>
      </c>
      <c r="N13" s="115"/>
      <c r="O13" s="115"/>
      <c r="P13" s="115"/>
      <c r="Q13" s="115" t="s">
        <v>38</v>
      </c>
      <c r="R13" s="19" t="s">
        <v>5</v>
      </c>
      <c r="S13" s="212">
        <v>2040000</v>
      </c>
      <c r="T13" s="212"/>
      <c r="U13" s="20" t="s">
        <v>97</v>
      </c>
      <c r="V13" s="6"/>
    </row>
    <row r="14" spans="1:22" ht="11.25" customHeight="1">
      <c r="A14" s="18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"/>
    </row>
    <row r="15" spans="1:22" ht="11.25" customHeight="1">
      <c r="A15" s="18"/>
      <c r="B15" s="134" t="s">
        <v>10</v>
      </c>
      <c r="C15" s="135" t="s">
        <v>59</v>
      </c>
      <c r="D15" s="136"/>
      <c r="E15" s="136"/>
      <c r="F15" s="136"/>
      <c r="G15" s="115"/>
      <c r="H15" s="115"/>
      <c r="I15" s="11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/>
    </row>
    <row r="16" spans="1:22" ht="11.25" customHeight="1">
      <c r="A16" s="18"/>
      <c r="B16" s="5"/>
      <c r="C16" s="3" t="s">
        <v>0</v>
      </c>
      <c r="D16" s="19"/>
      <c r="E16" s="3" t="s">
        <v>4</v>
      </c>
      <c r="F16" s="3"/>
      <c r="G16" s="19" t="s">
        <v>5</v>
      </c>
      <c r="H16" s="220">
        <f>TRUNC(S13/H13)</f>
        <v>10</v>
      </c>
      <c r="I16" s="220"/>
      <c r="J16" s="3"/>
      <c r="K16" s="3"/>
      <c r="L16" s="3"/>
      <c r="M16" s="3" t="s">
        <v>2</v>
      </c>
      <c r="N16" s="19"/>
      <c r="O16" s="3" t="s">
        <v>7</v>
      </c>
      <c r="P16" s="3"/>
      <c r="Q16" s="3"/>
      <c r="R16" s="19" t="s">
        <v>5</v>
      </c>
      <c r="S16" s="209">
        <f>1-(H17/3)</f>
        <v>0.8830290736984449</v>
      </c>
      <c r="T16" s="209"/>
      <c r="U16" s="3"/>
      <c r="V16" s="6"/>
    </row>
    <row r="17" spans="1:22" ht="11.25" customHeight="1">
      <c r="A17" s="18"/>
      <c r="B17" s="5"/>
      <c r="C17" s="3" t="s">
        <v>1</v>
      </c>
      <c r="D17" s="19"/>
      <c r="E17" s="3" t="s">
        <v>6</v>
      </c>
      <c r="F17" s="3"/>
      <c r="G17" s="19" t="s">
        <v>5</v>
      </c>
      <c r="H17" s="209">
        <f>1/(1+S12/(H16*H11))</f>
        <v>0.3509127789046653</v>
      </c>
      <c r="I17" s="209"/>
      <c r="J17" s="3"/>
      <c r="K17" s="3"/>
      <c r="L17" s="3"/>
      <c r="M17" s="3" t="s">
        <v>3</v>
      </c>
      <c r="N17" s="19"/>
      <c r="O17" s="3" t="s">
        <v>8</v>
      </c>
      <c r="P17" s="3"/>
      <c r="Q17" s="3"/>
      <c r="R17" s="19" t="s">
        <v>5</v>
      </c>
      <c r="S17" s="196">
        <f>(H11*S16*H17)/2</f>
        <v>10.051284411785279</v>
      </c>
      <c r="T17" s="196"/>
      <c r="U17" s="20" t="s">
        <v>97</v>
      </c>
      <c r="V17" s="6"/>
    </row>
    <row r="18" spans="1:22" ht="11.25" customHeight="1">
      <c r="A18" s="18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"/>
    </row>
    <row r="19" spans="1:22" ht="11.25" customHeight="1">
      <c r="A19" s="18"/>
      <c r="B19" s="151" t="s">
        <v>11</v>
      </c>
      <c r="C19" s="135" t="s">
        <v>63</v>
      </c>
      <c r="D19" s="154"/>
      <c r="E19" s="154"/>
      <c r="F19" s="154"/>
      <c r="G19" s="3"/>
      <c r="L19" s="3"/>
      <c r="M19" s="3"/>
      <c r="S19" s="3"/>
      <c r="T19" s="3"/>
      <c r="U19" s="3"/>
      <c r="V19" s="6"/>
    </row>
    <row r="20" spans="1:22" ht="11.25" customHeight="1">
      <c r="A20" s="18"/>
      <c r="B20" s="5"/>
      <c r="C20" s="115" t="s">
        <v>60</v>
      </c>
      <c r="D20" s="21" t="s">
        <v>18</v>
      </c>
      <c r="E20" s="3" t="str">
        <f>Q32</f>
        <v>บันไดช่วงเดียว</v>
      </c>
      <c r="F20" s="3"/>
      <c r="G20" s="21"/>
      <c r="H20" s="3"/>
      <c r="I20" s="3"/>
      <c r="J20" s="3"/>
      <c r="K20" s="3"/>
      <c r="L20" s="211" t="str">
        <f>"B =  "&amp;E27&amp;" ม."</f>
        <v>B =  1 ม.</v>
      </c>
      <c r="M20" s="3"/>
      <c r="R20" s="3"/>
      <c r="U20" s="3"/>
      <c r="V20" s="6"/>
    </row>
    <row r="21" spans="1:22" ht="11.25" customHeight="1" thickBot="1">
      <c r="A21" s="18"/>
      <c r="B21" s="5"/>
      <c r="C21" s="115" t="s">
        <v>61</v>
      </c>
      <c r="D21" s="21" t="s">
        <v>18</v>
      </c>
      <c r="E21" s="3" t="str">
        <f>Q33</f>
        <v>บันไดต่อเนื่องด้านเดียว</v>
      </c>
      <c r="F21" s="3"/>
      <c r="G21" s="21"/>
      <c r="H21" s="3"/>
      <c r="I21" s="3"/>
      <c r="J21" s="3"/>
      <c r="K21" s="3"/>
      <c r="L21" s="211"/>
      <c r="M21" s="45"/>
      <c r="N21" s="45"/>
      <c r="R21" s="84" t="s">
        <v>30</v>
      </c>
      <c r="S21" s="205" t="str">
        <f>CONCATENATE(INT(F33),"   กก./ม.")</f>
        <v>991   กก./ม.</v>
      </c>
      <c r="T21" s="205"/>
      <c r="U21" s="3"/>
      <c r="V21" s="6"/>
    </row>
    <row r="22" spans="1:22" ht="11.25" customHeight="1">
      <c r="A22" s="18"/>
      <c r="B22" s="5"/>
      <c r="C22" s="115" t="s">
        <v>62</v>
      </c>
      <c r="D22" s="21" t="s">
        <v>18</v>
      </c>
      <c r="E22" s="3" t="str">
        <f>Q34</f>
        <v>บันไดต่อเนื่องสองด้าน</v>
      </c>
      <c r="F22" s="3"/>
      <c r="G22" s="3"/>
      <c r="H22" s="3"/>
      <c r="I22" s="3"/>
      <c r="J22" s="3"/>
      <c r="L22" s="211"/>
      <c r="M22" s="45"/>
      <c r="N22" s="45"/>
      <c r="P22" s="46"/>
      <c r="R22" s="80"/>
      <c r="S22" s="81"/>
      <c r="T22" s="81"/>
      <c r="U22" s="82"/>
      <c r="V22" s="6"/>
    </row>
    <row r="23" spans="1:22" ht="11.25" customHeight="1" thickBot="1">
      <c r="A23" s="18"/>
      <c r="B23" s="5"/>
      <c r="C23" s="3"/>
      <c r="D23" s="3"/>
      <c r="E23" s="3"/>
      <c r="F23" s="3"/>
      <c r="G23" s="3"/>
      <c r="H23" s="188" t="str">
        <f>"L  =  "&amp;FIXED(E26,2)&amp;" ม."</f>
        <v>L  =  2.00 ม.</v>
      </c>
      <c r="I23" s="188"/>
      <c r="J23" s="188"/>
      <c r="K23" s="188"/>
      <c r="L23" s="2"/>
      <c r="M23" s="3"/>
      <c r="P23" s="5"/>
      <c r="U23" s="3"/>
      <c r="V23" s="6"/>
    </row>
    <row r="24" spans="1:22" ht="11.25" customHeight="1">
      <c r="A24" s="18"/>
      <c r="B24" s="151" t="s">
        <v>12</v>
      </c>
      <c r="C24" s="152" t="s">
        <v>67</v>
      </c>
      <c r="D24" s="154"/>
      <c r="E24" s="154"/>
      <c r="F24" s="154"/>
      <c r="G24" s="3"/>
      <c r="H24" s="3"/>
      <c r="I24" s="3"/>
      <c r="J24" s="3"/>
      <c r="K24" s="3"/>
      <c r="L24" s="2"/>
      <c r="M24" s="3"/>
      <c r="N24" s="49" t="s">
        <v>23</v>
      </c>
      <c r="O24" s="46"/>
      <c r="S24" s="203" t="str">
        <f>CONCATENATE(FIXED(E26,2),"   ม.")</f>
        <v>2.00   ม.</v>
      </c>
      <c r="T24" s="203"/>
      <c r="U24" s="3"/>
      <c r="V24" s="6"/>
    </row>
    <row r="25" spans="1:24" ht="11.25" customHeight="1" thickBot="1">
      <c r="A25" s="18"/>
      <c r="B25" s="5"/>
      <c r="C25" s="3" t="s">
        <v>65</v>
      </c>
      <c r="D25" s="43" t="s">
        <v>5</v>
      </c>
      <c r="E25" s="62">
        <v>1</v>
      </c>
      <c r="F25" s="61"/>
      <c r="N25" s="72" t="str">
        <f>J26&amp;" ม."</f>
        <v>0.22 ม.</v>
      </c>
      <c r="O25" s="5"/>
      <c r="U25" s="3"/>
      <c r="V25" s="6"/>
      <c r="X25" s="83"/>
    </row>
    <row r="26" spans="1:22" ht="11.25" customHeight="1">
      <c r="A26" s="18"/>
      <c r="B26" s="30"/>
      <c r="C26" s="20" t="s">
        <v>68</v>
      </c>
      <c r="D26" s="42" t="s">
        <v>5</v>
      </c>
      <c r="E26" s="106">
        <v>2</v>
      </c>
      <c r="F26" s="20" t="s">
        <v>96</v>
      </c>
      <c r="G26" s="145" t="s">
        <v>69</v>
      </c>
      <c r="I26" s="42" t="s">
        <v>5</v>
      </c>
      <c r="J26" s="106">
        <v>0.22</v>
      </c>
      <c r="K26" s="20" t="s">
        <v>96</v>
      </c>
      <c r="L26" s="208" t="s">
        <v>24</v>
      </c>
      <c r="M26" s="204" t="str">
        <f>FIXED(J27,2)&amp;" ม."</f>
        <v>0.20 ม.</v>
      </c>
      <c r="N26" s="46"/>
      <c r="O26" s="84" t="s">
        <v>29</v>
      </c>
      <c r="P26" s="50" t="str">
        <f>M31&amp;" ม."</f>
        <v>0.13 ม.</v>
      </c>
      <c r="U26" s="3"/>
      <c r="V26" s="6"/>
    </row>
    <row r="27" spans="1:22" ht="11.25" customHeight="1">
      <c r="A27" s="18"/>
      <c r="B27" s="32"/>
      <c r="C27" s="3" t="s">
        <v>70</v>
      </c>
      <c r="D27" s="42" t="s">
        <v>5</v>
      </c>
      <c r="E27" s="106">
        <v>1</v>
      </c>
      <c r="F27" s="20" t="s">
        <v>96</v>
      </c>
      <c r="G27" s="3" t="s">
        <v>71</v>
      </c>
      <c r="I27" s="43" t="s">
        <v>5</v>
      </c>
      <c r="J27" s="106">
        <v>0.2</v>
      </c>
      <c r="K27" s="20" t="s">
        <v>96</v>
      </c>
      <c r="L27" s="208"/>
      <c r="M27" s="204"/>
      <c r="N27" s="5"/>
      <c r="U27" s="3"/>
      <c r="V27" s="6"/>
    </row>
    <row r="28" spans="1:22" ht="11.25" customHeight="1">
      <c r="A28" s="18"/>
      <c r="B28" s="5"/>
      <c r="C28" s="3"/>
      <c r="D28" s="3"/>
      <c r="E28" s="3"/>
      <c r="F28" s="3"/>
      <c r="G28" s="3"/>
      <c r="K28" s="3"/>
      <c r="L28" s="3"/>
      <c r="M28" s="3"/>
      <c r="N28" s="3"/>
      <c r="V28" s="6"/>
    </row>
    <row r="29" spans="1:22" ht="11.25" customHeight="1">
      <c r="A29" s="18"/>
      <c r="B29" s="151" t="s">
        <v>13</v>
      </c>
      <c r="C29" s="152" t="s">
        <v>86</v>
      </c>
      <c r="D29" s="154"/>
      <c r="E29" s="154"/>
      <c r="F29" s="154"/>
      <c r="G29" s="3"/>
      <c r="H29" s="3"/>
      <c r="I29" s="3"/>
      <c r="J29" s="3"/>
      <c r="K29" s="3"/>
      <c r="L29" s="3"/>
      <c r="M29" s="3"/>
      <c r="N29" s="3"/>
      <c r="V29" s="6"/>
    </row>
    <row r="30" spans="1:22" ht="11.25" customHeight="1">
      <c r="A30" s="18"/>
      <c r="B30" s="5"/>
      <c r="C30" s="160" t="s">
        <v>87</v>
      </c>
      <c r="D30" s="3"/>
      <c r="E30" s="21" t="s">
        <v>5</v>
      </c>
      <c r="F30" s="44">
        <f>2400*((0.5*J26*J27)+((M31*SQRT(J26^2+J27^2))))/(J26)</f>
        <v>661.6557681057612</v>
      </c>
      <c r="G30" s="20" t="s">
        <v>98</v>
      </c>
      <c r="I30" s="146" t="s">
        <v>106</v>
      </c>
      <c r="L30" s="27" t="s">
        <v>5</v>
      </c>
      <c r="M30" s="28">
        <f>IF(E25=1,S32,IF(E25=2,S33,IF(E25=3,S34)))</f>
        <v>0.1</v>
      </c>
      <c r="N30" s="3" t="s">
        <v>96</v>
      </c>
      <c r="P30" s="138" t="s">
        <v>64</v>
      </c>
      <c r="Q30" s="139"/>
      <c r="R30" s="63"/>
      <c r="S30" s="63"/>
      <c r="T30" s="67"/>
      <c r="U30" s="68"/>
      <c r="V30" s="6"/>
    </row>
    <row r="31" spans="1:22" ht="11.25" customHeight="1">
      <c r="A31" s="18"/>
      <c r="B31" s="7"/>
      <c r="C31" s="160" t="s">
        <v>88</v>
      </c>
      <c r="D31" s="3"/>
      <c r="E31" s="21" t="s">
        <v>5</v>
      </c>
      <c r="F31" s="107">
        <v>300</v>
      </c>
      <c r="G31" s="20" t="s">
        <v>98</v>
      </c>
      <c r="I31" s="146" t="s">
        <v>72</v>
      </c>
      <c r="J31" s="3"/>
      <c r="K31" s="3"/>
      <c r="L31" s="27" t="s">
        <v>5</v>
      </c>
      <c r="M31" s="108">
        <v>0.13</v>
      </c>
      <c r="N31" s="3" t="s">
        <v>96</v>
      </c>
      <c r="P31" s="140" t="s">
        <v>65</v>
      </c>
      <c r="Q31" s="141" t="s">
        <v>66</v>
      </c>
      <c r="R31" s="69"/>
      <c r="S31" s="141" t="s">
        <v>107</v>
      </c>
      <c r="T31" s="67"/>
      <c r="U31" s="68"/>
      <c r="V31" s="6"/>
    </row>
    <row r="32" spans="1:24" ht="11.25" customHeight="1">
      <c r="A32" s="18"/>
      <c r="B32" s="5"/>
      <c r="C32" s="160" t="s">
        <v>89</v>
      </c>
      <c r="D32" s="3"/>
      <c r="E32" s="21" t="s">
        <v>5</v>
      </c>
      <c r="F32" s="107">
        <v>30</v>
      </c>
      <c r="G32" s="20" t="s">
        <v>98</v>
      </c>
      <c r="I32" s="147" t="s">
        <v>73</v>
      </c>
      <c r="L32" s="27" t="s">
        <v>5</v>
      </c>
      <c r="M32" s="108">
        <v>0.025</v>
      </c>
      <c r="N32" s="3" t="s">
        <v>96</v>
      </c>
      <c r="O32" s="111" t="str">
        <f>IF($E$25=1,"Use==&gt;","")</f>
        <v>Use==&gt;</v>
      </c>
      <c r="P32" s="142">
        <v>1</v>
      </c>
      <c r="Q32" s="143" t="s">
        <v>92</v>
      </c>
      <c r="R32" s="70"/>
      <c r="S32" s="65">
        <f>$E$26/20</f>
        <v>0.1</v>
      </c>
      <c r="T32" s="64" t="s">
        <v>96</v>
      </c>
      <c r="U32" s="64" t="s">
        <v>19</v>
      </c>
      <c r="V32" s="6"/>
      <c r="X32" s="166"/>
    </row>
    <row r="33" spans="1:22" ht="11.25" customHeight="1">
      <c r="A33" s="18"/>
      <c r="B33" s="5"/>
      <c r="C33" s="160" t="s">
        <v>90</v>
      </c>
      <c r="D33" s="3"/>
      <c r="E33" s="21" t="s">
        <v>5</v>
      </c>
      <c r="F33" s="36">
        <f>SUM(F30:F32)</f>
        <v>991.6557681057612</v>
      </c>
      <c r="G33" s="20" t="s">
        <v>98</v>
      </c>
      <c r="I33" s="148" t="s">
        <v>74</v>
      </c>
      <c r="L33" s="27" t="s">
        <v>5</v>
      </c>
      <c r="M33" s="29">
        <f>M31-M32</f>
        <v>0.10500000000000001</v>
      </c>
      <c r="N33" s="3" t="s">
        <v>96</v>
      </c>
      <c r="O33" s="49">
        <f>IF($E$25=2,"Use==&gt;","")</f>
      </c>
      <c r="P33" s="142">
        <v>2</v>
      </c>
      <c r="Q33" s="144" t="s">
        <v>93</v>
      </c>
      <c r="R33" s="66"/>
      <c r="S33" s="65">
        <f>$E$26/24</f>
        <v>0.08333333333333333</v>
      </c>
      <c r="T33" s="64" t="s">
        <v>96</v>
      </c>
      <c r="U33" s="64" t="s">
        <v>20</v>
      </c>
      <c r="V33" s="6"/>
    </row>
    <row r="34" spans="1:22" ht="11.25" customHeight="1">
      <c r="A34" s="18"/>
      <c r="B34" s="5"/>
      <c r="C34" s="3" t="s">
        <v>26</v>
      </c>
      <c r="D34" s="20" t="s">
        <v>32</v>
      </c>
      <c r="E34" s="21" t="s">
        <v>5</v>
      </c>
      <c r="F34" s="36">
        <f>((F33*E27)*(E26^2))/8</f>
        <v>495.8278840528806</v>
      </c>
      <c r="G34" s="20" t="s">
        <v>99</v>
      </c>
      <c r="I34" s="147" t="s">
        <v>75</v>
      </c>
      <c r="L34" s="27" t="s">
        <v>5</v>
      </c>
      <c r="M34" s="28">
        <f>SQRT((F34*100)/($S$17*100))/100</f>
        <v>0.07023517879962346</v>
      </c>
      <c r="N34" s="3" t="s">
        <v>96</v>
      </c>
      <c r="O34" s="49">
        <f>IF($E$25=3,"Use==&gt;","")</f>
      </c>
      <c r="P34" s="142">
        <v>3</v>
      </c>
      <c r="Q34" s="144" t="s">
        <v>94</v>
      </c>
      <c r="R34" s="4"/>
      <c r="S34" s="65">
        <f>$E$26/28</f>
        <v>0.07142857142857142</v>
      </c>
      <c r="T34" s="64" t="s">
        <v>96</v>
      </c>
      <c r="U34" s="64" t="s">
        <v>21</v>
      </c>
      <c r="V34" s="6"/>
    </row>
    <row r="35" spans="1:22" ht="11.25" customHeight="1">
      <c r="A35" s="18"/>
      <c r="B35" s="5"/>
      <c r="C35" s="1" t="s">
        <v>25</v>
      </c>
      <c r="D35" s="1" t="s">
        <v>28</v>
      </c>
      <c r="E35" s="43" t="s">
        <v>5</v>
      </c>
      <c r="F35" s="71">
        <f>S17*E27*(M33*100)^2</f>
        <v>1108.1541063993275</v>
      </c>
      <c r="G35" s="20" t="s">
        <v>99</v>
      </c>
      <c r="H35" s="79" t="str">
        <f>IF(F35&gt;F33,"OK.","NG.")</f>
        <v>OK.</v>
      </c>
      <c r="I35" s="115" t="s">
        <v>76</v>
      </c>
      <c r="K35" s="3" t="str">
        <f>IF(M33&gt;M34,"d&gt;def","d&lt;def")</f>
        <v>d&gt;def</v>
      </c>
      <c r="L35" s="21" t="s">
        <v>5</v>
      </c>
      <c r="M35" s="78" t="str">
        <f>IF(M33&gt;M34,"OK.","NG.")</f>
        <v>OK.</v>
      </c>
      <c r="N35" s="47"/>
      <c r="R35" s="27"/>
      <c r="S35" s="3"/>
      <c r="T35" s="3"/>
      <c r="U35" s="3"/>
      <c r="V35" s="6"/>
    </row>
    <row r="36" spans="1:22" ht="11.25" customHeight="1">
      <c r="A36" s="18"/>
      <c r="B36" s="151" t="s">
        <v>14</v>
      </c>
      <c r="C36" s="135" t="s">
        <v>77</v>
      </c>
      <c r="D36" s="136"/>
      <c r="E36" s="149"/>
      <c r="F36" s="158"/>
      <c r="G36" s="25"/>
      <c r="H36" s="3"/>
      <c r="I36" s="3"/>
      <c r="J36" s="3"/>
      <c r="K36" s="25"/>
      <c r="L36" s="25"/>
      <c r="M36" s="25"/>
      <c r="N36" s="3"/>
      <c r="O36" s="3"/>
      <c r="P36" s="3"/>
      <c r="Q36" s="3"/>
      <c r="R36" s="3"/>
      <c r="S36" s="3"/>
      <c r="T36" s="180" t="s">
        <v>84</v>
      </c>
      <c r="U36" s="180"/>
      <c r="V36" s="6"/>
    </row>
    <row r="37" spans="1:22" ht="11.25" customHeight="1">
      <c r="A37" s="18"/>
      <c r="B37" s="5"/>
      <c r="C37" s="150" t="s">
        <v>78</v>
      </c>
      <c r="D37" s="191" t="s">
        <v>79</v>
      </c>
      <c r="E37" s="191"/>
      <c r="F37" s="197" t="s">
        <v>27</v>
      </c>
      <c r="G37" s="198"/>
      <c r="H37" s="186">
        <v>9</v>
      </c>
      <c r="I37" s="187"/>
      <c r="J37" s="186">
        <v>10</v>
      </c>
      <c r="K37" s="187"/>
      <c r="L37" s="186">
        <v>12</v>
      </c>
      <c r="M37" s="187"/>
      <c r="N37" s="186">
        <v>16</v>
      </c>
      <c r="O37" s="187"/>
      <c r="P37" s="186">
        <v>20</v>
      </c>
      <c r="Q37" s="187"/>
      <c r="R37" s="177" t="s">
        <v>22</v>
      </c>
      <c r="S37" s="177"/>
      <c r="T37" s="186">
        <v>12</v>
      </c>
      <c r="U37" s="187"/>
      <c r="V37" s="6"/>
    </row>
    <row r="38" spans="1:22" ht="11.25" customHeight="1">
      <c r="A38" s="18"/>
      <c r="B38" s="5"/>
      <c r="C38" s="150" t="s">
        <v>80</v>
      </c>
      <c r="D38" s="191" t="s">
        <v>99</v>
      </c>
      <c r="E38" s="191"/>
      <c r="F38" s="199" t="s">
        <v>101</v>
      </c>
      <c r="G38" s="179"/>
      <c r="H38" s="192" t="s">
        <v>100</v>
      </c>
      <c r="I38" s="193"/>
      <c r="J38" s="192" t="s">
        <v>100</v>
      </c>
      <c r="K38" s="193"/>
      <c r="L38" s="192" t="s">
        <v>100</v>
      </c>
      <c r="M38" s="193"/>
      <c r="N38" s="192" t="s">
        <v>100</v>
      </c>
      <c r="O38" s="193"/>
      <c r="P38" s="192" t="s">
        <v>100</v>
      </c>
      <c r="Q38" s="193"/>
      <c r="R38" s="178" t="s">
        <v>100</v>
      </c>
      <c r="S38" s="179"/>
      <c r="T38" s="178" t="s">
        <v>100</v>
      </c>
      <c r="U38" s="222"/>
      <c r="V38" s="6"/>
    </row>
    <row r="39" spans="1:22" ht="11.25" customHeight="1">
      <c r="A39" s="18"/>
      <c r="B39" s="5"/>
      <c r="C39" s="4" t="s">
        <v>26</v>
      </c>
      <c r="D39" s="185">
        <f>F34</f>
        <v>495.8278840528806</v>
      </c>
      <c r="E39" s="185"/>
      <c r="F39" s="189">
        <f>IF(D39="","",D39/($S$12*$S$16*$M$33))</f>
        <v>4.456412652921864</v>
      </c>
      <c r="G39" s="190"/>
      <c r="H39" s="189">
        <f>IF(F39="","",1/(F39/(PI()/4*($H$37/10)^2)))</f>
        <v>0.14275439953587427</v>
      </c>
      <c r="I39" s="190"/>
      <c r="J39" s="189">
        <f>IF(F39="","",1/(F39/(PI()/4*($J$37/10)^2)))</f>
        <v>0.17623999942700525</v>
      </c>
      <c r="K39" s="190"/>
      <c r="L39" s="189">
        <f>IF(F39="","",1/(F39/(PI()/4*($L$37/10)^2)))</f>
        <v>0.2537855991748876</v>
      </c>
      <c r="M39" s="190"/>
      <c r="N39" s="189">
        <f>IF(F39="","",1/(F39/(PI()/4*($N$37/10)^2)))</f>
        <v>0.45117439853313346</v>
      </c>
      <c r="O39" s="190"/>
      <c r="P39" s="189">
        <f>IF(F39="","",1/(F39/(PI()/4*($P$37/10)^2)))</f>
        <v>0.704959997708021</v>
      </c>
      <c r="Q39" s="190"/>
      <c r="R39" s="175">
        <f>IF(SUM(H39:Q39)&gt;0,MIN(3*$M$31,0.3),"")</f>
        <v>0.3</v>
      </c>
      <c r="S39" s="176"/>
      <c r="T39" s="223">
        <f>IF(SUM(H39:S39)&gt;0,ROUND(MIN(HLOOKUP($T$37,$H$37:$Q$39,3,FALSE),R39),2),"")</f>
        <v>0.25</v>
      </c>
      <c r="U39" s="224"/>
      <c r="V39" s="6"/>
    </row>
    <row r="40" spans="1:22" ht="11.25" customHeight="1">
      <c r="A40" s="18"/>
      <c r="B40" s="5"/>
      <c r="C40" s="3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9"/>
      <c r="U40" s="9"/>
      <c r="V40" s="6"/>
    </row>
    <row r="41" spans="1:22" ht="11.25" customHeight="1">
      <c r="A41" s="18"/>
      <c r="B41" s="151" t="s">
        <v>15</v>
      </c>
      <c r="C41" s="135" t="s">
        <v>91</v>
      </c>
      <c r="D41" s="153"/>
      <c r="E41" s="153"/>
      <c r="F41" s="157"/>
      <c r="G41" s="116"/>
      <c r="H41" s="8"/>
      <c r="I41" s="3"/>
      <c r="J41" s="3"/>
      <c r="K41" s="21"/>
      <c r="L41" s="23"/>
      <c r="M41" s="21"/>
      <c r="N41" s="3"/>
      <c r="O41" s="3"/>
      <c r="P41" s="3"/>
      <c r="Q41" s="3"/>
      <c r="R41" s="227" t="s">
        <v>84</v>
      </c>
      <c r="S41" s="227"/>
      <c r="T41" s="3"/>
      <c r="U41" s="3"/>
      <c r="V41" s="6"/>
    </row>
    <row r="42" spans="1:22" ht="11.25" customHeight="1">
      <c r="A42" s="18"/>
      <c r="B42" s="5"/>
      <c r="C42" s="2" t="s">
        <v>102</v>
      </c>
      <c r="D42" s="2"/>
      <c r="E42" s="2"/>
      <c r="F42" s="22"/>
      <c r="G42" s="21"/>
      <c r="H42" s="182">
        <f>H37</f>
        <v>9</v>
      </c>
      <c r="I42" s="183"/>
      <c r="J42" s="182">
        <f>J37</f>
        <v>10</v>
      </c>
      <c r="K42" s="183"/>
      <c r="L42" s="182">
        <f>L37</f>
        <v>12</v>
      </c>
      <c r="M42" s="183"/>
      <c r="N42" s="182">
        <f>N37</f>
        <v>16</v>
      </c>
      <c r="O42" s="183"/>
      <c r="P42" s="182">
        <f>P37</f>
        <v>20</v>
      </c>
      <c r="Q42" s="183"/>
      <c r="R42" s="186">
        <v>9</v>
      </c>
      <c r="S42" s="187"/>
      <c r="T42" s="3"/>
      <c r="U42" s="3"/>
      <c r="V42" s="6"/>
    </row>
    <row r="43" spans="1:22" ht="11.25" customHeight="1">
      <c r="A43" s="18"/>
      <c r="B43" s="5"/>
      <c r="C43" s="3" t="s">
        <v>103</v>
      </c>
      <c r="D43" s="3"/>
      <c r="E43" s="3"/>
      <c r="F43" s="3"/>
      <c r="G43" s="3"/>
      <c r="H43" s="175">
        <f>IF($S$10="SR-24",1/((0.0025*100*(M31*100))/(PI()/4*(H42/10)^2)),IF($S$10="SD-30",1/((0.002*100*(M31*100))/(PI()/4*(H42/10)^2)),IF($S$10="SD-40",1/((0.0018*100*(M31*100))/(PI()/4*(H42/10)^2)))))</f>
        <v>0.19574538841597944</v>
      </c>
      <c r="I43" s="176"/>
      <c r="J43" s="175">
        <f>IF($S$10="Sr-24",1/((0.0025*100*(M31*100))/(PI()/4*(J42/10)^2)),IF($S$10="SD-30",1/((0.002*100*(M31*100))/(PI()/4*(J42/10)^2)),IF($S$10="SD-40",1/((0.0018*100*(M31*100))/(PI()/4*(J42/10)^2)))))</f>
        <v>0.24166097335306103</v>
      </c>
      <c r="K43" s="176"/>
      <c r="L43" s="175">
        <f>IF($S$10="Sr-24",1/((0.0025*100*(M31*100))/(PI()/4*(L42/10)^2)),IF($S$10="SD-30",1/((0.002*100*(M31*100))/(PI()/4*(L42/10)^2)),IF($S$10="SD-40",1/((0.0018*100*(M31*100))/(PI()/4*(L42/10)^2)))))</f>
        <v>0.34799180162840787</v>
      </c>
      <c r="M43" s="176"/>
      <c r="N43" s="175">
        <f>IF($S$10="Sr-24",1/((0.0025*100*(M31*100))/(PI()/4*(N42/10)^2)),IF($S$10="SD-30",1/((0.002*100*(M31*100))/(PI()/4*(N42/10)^2)),IF($S$10="SD-40",1/((0.0018*100*(M31*100))/(PI()/4*(N42/10)^2)))))</f>
        <v>0.6186520917838363</v>
      </c>
      <c r="O43" s="176"/>
      <c r="P43" s="175">
        <f>IF($S$10="Sr-24",1/((0.0025*100*(M31*100))/(PI()/4*(P42/10)^2)),IF($S$10="SD-30",1/((0.002*100*(M31*100))/(PI()/4*(P42/10)^2)),IF($S$10="SD-40",1/((0.0018*100*(M31*100))/(PI()/4*(P42/10)^2)))))</f>
        <v>0.9666438934122441</v>
      </c>
      <c r="Q43" s="181"/>
      <c r="R43" s="225">
        <f>ROUND(HLOOKUP($R$42,$H$42:$Q$45,4,FALSE),2)</f>
        <v>0.2</v>
      </c>
      <c r="S43" s="226"/>
      <c r="T43" s="3"/>
      <c r="U43" s="3"/>
      <c r="V43" s="6"/>
    </row>
    <row r="44" spans="1:22" ht="11.25" customHeight="1">
      <c r="A44" s="18"/>
      <c r="B44" s="5"/>
      <c r="C44" s="3" t="s">
        <v>104</v>
      </c>
      <c r="D44" s="21"/>
      <c r="E44" s="11"/>
      <c r="F44" s="11"/>
      <c r="G44" s="3"/>
      <c r="H44" s="175">
        <f>MIN(0.3,$M$31*3)</f>
        <v>0.3</v>
      </c>
      <c r="I44" s="176"/>
      <c r="J44" s="175">
        <f>MIN(0.3,$M$31*3)</f>
        <v>0.3</v>
      </c>
      <c r="K44" s="176"/>
      <c r="L44" s="175">
        <f>MIN(0.3,$M$31*3)</f>
        <v>0.3</v>
      </c>
      <c r="M44" s="176"/>
      <c r="N44" s="175">
        <f>MIN(0.3,$M$31*3)</f>
        <v>0.3</v>
      </c>
      <c r="O44" s="176"/>
      <c r="P44" s="175">
        <f>MIN(0.3,$M$31*3)</f>
        <v>0.3</v>
      </c>
      <c r="Q44" s="181"/>
      <c r="R44" s="225"/>
      <c r="S44" s="226"/>
      <c r="T44" s="3"/>
      <c r="U44" s="3"/>
      <c r="V44" s="6"/>
    </row>
    <row r="45" spans="1:22" ht="11.25" customHeight="1">
      <c r="A45" s="18"/>
      <c r="B45" s="5"/>
      <c r="C45" s="3" t="s">
        <v>105</v>
      </c>
      <c r="D45" s="43"/>
      <c r="E45" s="44"/>
      <c r="F45" s="44"/>
      <c r="G45" s="3"/>
      <c r="H45" s="175">
        <f>MIN(H43:I44)</f>
        <v>0.19574538841597944</v>
      </c>
      <c r="I45" s="176"/>
      <c r="J45" s="175">
        <f>MIN(J43:K44)</f>
        <v>0.24166097335306103</v>
      </c>
      <c r="K45" s="176"/>
      <c r="L45" s="175">
        <f>MIN(L43:M44)</f>
        <v>0.3</v>
      </c>
      <c r="M45" s="176"/>
      <c r="N45" s="175">
        <f>MIN(N43:O44)</f>
        <v>0.3</v>
      </c>
      <c r="O45" s="176"/>
      <c r="P45" s="175">
        <f>MIN(P43:Q44)</f>
        <v>0.3</v>
      </c>
      <c r="Q45" s="181"/>
      <c r="R45" s="225"/>
      <c r="S45" s="226"/>
      <c r="T45" s="3"/>
      <c r="U45" s="3"/>
      <c r="V45" s="6"/>
    </row>
    <row r="46" spans="1:22" ht="11.25" customHeight="1">
      <c r="A46" s="18"/>
      <c r="B46" s="5"/>
      <c r="C46" s="3"/>
      <c r="D46" s="21"/>
      <c r="E46" s="11"/>
      <c r="F46" s="12"/>
      <c r="G46" s="3"/>
      <c r="H46" s="3"/>
      <c r="I46" s="3"/>
      <c r="J46" s="3"/>
      <c r="K46" s="21"/>
      <c r="L46" s="13"/>
      <c r="M46" s="3"/>
      <c r="N46" s="3"/>
      <c r="O46" s="3"/>
      <c r="P46" s="3"/>
      <c r="Q46" s="3"/>
      <c r="R46" s="3"/>
      <c r="S46" s="3"/>
      <c r="T46" s="3"/>
      <c r="U46" s="3"/>
      <c r="V46" s="6"/>
    </row>
    <row r="47" spans="1:22" ht="11.25" customHeight="1">
      <c r="A47" s="18"/>
      <c r="B47" s="151" t="s">
        <v>16</v>
      </c>
      <c r="C47" s="135" t="s">
        <v>81</v>
      </c>
      <c r="D47" s="155"/>
      <c r="E47" s="156"/>
      <c r="F47" s="156"/>
      <c r="G47" s="3"/>
      <c r="H47" s="3"/>
      <c r="I47" s="3"/>
      <c r="J47" s="3"/>
      <c r="K47" s="21"/>
      <c r="L47" s="3"/>
      <c r="M47" s="3"/>
      <c r="N47" s="188"/>
      <c r="O47" s="188"/>
      <c r="P47" s="188"/>
      <c r="Q47" s="3"/>
      <c r="R47" s="3"/>
      <c r="S47" s="3"/>
      <c r="T47" s="3"/>
      <c r="U47" s="3"/>
      <c r="V47" s="6"/>
    </row>
    <row r="48" spans="1:22" ht="11.25" customHeight="1">
      <c r="A48" s="18"/>
      <c r="B48" s="5"/>
      <c r="C48" s="114" t="s">
        <v>83</v>
      </c>
      <c r="D48" s="116"/>
      <c r="E48" s="3"/>
      <c r="F48" s="10"/>
      <c r="G48" s="3"/>
      <c r="H48" s="27" t="s">
        <v>5</v>
      </c>
      <c r="I48" s="184">
        <f>(F33*1*E26)/2</f>
        <v>991.6557681057612</v>
      </c>
      <c r="J48" s="184"/>
      <c r="K48" s="20" t="s">
        <v>119</v>
      </c>
      <c r="L48" s="1" t="s">
        <v>117</v>
      </c>
      <c r="M48" s="26"/>
      <c r="N48" s="27" t="s">
        <v>5</v>
      </c>
      <c r="O48" s="164">
        <f>(F31*1*E26)/2</f>
        <v>300</v>
      </c>
      <c r="P48" s="20" t="s">
        <v>119</v>
      </c>
      <c r="Q48" s="1" t="s">
        <v>118</v>
      </c>
      <c r="R48" s="3"/>
      <c r="S48" s="3"/>
      <c r="T48" s="27" t="s">
        <v>5</v>
      </c>
      <c r="U48" s="163">
        <f>(F30+F32)*1*E26*0.5</f>
        <v>691.6557681057612</v>
      </c>
      <c r="V48" s="165" t="s">
        <v>119</v>
      </c>
    </row>
    <row r="49" spans="1:22" ht="11.25" customHeight="1">
      <c r="A49" s="18"/>
      <c r="B49" s="5"/>
      <c r="C49" s="3"/>
      <c r="D49" s="3"/>
      <c r="E49" s="3"/>
      <c r="F49" s="21"/>
      <c r="G49" s="3"/>
      <c r="H49" s="27"/>
      <c r="J49" s="48"/>
      <c r="K49" s="48"/>
      <c r="L49" s="20"/>
      <c r="M49" s="26"/>
      <c r="N49" s="20"/>
      <c r="O49" s="3"/>
      <c r="P49" s="3"/>
      <c r="Q49" s="3"/>
      <c r="R49" s="3"/>
      <c r="S49" s="3"/>
      <c r="T49" s="3"/>
      <c r="U49" s="3"/>
      <c r="V49" s="6"/>
    </row>
    <row r="50" spans="1:22" ht="11.25" customHeight="1">
      <c r="A50" s="18"/>
      <c r="B50" s="151" t="s">
        <v>17</v>
      </c>
      <c r="C50" s="135" t="s">
        <v>82</v>
      </c>
      <c r="D50" s="152"/>
      <c r="E50" s="153"/>
      <c r="F50" s="154"/>
      <c r="G50" s="3"/>
      <c r="H50" s="3"/>
      <c r="I50" s="3"/>
      <c r="M50" s="3"/>
      <c r="N50" s="3"/>
      <c r="O50" s="3"/>
      <c r="P50" s="3"/>
      <c r="Q50" s="3"/>
      <c r="R50" s="3"/>
      <c r="S50" s="3"/>
      <c r="T50" s="3"/>
      <c r="U50" s="3"/>
      <c r="V50" s="6"/>
    </row>
    <row r="51" spans="1:22" ht="11.25" customHeight="1">
      <c r="A51" s="18"/>
      <c r="B51" s="5"/>
      <c r="F51" s="2"/>
      <c r="G51" s="2"/>
      <c r="H51" s="21"/>
      <c r="I51" s="21"/>
      <c r="J51" s="21"/>
      <c r="K51" s="2"/>
      <c r="L51" s="2"/>
      <c r="M51" s="2"/>
      <c r="N51" s="21"/>
      <c r="O51" s="21"/>
      <c r="P51" s="21"/>
      <c r="Q51" s="2"/>
      <c r="R51" s="2"/>
      <c r="S51" s="2"/>
      <c r="T51" s="21"/>
      <c r="U51" s="21"/>
      <c r="V51" s="14"/>
    </row>
    <row r="52" spans="1:22" ht="11.25" customHeight="1">
      <c r="A52" s="18"/>
      <c r="B52" s="7"/>
      <c r="C52" s="51"/>
      <c r="D52" s="52"/>
      <c r="E52" s="53"/>
      <c r="F52" s="53"/>
      <c r="G52" s="53"/>
      <c r="H52" s="54"/>
      <c r="I52" s="54"/>
      <c r="J52" s="54"/>
      <c r="K52" s="53"/>
      <c r="L52" s="53"/>
      <c r="M52" s="53"/>
      <c r="N52" s="54"/>
      <c r="O52" s="54"/>
      <c r="P52" s="54"/>
      <c r="Q52" s="53"/>
      <c r="R52" s="53"/>
      <c r="S52" s="53"/>
      <c r="T52" s="54"/>
      <c r="U52" s="55"/>
      <c r="V52" s="14"/>
    </row>
    <row r="53" spans="1:22" ht="11.25" customHeight="1">
      <c r="A53" s="18"/>
      <c r="B53" s="7"/>
      <c r="C53" s="56"/>
      <c r="D53" s="8"/>
      <c r="E53" s="2"/>
      <c r="F53" s="2"/>
      <c r="G53" s="2"/>
      <c r="H53" s="43"/>
      <c r="I53" s="43"/>
      <c r="J53" s="43"/>
      <c r="K53" s="2"/>
      <c r="L53" s="228" t="str">
        <f>N25</f>
        <v>0.22 ม.</v>
      </c>
      <c r="M53" s="228"/>
      <c r="N53" s="43"/>
      <c r="O53" s="43"/>
      <c r="P53" s="43"/>
      <c r="Q53" s="2"/>
      <c r="R53" s="2"/>
      <c r="S53" s="2"/>
      <c r="T53" s="43"/>
      <c r="U53" s="57"/>
      <c r="V53" s="14"/>
    </row>
    <row r="54" spans="1:22" ht="11.25" customHeight="1">
      <c r="A54" s="18"/>
      <c r="B54" s="7"/>
      <c r="C54" s="56"/>
      <c r="D54" s="33"/>
      <c r="E54" s="34"/>
      <c r="F54" s="34"/>
      <c r="G54" s="34"/>
      <c r="H54" s="31"/>
      <c r="I54" s="31"/>
      <c r="J54" s="31"/>
      <c r="K54" s="34"/>
      <c r="L54" s="34"/>
      <c r="M54" s="34"/>
      <c r="N54" s="31"/>
      <c r="O54" s="31"/>
      <c r="P54" s="31"/>
      <c r="Q54" s="34"/>
      <c r="R54" s="34"/>
      <c r="S54" s="34"/>
      <c r="T54" s="31"/>
      <c r="U54" s="59"/>
      <c r="V54" s="14"/>
    </row>
    <row r="55" spans="1:22" ht="11.25" customHeight="1" thickBot="1">
      <c r="A55" s="18"/>
      <c r="B55" s="7"/>
      <c r="C55" s="56"/>
      <c r="D55" s="33"/>
      <c r="E55" s="34"/>
      <c r="F55" s="34"/>
      <c r="G55" s="34"/>
      <c r="H55" s="31"/>
      <c r="I55" s="31"/>
      <c r="J55" s="31"/>
      <c r="K55" s="34"/>
      <c r="L55" s="34"/>
      <c r="M55" s="34"/>
      <c r="N55" s="31"/>
      <c r="O55" s="31"/>
      <c r="Q55" s="34"/>
      <c r="R55" s="34"/>
      <c r="T55" s="34"/>
      <c r="U55" s="59"/>
      <c r="V55" s="14"/>
    </row>
    <row r="56" spans="1:22" ht="11.25" customHeight="1">
      <c r="A56" s="18"/>
      <c r="B56" s="7"/>
      <c r="C56" s="56"/>
      <c r="D56" s="33"/>
      <c r="E56" s="34"/>
      <c r="F56" s="34"/>
      <c r="G56" s="34"/>
      <c r="H56" s="31"/>
      <c r="I56" s="31"/>
      <c r="J56" s="31"/>
      <c r="K56" s="34"/>
      <c r="L56" s="34"/>
      <c r="M56" s="34"/>
      <c r="N56" s="92"/>
      <c r="O56" s="94"/>
      <c r="P56" s="104"/>
      <c r="Q56" s="95"/>
      <c r="R56" s="95"/>
      <c r="S56" s="104"/>
      <c r="T56" s="105"/>
      <c r="U56" s="59"/>
      <c r="V56" s="14"/>
    </row>
    <row r="57" spans="1:22" ht="11.25" customHeight="1" thickBot="1">
      <c r="A57" s="18"/>
      <c r="B57" s="7"/>
      <c r="C57" s="56"/>
      <c r="D57" s="33"/>
      <c r="E57" s="34"/>
      <c r="F57" s="34"/>
      <c r="G57" s="34"/>
      <c r="H57" s="31"/>
      <c r="I57" s="31"/>
      <c r="J57" s="31"/>
      <c r="K57" s="34"/>
      <c r="L57" s="34"/>
      <c r="M57" s="34"/>
      <c r="N57" s="93"/>
      <c r="O57" s="37"/>
      <c r="P57" s="16"/>
      <c r="Q57" s="96"/>
      <c r="R57" s="96"/>
      <c r="S57" s="3"/>
      <c r="T57" s="105"/>
      <c r="U57" s="59"/>
      <c r="V57" s="14"/>
    </row>
    <row r="58" spans="1:22" ht="11.25" customHeight="1" thickBot="1">
      <c r="A58" s="18"/>
      <c r="B58" s="32"/>
      <c r="C58" s="56"/>
      <c r="I58" s="20"/>
      <c r="J58" s="37"/>
      <c r="K58" s="40"/>
      <c r="L58" s="34"/>
      <c r="M58" s="31"/>
      <c r="N58" s="93"/>
      <c r="O58" s="37"/>
      <c r="Q58" s="34"/>
      <c r="R58" s="34"/>
      <c r="S58" s="112"/>
      <c r="T58" s="31"/>
      <c r="U58" s="59"/>
      <c r="V58" s="24"/>
    </row>
    <row r="59" spans="1:22" ht="11.25" customHeight="1">
      <c r="A59" s="18"/>
      <c r="B59" s="32"/>
      <c r="C59" s="56"/>
      <c r="K59" s="34"/>
      <c r="L59" s="92"/>
      <c r="M59" s="94"/>
      <c r="N59" s="35"/>
      <c r="O59" s="3"/>
      <c r="S59" s="112"/>
      <c r="U59" s="59"/>
      <c r="V59" s="6"/>
    </row>
    <row r="60" spans="1:22" ht="11.25" customHeight="1" thickBot="1">
      <c r="A60" s="18"/>
      <c r="B60" s="32"/>
      <c r="C60" s="56"/>
      <c r="D60" s="33"/>
      <c r="E60" s="34"/>
      <c r="F60" s="34"/>
      <c r="G60" s="103" t="str">
        <f>M26</f>
        <v>0.20 ม.</v>
      </c>
      <c r="H60" s="35"/>
      <c r="I60" s="37"/>
      <c r="J60" s="37"/>
      <c r="K60" s="34"/>
      <c r="L60" s="93"/>
      <c r="M60" s="37"/>
      <c r="N60" s="35"/>
      <c r="O60" s="37"/>
      <c r="P60" s="37"/>
      <c r="Q60" s="34"/>
      <c r="R60" s="40"/>
      <c r="S60" s="113"/>
      <c r="T60" s="35"/>
      <c r="U60" s="59"/>
      <c r="V60" s="24"/>
    </row>
    <row r="61" spans="1:22" ht="11.25" customHeight="1" thickBot="1">
      <c r="A61" s="18"/>
      <c r="B61" s="32"/>
      <c r="C61" s="56"/>
      <c r="D61" s="33"/>
      <c r="E61" s="34"/>
      <c r="F61" s="34"/>
      <c r="G61" s="31"/>
      <c r="H61" s="35"/>
      <c r="I61" s="37"/>
      <c r="J61" s="37"/>
      <c r="K61" s="34"/>
      <c r="L61" s="93"/>
      <c r="M61" s="37"/>
      <c r="N61" s="35"/>
      <c r="O61" s="37"/>
      <c r="P61" s="37"/>
      <c r="Q61" s="34"/>
      <c r="R61" s="34"/>
      <c r="S61" s="31"/>
      <c r="T61" s="35"/>
      <c r="U61" s="59"/>
      <c r="V61" s="24"/>
    </row>
    <row r="62" spans="1:22" ht="11.25" customHeight="1">
      <c r="A62" s="18"/>
      <c r="B62" s="32"/>
      <c r="C62" s="56"/>
      <c r="D62" s="221" t="s">
        <v>110</v>
      </c>
      <c r="E62" s="221"/>
      <c r="F62" s="221"/>
      <c r="G62" s="31"/>
      <c r="H62" s="35"/>
      <c r="I62" s="37"/>
      <c r="J62" s="92"/>
      <c r="K62" s="94"/>
      <c r="L62" s="34"/>
      <c r="M62" s="31"/>
      <c r="N62" s="35"/>
      <c r="O62" s="37"/>
      <c r="P62" s="37"/>
      <c r="Q62" s="34"/>
      <c r="R62" s="34"/>
      <c r="S62" s="31"/>
      <c r="T62" s="35"/>
      <c r="U62" s="59"/>
      <c r="V62" s="24"/>
    </row>
    <row r="63" spans="1:22" ht="11.25" customHeight="1">
      <c r="A63" s="18"/>
      <c r="B63" s="32"/>
      <c r="C63" s="56"/>
      <c r="D63" s="33"/>
      <c r="E63" s="34"/>
      <c r="F63" s="34"/>
      <c r="G63" s="31"/>
      <c r="H63" s="35"/>
      <c r="I63" s="37"/>
      <c r="J63" s="93"/>
      <c r="K63" s="37"/>
      <c r="L63" s="34"/>
      <c r="M63" s="31"/>
      <c r="N63" s="35"/>
      <c r="O63" s="37"/>
      <c r="P63" s="37"/>
      <c r="Q63" s="34"/>
      <c r="R63" s="34"/>
      <c r="S63" s="31"/>
      <c r="T63" s="35"/>
      <c r="U63" s="60"/>
      <c r="V63" s="24"/>
    </row>
    <row r="64" spans="1:22" ht="11.25" customHeight="1" thickBot="1">
      <c r="A64" s="18"/>
      <c r="B64" s="30"/>
      <c r="C64" s="56"/>
      <c r="D64" s="33"/>
      <c r="E64" s="34"/>
      <c r="F64" s="34"/>
      <c r="G64" s="31"/>
      <c r="H64" s="35"/>
      <c r="I64" s="37"/>
      <c r="J64" s="93"/>
      <c r="K64" s="37"/>
      <c r="L64" s="34"/>
      <c r="M64" s="31"/>
      <c r="R64" s="34"/>
      <c r="S64" s="31"/>
      <c r="T64" s="35"/>
      <c r="U64" s="60"/>
      <c r="V64" s="24"/>
    </row>
    <row r="65" spans="1:22" ht="11.25" customHeight="1">
      <c r="A65" s="18"/>
      <c r="B65" s="32"/>
      <c r="C65" s="56"/>
      <c r="D65" s="33"/>
      <c r="E65" s="34"/>
      <c r="F65" s="34"/>
      <c r="G65" s="31"/>
      <c r="H65" s="92"/>
      <c r="I65" s="94"/>
      <c r="J65" s="37"/>
      <c r="K65" s="34"/>
      <c r="L65" s="101" t="str">
        <f>IF(S10="SR-24","RB "&amp;R42,"DB "&amp;R42)</f>
        <v>RB 9</v>
      </c>
      <c r="M65" s="101" t="s">
        <v>95</v>
      </c>
      <c r="N65" s="110" t="str">
        <f>"@ "&amp;R43</f>
        <v>@ 0.2</v>
      </c>
      <c r="O65" s="35" t="s">
        <v>96</v>
      </c>
      <c r="Q65" s="34"/>
      <c r="R65" s="34"/>
      <c r="S65" s="31"/>
      <c r="T65" s="35"/>
      <c r="U65" s="60"/>
      <c r="V65" s="24"/>
    </row>
    <row r="66" spans="1:22" ht="11.25" customHeight="1">
      <c r="A66" s="18"/>
      <c r="B66" s="32"/>
      <c r="C66" s="56"/>
      <c r="D66" s="109" t="s">
        <v>31</v>
      </c>
      <c r="E66" s="101" t="s">
        <v>95</v>
      </c>
      <c r="F66" s="159" t="s">
        <v>85</v>
      </c>
      <c r="G66" s="31"/>
      <c r="H66" s="93"/>
      <c r="I66" s="37"/>
      <c r="J66" s="37"/>
      <c r="O66" s="37"/>
      <c r="P66" s="37"/>
      <c r="Q66" s="34"/>
      <c r="R66" s="34"/>
      <c r="S66" s="31"/>
      <c r="T66" s="35"/>
      <c r="U66" s="60"/>
      <c r="V66" s="24"/>
    </row>
    <row r="67" spans="1:22" ht="11.25" customHeight="1" thickBot="1">
      <c r="A67" s="18"/>
      <c r="B67" s="32"/>
      <c r="C67" s="56"/>
      <c r="D67" s="33"/>
      <c r="E67" s="34"/>
      <c r="F67" s="34"/>
      <c r="G67" s="31"/>
      <c r="H67" s="93"/>
      <c r="I67" s="37"/>
      <c r="J67" s="37"/>
      <c r="K67" s="40"/>
      <c r="L67" s="34"/>
      <c r="M67" s="31"/>
      <c r="N67" s="35"/>
      <c r="O67" s="37"/>
      <c r="P67" s="37"/>
      <c r="Q67" s="34"/>
      <c r="R67" s="34"/>
      <c r="S67" s="31"/>
      <c r="T67" s="35"/>
      <c r="U67" s="60"/>
      <c r="V67" s="24"/>
    </row>
    <row r="68" spans="1:22" ht="11.25" customHeight="1">
      <c r="A68" s="18"/>
      <c r="B68" s="32"/>
      <c r="C68" s="56"/>
      <c r="D68" s="33"/>
      <c r="E68" s="34"/>
      <c r="F68" s="92"/>
      <c r="G68" s="94"/>
      <c r="H68" s="35"/>
      <c r="I68" s="37"/>
      <c r="J68" s="37"/>
      <c r="K68" s="34"/>
      <c r="L68" s="34"/>
      <c r="M68" s="31"/>
      <c r="N68" s="35"/>
      <c r="O68" s="37"/>
      <c r="P68" s="37"/>
      <c r="Q68" s="34"/>
      <c r="R68" s="34"/>
      <c r="S68" s="31"/>
      <c r="T68" s="35"/>
      <c r="U68" s="60"/>
      <c r="V68" s="24"/>
    </row>
    <row r="69" spans="1:22" ht="11.25" customHeight="1">
      <c r="A69" s="18"/>
      <c r="B69" s="32"/>
      <c r="C69" s="56"/>
      <c r="D69" s="33"/>
      <c r="E69" s="34"/>
      <c r="F69" s="93"/>
      <c r="G69" s="37"/>
      <c r="H69" s="35"/>
      <c r="K69" s="34"/>
      <c r="L69" s="34"/>
      <c r="M69" s="31"/>
      <c r="N69" s="35"/>
      <c r="O69" s="37"/>
      <c r="P69" s="37"/>
      <c r="Q69" s="34"/>
      <c r="R69" s="34"/>
      <c r="S69" s="31"/>
      <c r="T69" s="35"/>
      <c r="U69" s="60"/>
      <c r="V69" s="24"/>
    </row>
    <row r="70" spans="1:22" ht="11.25" customHeight="1" thickBot="1">
      <c r="A70" s="18"/>
      <c r="B70" s="32"/>
      <c r="C70" s="56"/>
      <c r="D70" s="33"/>
      <c r="E70" s="34"/>
      <c r="F70" s="93"/>
      <c r="G70" s="37"/>
      <c r="H70" s="35"/>
      <c r="I70" s="102" t="str">
        <f>IF(S10="sr-24","RB "&amp;T37&amp;" มม. @ "&amp;FIXED(T39,2)&amp;" ม.","DB "&amp;T37&amp;" มม. @ "&amp;FIXED(T39,2)&amp;" ม.")</f>
        <v>RB 12 มม. @ 0.25 ม.</v>
      </c>
      <c r="J70" s="37"/>
      <c r="K70" s="34"/>
      <c r="L70" s="34"/>
      <c r="M70" s="31"/>
      <c r="N70" s="35"/>
      <c r="O70" s="37"/>
      <c r="P70" s="37"/>
      <c r="Q70" s="34"/>
      <c r="R70" s="34"/>
      <c r="S70" s="31"/>
      <c r="T70" s="35"/>
      <c r="U70" s="60"/>
      <c r="V70" s="24"/>
    </row>
    <row r="71" spans="1:22" ht="11.25" customHeight="1">
      <c r="A71" s="18"/>
      <c r="B71" s="32"/>
      <c r="C71" s="58"/>
      <c r="D71" s="92"/>
      <c r="E71" s="94"/>
      <c r="F71" s="34"/>
      <c r="G71" s="31"/>
      <c r="H71" s="35"/>
      <c r="I71" s="37"/>
      <c r="J71" s="37"/>
      <c r="K71" s="34"/>
      <c r="L71" s="34"/>
      <c r="M71" s="31"/>
      <c r="N71" s="35"/>
      <c r="O71" s="37"/>
      <c r="P71" s="37"/>
      <c r="Q71" s="34"/>
      <c r="R71" s="34"/>
      <c r="S71" s="31"/>
      <c r="T71" s="35"/>
      <c r="U71" s="60"/>
      <c r="V71" s="24"/>
    </row>
    <row r="72" spans="1:22" ht="11.25" customHeight="1">
      <c r="A72" s="18"/>
      <c r="B72" s="32"/>
      <c r="C72" s="58"/>
      <c r="D72" s="93"/>
      <c r="E72" s="37"/>
      <c r="F72" s="34"/>
      <c r="G72" s="31"/>
      <c r="H72" s="35"/>
      <c r="I72" s="37"/>
      <c r="J72" s="37"/>
      <c r="K72" s="34"/>
      <c r="L72" s="34"/>
      <c r="M72" s="31"/>
      <c r="N72" s="35"/>
      <c r="O72" s="37"/>
      <c r="P72" s="37"/>
      <c r="Q72" s="34"/>
      <c r="R72" s="34"/>
      <c r="S72" s="31"/>
      <c r="T72" s="35"/>
      <c r="U72" s="60"/>
      <c r="V72" s="24"/>
    </row>
    <row r="73" spans="1:22" ht="11.25" customHeight="1">
      <c r="A73" s="18"/>
      <c r="B73" s="32"/>
      <c r="C73" s="58"/>
      <c r="D73" s="93"/>
      <c r="E73" s="37"/>
      <c r="F73" s="34"/>
      <c r="G73" s="31"/>
      <c r="H73" s="35"/>
      <c r="I73" s="37"/>
      <c r="J73" s="37"/>
      <c r="K73" s="34"/>
      <c r="L73" s="34"/>
      <c r="M73" s="31"/>
      <c r="N73" s="35"/>
      <c r="O73" s="37"/>
      <c r="P73" s="37"/>
      <c r="Q73" s="34"/>
      <c r="R73" s="34"/>
      <c r="S73" s="31"/>
      <c r="T73" s="35"/>
      <c r="U73" s="60"/>
      <c r="V73" s="24"/>
    </row>
    <row r="74" spans="1:22" ht="11.25" customHeight="1">
      <c r="A74" s="18"/>
      <c r="B74" s="32"/>
      <c r="C74" s="58"/>
      <c r="D74" s="97"/>
      <c r="E74" s="34"/>
      <c r="F74" s="34"/>
      <c r="H74" s="35"/>
      <c r="I74" s="37"/>
      <c r="J74" s="37"/>
      <c r="K74" s="34"/>
      <c r="L74" s="34"/>
      <c r="M74" s="31"/>
      <c r="N74" s="35"/>
      <c r="O74" s="37"/>
      <c r="P74" s="37"/>
      <c r="Q74" s="34"/>
      <c r="R74" s="34"/>
      <c r="S74" s="31"/>
      <c r="T74" s="35"/>
      <c r="U74" s="60"/>
      <c r="V74" s="24"/>
    </row>
    <row r="75" spans="1:22" ht="11.25" customHeight="1">
      <c r="A75" s="18"/>
      <c r="B75" s="32"/>
      <c r="C75" s="58"/>
      <c r="D75" s="98"/>
      <c r="E75" s="34"/>
      <c r="F75" s="34"/>
      <c r="G75" s="100" t="str">
        <f>"ความหนา =  "&amp;FIXED(M31,2)&amp;" ม."</f>
        <v>ความหนา =  0.13 ม.</v>
      </c>
      <c r="H75" s="35"/>
      <c r="I75" s="37"/>
      <c r="J75" s="37"/>
      <c r="K75" s="34"/>
      <c r="L75" s="34"/>
      <c r="M75" s="31"/>
      <c r="N75" s="35"/>
      <c r="O75" s="37"/>
      <c r="P75" s="37"/>
      <c r="Q75" s="34"/>
      <c r="R75" s="34"/>
      <c r="S75" s="31"/>
      <c r="T75" s="35"/>
      <c r="U75" s="60"/>
      <c r="V75" s="24"/>
    </row>
    <row r="76" spans="1:22" ht="11.25" customHeight="1" thickBot="1">
      <c r="A76" s="18"/>
      <c r="B76" s="32"/>
      <c r="C76" s="58"/>
      <c r="D76" s="99"/>
      <c r="E76" s="34"/>
      <c r="F76" s="34"/>
      <c r="G76" s="31"/>
      <c r="H76" s="35"/>
      <c r="I76" s="37"/>
      <c r="J76" s="37"/>
      <c r="K76" s="34"/>
      <c r="L76" s="34"/>
      <c r="M76" s="31"/>
      <c r="N76" s="35"/>
      <c r="O76" s="37"/>
      <c r="P76" s="37"/>
      <c r="Q76" s="34"/>
      <c r="R76" s="34"/>
      <c r="S76" s="31"/>
      <c r="T76" s="35"/>
      <c r="U76" s="60"/>
      <c r="V76" s="24"/>
    </row>
    <row r="77" spans="1:22" ht="11.25" customHeight="1">
      <c r="A77" s="18"/>
      <c r="B77" s="32"/>
      <c r="C77" s="58"/>
      <c r="D77" s="33"/>
      <c r="E77" s="34"/>
      <c r="F77" s="34"/>
      <c r="G77" s="31"/>
      <c r="K77" s="213" t="str">
        <f>FIXED(E26,2)&amp;" ม."</f>
        <v>2.00 ม.</v>
      </c>
      <c r="L77" s="213"/>
      <c r="M77" s="213"/>
      <c r="N77" s="35"/>
      <c r="O77" s="37"/>
      <c r="P77" s="37"/>
      <c r="Q77" s="34"/>
      <c r="R77" s="34"/>
      <c r="S77" s="31"/>
      <c r="T77" s="35"/>
      <c r="U77" s="60"/>
      <c r="V77" s="24"/>
    </row>
    <row r="78" spans="1:22" ht="11.25" customHeight="1">
      <c r="A78" s="18"/>
      <c r="B78" s="32"/>
      <c r="C78" s="58"/>
      <c r="D78" s="33"/>
      <c r="E78" s="34"/>
      <c r="F78" s="34"/>
      <c r="G78" s="31"/>
      <c r="H78" s="35"/>
      <c r="I78" s="37"/>
      <c r="J78" s="37"/>
      <c r="K78" s="34"/>
      <c r="L78" s="34"/>
      <c r="M78" s="31"/>
      <c r="N78" s="35"/>
      <c r="O78" s="37"/>
      <c r="P78" s="37"/>
      <c r="Q78" s="34"/>
      <c r="R78" s="34"/>
      <c r="S78" s="31"/>
      <c r="T78" s="35"/>
      <c r="U78" s="60"/>
      <c r="V78" s="24"/>
    </row>
    <row r="79" spans="1:22" ht="11.25" customHeight="1">
      <c r="A79" s="18"/>
      <c r="B79" s="32"/>
      <c r="C79" s="58"/>
      <c r="D79" s="33"/>
      <c r="E79" s="34"/>
      <c r="F79" s="34"/>
      <c r="G79" s="31"/>
      <c r="H79" s="35"/>
      <c r="I79" s="37"/>
      <c r="J79" s="37"/>
      <c r="K79" s="34"/>
      <c r="L79" s="34"/>
      <c r="M79" s="31"/>
      <c r="N79" s="35"/>
      <c r="O79" s="37"/>
      <c r="P79" s="37"/>
      <c r="Q79" s="34"/>
      <c r="R79" s="34"/>
      <c r="S79" s="31"/>
      <c r="T79" s="35"/>
      <c r="U79" s="60"/>
      <c r="V79" s="24"/>
    </row>
    <row r="80" spans="1:22" ht="11.25" customHeight="1">
      <c r="A80" s="18"/>
      <c r="B80" s="32"/>
      <c r="C80" s="73"/>
      <c r="D80" s="73"/>
      <c r="E80" s="74"/>
      <c r="F80" s="74"/>
      <c r="G80" s="75"/>
      <c r="H80" s="76"/>
      <c r="I80" s="77"/>
      <c r="J80" s="77"/>
      <c r="K80" s="74"/>
      <c r="L80" s="74"/>
      <c r="M80" s="75"/>
      <c r="N80" s="76"/>
      <c r="O80" s="77"/>
      <c r="P80" s="77"/>
      <c r="Q80" s="74"/>
      <c r="R80" s="74"/>
      <c r="S80" s="75"/>
      <c r="T80" s="76"/>
      <c r="U80" s="77"/>
      <c r="V80" s="24"/>
    </row>
    <row r="81" spans="1:22" ht="11.25" customHeight="1">
      <c r="A81" s="18"/>
      <c r="B81" s="32"/>
      <c r="C81" s="33"/>
      <c r="D81" s="33"/>
      <c r="E81" s="34"/>
      <c r="F81" s="34"/>
      <c r="G81" s="31"/>
      <c r="H81" s="35"/>
      <c r="I81" s="37"/>
      <c r="J81" s="37"/>
      <c r="K81" s="34"/>
      <c r="L81" s="34"/>
      <c r="M81" s="31"/>
      <c r="N81" s="35"/>
      <c r="O81" s="37"/>
      <c r="Q81" s="34"/>
      <c r="R81" s="34"/>
      <c r="S81" s="31"/>
      <c r="T81" s="31"/>
      <c r="U81" s="37"/>
      <c r="V81" s="24"/>
    </row>
    <row r="82" spans="1:22" ht="11.25" customHeight="1">
      <c r="A82" s="18"/>
      <c r="B82" s="32"/>
      <c r="C82" s="33"/>
      <c r="D82" s="33"/>
      <c r="E82" s="34"/>
      <c r="F82" s="34"/>
      <c r="G82" s="31"/>
      <c r="H82" s="35"/>
      <c r="I82" s="37"/>
      <c r="J82" s="37"/>
      <c r="K82" s="34"/>
      <c r="L82" s="34"/>
      <c r="M82" s="31"/>
      <c r="N82" s="35"/>
      <c r="O82" s="90"/>
      <c r="P82" s="87"/>
      <c r="Q82" s="88"/>
      <c r="R82" s="88"/>
      <c r="S82" s="89"/>
      <c r="T82" s="89"/>
      <c r="U82" s="37"/>
      <c r="V82" s="24"/>
    </row>
    <row r="83" spans="1:22" ht="11.25" customHeight="1">
      <c r="A83" s="18"/>
      <c r="B83" s="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91" t="str">
        <f>O3&amp;Q3</f>
        <v>วิศวกรโครงสร้าง :นาย สุธีร์     แก้วคำ  สย.9698</v>
      </c>
      <c r="Q83" s="3"/>
      <c r="R83" s="3"/>
      <c r="S83" s="3"/>
      <c r="T83" s="3"/>
      <c r="U83" s="3"/>
      <c r="V83" s="6"/>
    </row>
    <row r="84" spans="1:22" ht="11.25" customHeight="1">
      <c r="A84" s="18"/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Q84" s="3"/>
      <c r="R84" s="3"/>
      <c r="S84" s="3"/>
      <c r="T84" s="3"/>
      <c r="U84" s="3"/>
      <c r="V84" s="6"/>
    </row>
    <row r="85" spans="2:22" s="18" customFormat="1" ht="11.25" customHeight="1" thickBot="1"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7"/>
    </row>
    <row r="86" s="18" customFormat="1" ht="11.25" customHeight="1"/>
    <row r="87" s="18" customFormat="1" ht="11.25" customHeight="1"/>
    <row r="88" s="18" customFormat="1" ht="11.25" customHeight="1"/>
    <row r="89" s="18" customFormat="1" ht="11.25" customHeight="1"/>
    <row r="90" s="18" customFormat="1" ht="11.25" customHeight="1"/>
    <row r="91" s="18" customFormat="1" ht="11.25" customHeight="1"/>
    <row r="92" s="18" customFormat="1" ht="11.25" customHeight="1"/>
    <row r="93" s="18" customFormat="1" ht="11.25" customHeight="1"/>
    <row r="94" s="18" customFormat="1" ht="11.25" customHeight="1"/>
    <row r="95" s="18" customFormat="1" ht="11.25" customHeight="1"/>
    <row r="96" s="18" customFormat="1" ht="11.25" customHeight="1"/>
    <row r="97" s="18" customFormat="1" ht="11.25" customHeight="1"/>
    <row r="98" s="18" customFormat="1" ht="11.25" customHeight="1"/>
    <row r="99" s="18" customFormat="1" ht="11.25" customHeight="1"/>
    <row r="100" s="18" customFormat="1" ht="11.25" customHeight="1"/>
    <row r="101" s="18" customFormat="1" ht="11.25" customHeight="1"/>
    <row r="102" s="18" customFormat="1" ht="11.25" customHeight="1"/>
    <row r="103" s="18" customFormat="1" ht="11.25" customHeight="1"/>
    <row r="104" s="18" customFormat="1" ht="11.25" customHeight="1"/>
    <row r="105" s="18" customFormat="1" ht="11.25" customHeight="1"/>
    <row r="106" s="18" customFormat="1" ht="11.25" customHeight="1"/>
    <row r="107" s="18" customFormat="1" ht="11.25" customHeight="1"/>
    <row r="108" s="18" customFormat="1" ht="11.25" customHeight="1"/>
    <row r="109" s="18" customFormat="1" ht="11.25" customHeight="1"/>
    <row r="110" s="18" customFormat="1" ht="11.25" customHeight="1"/>
    <row r="111" s="18" customFormat="1" ht="11.25" customHeight="1"/>
    <row r="112" s="18" customFormat="1" ht="11.25" customHeight="1"/>
    <row r="113" s="18" customFormat="1" ht="11.25" customHeight="1"/>
    <row r="114" s="18" customFormat="1" ht="11.25" customHeight="1"/>
    <row r="115" s="18" customFormat="1" ht="11.25" customHeight="1"/>
    <row r="116" s="18" customFormat="1" ht="11.25" customHeight="1"/>
    <row r="117" s="18" customFormat="1" ht="11.25" customHeight="1"/>
    <row r="118" s="18" customFormat="1" ht="11.25" customHeight="1"/>
    <row r="119" s="18" customFormat="1" ht="11.25" customHeight="1"/>
    <row r="120" s="18" customFormat="1" ht="11.25" customHeight="1"/>
    <row r="121" s="18" customFormat="1" ht="11.25" customHeight="1"/>
    <row r="122" s="18" customFormat="1" ht="11.25" customHeight="1"/>
    <row r="123" s="18" customFormat="1" ht="11.25" customHeight="1"/>
    <row r="124" s="18" customFormat="1" ht="11.25" customHeight="1"/>
    <row r="125" s="18" customFormat="1" ht="11.25" customHeight="1"/>
    <row r="126" s="18" customFormat="1" ht="11.25" customHeight="1"/>
    <row r="127" s="18" customFormat="1" ht="11.25" customHeight="1"/>
    <row r="128" s="18" customFormat="1" ht="11.25" customHeight="1"/>
    <row r="129" s="18" customFormat="1" ht="11.25" customHeight="1"/>
    <row r="130" s="18" customFormat="1" ht="11.25" customHeight="1"/>
    <row r="131" s="18" customFormat="1" ht="11.25" customHeight="1"/>
    <row r="132" s="18" customFormat="1" ht="11.25" customHeight="1"/>
    <row r="133" s="18" customFormat="1" ht="11.25" customHeight="1"/>
    <row r="134" s="18" customFormat="1" ht="11.25" customHeight="1"/>
    <row r="135" s="18" customFormat="1" ht="11.25" customHeight="1"/>
    <row r="136" s="18" customFormat="1" ht="11.25" customHeight="1"/>
    <row r="137" s="18" customFormat="1" ht="11.25" customHeight="1"/>
    <row r="138" s="18" customFormat="1" ht="11.25" customHeight="1"/>
    <row r="139" s="18" customFormat="1" ht="11.25" customHeight="1"/>
    <row r="140" s="18" customFormat="1" ht="11.25" customHeight="1"/>
    <row r="141" s="18" customFormat="1" ht="11.25" customHeight="1"/>
    <row r="142" s="18" customFormat="1" ht="11.25" customHeight="1"/>
    <row r="143" s="18" customFormat="1" ht="11.25" customHeight="1"/>
    <row r="144" s="18" customFormat="1" ht="11.25" customHeight="1"/>
    <row r="145" s="18" customFormat="1" ht="11.25" customHeight="1"/>
    <row r="146" s="18" customFormat="1" ht="11.25" customHeight="1"/>
    <row r="147" s="18" customFormat="1" ht="11.25" customHeight="1"/>
    <row r="148" s="18" customFormat="1" ht="11.25" customHeight="1"/>
    <row r="149" s="18" customFormat="1" ht="11.25" customHeight="1"/>
    <row r="150" s="18" customFormat="1" ht="11.25" customHeight="1"/>
    <row r="151" s="18" customFormat="1" ht="11.25" customHeight="1"/>
    <row r="152" s="18" customFormat="1" ht="11.25" customHeight="1"/>
    <row r="153" s="18" customFormat="1" ht="11.25" customHeight="1"/>
    <row r="154" s="18" customFormat="1" ht="11.25" customHeight="1"/>
    <row r="155" s="18" customFormat="1" ht="11.25" customHeight="1"/>
    <row r="156" s="18" customFormat="1" ht="11.25" customHeight="1"/>
    <row r="157" s="18" customFormat="1" ht="11.25" customHeight="1"/>
    <row r="158" s="18" customFormat="1" ht="11.25" customHeight="1"/>
    <row r="159" s="18" customFormat="1" ht="11.25" customHeight="1"/>
    <row r="160" s="18" customFormat="1" ht="11.25" customHeight="1"/>
    <row r="161" s="18" customFormat="1" ht="11.25" customHeight="1"/>
    <row r="162" s="18" customFormat="1" ht="11.25" customHeight="1"/>
    <row r="163" s="18" customFormat="1" ht="11.25" customHeight="1"/>
    <row r="164" s="18" customFormat="1" ht="11.25" customHeight="1"/>
    <row r="165" s="18" customFormat="1" ht="11.25" customHeight="1"/>
    <row r="166" s="18" customFormat="1" ht="11.25" customHeight="1"/>
    <row r="167" s="18" customFormat="1" ht="11.25" customHeight="1"/>
    <row r="168" s="18" customFormat="1" ht="11.25" customHeight="1"/>
    <row r="169" s="18" customFormat="1" ht="11.25" customHeight="1"/>
    <row r="170" s="18" customFormat="1" ht="11.25" customHeight="1"/>
    <row r="171" s="18" customFormat="1" ht="11.25" customHeight="1"/>
    <row r="172" s="18" customFormat="1" ht="11.25" customHeight="1"/>
    <row r="173" s="18" customFormat="1" ht="11.25" customHeight="1"/>
    <row r="174" s="18" customFormat="1" ht="11.25" customHeight="1"/>
    <row r="175" s="18" customFormat="1" ht="11.25" customHeight="1"/>
    <row r="176" s="18" customFormat="1" ht="11.25" customHeight="1"/>
    <row r="177" s="18" customFormat="1" ht="11.25" customHeight="1"/>
    <row r="178" s="18" customFormat="1" ht="11.25" customHeight="1"/>
    <row r="179" s="18" customFormat="1" ht="11.25" customHeight="1"/>
    <row r="180" s="18" customFormat="1" ht="11.25" customHeight="1"/>
    <row r="181" s="18" customFormat="1" ht="11.25" customHeight="1"/>
    <row r="182" s="18" customFormat="1" ht="11.25" customHeight="1"/>
    <row r="183" s="18" customFormat="1" ht="11.25" customHeight="1"/>
    <row r="184" s="18" customFormat="1" ht="11.25" customHeight="1"/>
    <row r="185" s="18" customFormat="1" ht="11.25" customHeight="1"/>
    <row r="186" s="18" customFormat="1" ht="11.25" customHeight="1"/>
    <row r="187" s="18" customFormat="1" ht="11.25" customHeight="1"/>
    <row r="188" s="18" customFormat="1" ht="11.25" customHeight="1"/>
    <row r="189" s="18" customFormat="1" ht="11.25" customHeight="1"/>
    <row r="190" s="18" customFormat="1" ht="11.25" customHeight="1"/>
    <row r="191" s="18" customFormat="1" ht="11.25" customHeight="1"/>
    <row r="192" s="18" customFormat="1" ht="11.25" customHeight="1"/>
    <row r="193" s="18" customFormat="1" ht="11.25" customHeight="1"/>
    <row r="194" s="18" customFormat="1" ht="11.25" customHeight="1"/>
    <row r="195" s="18" customFormat="1" ht="11.25" customHeight="1"/>
    <row r="196" s="18" customFormat="1" ht="11.25" customHeight="1"/>
    <row r="197" s="18" customFormat="1" ht="11.25" customHeight="1"/>
    <row r="198" s="18" customFormat="1" ht="11.25" customHeight="1"/>
    <row r="199" s="18" customFormat="1" ht="11.25" customHeight="1"/>
    <row r="200" s="18" customFormat="1" ht="11.25" customHeight="1"/>
    <row r="201" s="18" customFormat="1" ht="11.25" customHeight="1"/>
    <row r="202" s="18" customFormat="1" ht="11.25" customHeight="1"/>
    <row r="203" s="18" customFormat="1" ht="11.25" customHeight="1"/>
    <row r="204" s="18" customFormat="1" ht="11.25" customHeight="1"/>
    <row r="205" s="18" customFormat="1" ht="11.25" customHeight="1"/>
    <row r="206" s="18" customFormat="1" ht="11.25" customHeight="1"/>
    <row r="207" s="18" customFormat="1" ht="11.25" customHeight="1"/>
    <row r="208" s="18" customFormat="1" ht="11.25" customHeight="1"/>
    <row r="209" s="18" customFormat="1" ht="11.25" customHeight="1"/>
    <row r="210" s="18" customFormat="1" ht="11.25" customHeight="1"/>
    <row r="211" s="18" customFormat="1" ht="11.25" customHeight="1"/>
    <row r="212" s="18" customFormat="1" ht="11.25" customHeight="1"/>
    <row r="213" s="18" customFormat="1" ht="11.25" customHeight="1"/>
    <row r="214" s="18" customFormat="1" ht="11.25" customHeight="1"/>
    <row r="215" s="18" customFormat="1" ht="11.25" customHeight="1"/>
    <row r="216" s="18" customFormat="1" ht="11.25" customHeight="1"/>
    <row r="217" s="18" customFormat="1" ht="11.25" customHeight="1"/>
    <row r="218" s="18" customFormat="1" ht="11.25" customHeight="1"/>
    <row r="219" s="18" customFormat="1" ht="11.25" customHeight="1"/>
    <row r="220" s="18" customFormat="1" ht="11.25" customHeight="1"/>
    <row r="221" s="18" customFormat="1" ht="11.25" customHeight="1"/>
    <row r="222" s="18" customFormat="1" ht="11.25" customHeight="1"/>
    <row r="223" s="18" customFormat="1" ht="11.25" customHeight="1"/>
    <row r="224" s="18" customFormat="1" ht="11.25" customHeight="1"/>
    <row r="225" s="18" customFormat="1" ht="11.25" customHeight="1"/>
    <row r="226" s="18" customFormat="1" ht="11.25" customHeight="1"/>
    <row r="227" s="18" customFormat="1" ht="11.25" customHeight="1"/>
    <row r="228" s="18" customFormat="1" ht="11.25" customHeight="1"/>
    <row r="229" s="18" customFormat="1" ht="11.25" customHeight="1"/>
    <row r="230" s="18" customFormat="1" ht="11.25" customHeight="1"/>
    <row r="231" s="18" customFormat="1" ht="11.25" customHeight="1"/>
    <row r="232" s="18" customFormat="1" ht="11.25" customHeight="1"/>
    <row r="233" s="18" customFormat="1" ht="11.25" customHeight="1"/>
    <row r="234" s="18" customFormat="1" ht="11.25" customHeight="1"/>
    <row r="235" s="18" customFormat="1" ht="11.25" customHeight="1"/>
    <row r="236" s="18" customFormat="1" ht="11.25" customHeight="1"/>
    <row r="237" s="18" customFormat="1" ht="11.25" customHeight="1"/>
    <row r="238" s="18" customFormat="1" ht="11.25" customHeight="1"/>
    <row r="239" s="18" customFormat="1" ht="11.25" customHeight="1"/>
    <row r="240" s="18" customFormat="1" ht="11.25" customHeight="1"/>
    <row r="241" s="18" customFormat="1" ht="11.25" customHeight="1"/>
    <row r="242" s="18" customFormat="1" ht="11.25" customHeight="1"/>
    <row r="243" s="18" customFormat="1" ht="11.25" customHeight="1"/>
    <row r="244" s="18" customFormat="1" ht="11.25" customHeight="1"/>
    <row r="245" s="18" customFormat="1" ht="11.25" customHeight="1"/>
    <row r="246" s="18" customFormat="1" ht="11.25" customHeight="1"/>
    <row r="247" s="18" customFormat="1" ht="11.25" customHeight="1"/>
    <row r="248" s="18" customFormat="1" ht="11.25" customHeight="1"/>
    <row r="249" s="18" customFormat="1" ht="11.25" customHeight="1"/>
    <row r="250" s="18" customFormat="1" ht="11.25" customHeight="1"/>
    <row r="251" s="18" customFormat="1" ht="11.25" customHeight="1"/>
    <row r="252" s="18" customFormat="1" ht="11.25" customHeight="1"/>
    <row r="253" s="18" customFormat="1" ht="11.25" customHeight="1"/>
    <row r="254" s="18" customFormat="1" ht="11.25" customHeight="1"/>
    <row r="255" s="18" customFormat="1" ht="11.25" customHeight="1"/>
    <row r="256" s="18" customFormat="1" ht="11.25" customHeight="1"/>
    <row r="257" s="18" customFormat="1" ht="11.25" customHeight="1"/>
    <row r="258" s="18" customFormat="1" ht="11.25" customHeight="1"/>
    <row r="259" s="18" customFormat="1" ht="11.25" customHeight="1"/>
    <row r="260" s="18" customFormat="1" ht="11.25" customHeight="1"/>
    <row r="261" s="18" customFormat="1" ht="11.25" customHeight="1"/>
    <row r="262" s="18" customFormat="1" ht="11.25" customHeight="1"/>
    <row r="263" s="18" customFormat="1" ht="11.25" customHeight="1"/>
    <row r="264" s="18" customFormat="1" ht="11.25" customHeight="1"/>
    <row r="265" s="18" customFormat="1" ht="11.25" customHeight="1"/>
    <row r="266" s="18" customFormat="1" ht="11.25" customHeight="1"/>
    <row r="267" s="18" customFormat="1" ht="11.25" customHeight="1"/>
    <row r="268" s="18" customFormat="1" ht="11.25" customHeight="1"/>
    <row r="269" s="18" customFormat="1" ht="11.25" customHeight="1"/>
    <row r="270" s="18" customFormat="1" ht="11.25" customHeight="1"/>
    <row r="271" s="18" customFormat="1" ht="11.25" customHeight="1"/>
    <row r="272" s="18" customFormat="1" ht="11.25" customHeight="1"/>
    <row r="273" s="18" customFormat="1" ht="11.25" customHeight="1"/>
    <row r="274" s="18" customFormat="1" ht="11.25" customHeight="1"/>
    <row r="275" s="18" customFormat="1" ht="11.25" customHeight="1"/>
    <row r="276" s="18" customFormat="1" ht="11.25" customHeight="1"/>
    <row r="277" s="18" customFormat="1" ht="11.25" customHeight="1"/>
    <row r="278" s="18" customFormat="1" ht="11.25" customHeight="1"/>
    <row r="279" s="18" customFormat="1" ht="11.25" customHeight="1"/>
    <row r="280" s="18" customFormat="1" ht="11.25" customHeight="1"/>
    <row r="281" s="18" customFormat="1" ht="11.25" customHeight="1"/>
    <row r="282" s="18" customFormat="1" ht="11.25" customHeight="1"/>
    <row r="283" s="18" customFormat="1" ht="11.25" customHeight="1"/>
    <row r="284" s="18" customFormat="1" ht="11.25" customHeight="1"/>
    <row r="285" s="18" customFormat="1" ht="11.25" customHeight="1"/>
    <row r="286" s="18" customFormat="1" ht="11.25" customHeight="1"/>
    <row r="287" s="18" customFormat="1" ht="11.25" customHeight="1"/>
    <row r="288" s="18" customFormat="1" ht="11.25" customHeight="1"/>
    <row r="289" s="18" customFormat="1" ht="11.25" customHeight="1"/>
    <row r="290" s="18" customFormat="1" ht="11.25" customHeight="1"/>
    <row r="291" s="18" customFormat="1" ht="11.25" customHeight="1"/>
    <row r="292" s="18" customFormat="1" ht="11.25" customHeight="1"/>
    <row r="293" s="18" customFormat="1" ht="11.25" customHeight="1"/>
    <row r="294" s="18" customFormat="1" ht="11.25" customHeight="1"/>
    <row r="295" s="18" customFormat="1" ht="11.25" customHeight="1"/>
    <row r="296" s="18" customFormat="1" ht="11.25" customHeight="1"/>
    <row r="297" s="18" customFormat="1" ht="11.25" customHeight="1"/>
    <row r="298" s="18" customFormat="1" ht="11.25" customHeight="1"/>
    <row r="299" s="18" customFormat="1" ht="11.25" customHeight="1"/>
    <row r="300" s="18" customFormat="1" ht="11.25" customHeight="1"/>
    <row r="301" s="18" customFormat="1" ht="11.25" customHeight="1"/>
    <row r="302" s="18" customFormat="1" ht="11.25" customHeight="1"/>
    <row r="303" s="18" customFormat="1" ht="11.25" customHeight="1"/>
    <row r="304" s="18" customFormat="1" ht="11.25" customHeight="1"/>
    <row r="305" s="18" customFormat="1" ht="11.25" customHeight="1"/>
    <row r="306" s="18" customFormat="1" ht="11.25" customHeight="1"/>
    <row r="307" s="18" customFormat="1" ht="11.25" customHeight="1"/>
    <row r="308" s="18" customFormat="1" ht="11.25" customHeight="1"/>
    <row r="309" s="18" customFormat="1" ht="11.25" customHeight="1"/>
    <row r="310" s="18" customFormat="1" ht="11.25" customHeight="1"/>
    <row r="311" s="18" customFormat="1" ht="11.25" customHeight="1"/>
    <row r="312" s="18" customFormat="1" ht="11.25" customHeight="1"/>
    <row r="313" s="18" customFormat="1" ht="11.25" customHeight="1"/>
    <row r="314" s="18" customFormat="1" ht="11.25" customHeight="1"/>
    <row r="315" s="18" customFormat="1" ht="11.25" customHeight="1"/>
    <row r="316" s="18" customFormat="1" ht="11.25" customHeight="1"/>
    <row r="317" s="18" customFormat="1" ht="11.25" customHeight="1"/>
    <row r="318" s="18" customFormat="1" ht="11.25" customHeight="1"/>
    <row r="319" s="18" customFormat="1" ht="11.25" customHeight="1"/>
    <row r="320" s="18" customFormat="1" ht="11.25" customHeight="1"/>
    <row r="321" s="18" customFormat="1" ht="11.25" customHeight="1"/>
    <row r="322" s="18" customFormat="1" ht="11.25" customHeight="1"/>
    <row r="323" s="18" customFormat="1" ht="11.25" customHeight="1"/>
    <row r="324" s="18" customFormat="1" ht="11.25" customHeight="1"/>
    <row r="325" s="18" customFormat="1" ht="11.25" customHeight="1"/>
    <row r="326" s="18" customFormat="1" ht="11.25" customHeight="1"/>
    <row r="327" s="18" customFormat="1" ht="11.25" customHeight="1"/>
    <row r="328" s="18" customFormat="1" ht="11.25" customHeight="1"/>
    <row r="329" s="18" customFormat="1" ht="11.25" customHeight="1"/>
    <row r="330" s="18" customFormat="1" ht="11.25" customHeight="1"/>
    <row r="331" s="18" customFormat="1" ht="11.25" customHeight="1"/>
    <row r="332" s="18" customFormat="1" ht="11.25" customHeight="1"/>
    <row r="333" s="18" customFormat="1" ht="11.25" customHeight="1"/>
    <row r="334" s="18" customFormat="1" ht="11.25" customHeight="1"/>
    <row r="335" s="18" customFormat="1" ht="11.25" customHeight="1"/>
    <row r="336" s="18" customFormat="1" ht="11.25" customHeight="1"/>
    <row r="337" s="18" customFormat="1" ht="11.25" customHeight="1"/>
    <row r="338" s="18" customFormat="1" ht="11.25" customHeight="1"/>
    <row r="339" s="18" customFormat="1" ht="11.25" customHeight="1"/>
    <row r="340" s="18" customFormat="1" ht="11.25" customHeight="1"/>
    <row r="341" s="18" customFormat="1" ht="11.25" customHeight="1"/>
    <row r="342" s="18" customFormat="1" ht="11.25" customHeight="1"/>
    <row r="343" s="18" customFormat="1" ht="11.25" customHeight="1"/>
    <row r="344" s="18" customFormat="1" ht="11.25" customHeight="1"/>
    <row r="345" s="18" customFormat="1" ht="11.25" customHeight="1"/>
    <row r="346" s="18" customFormat="1" ht="11.25" customHeight="1"/>
    <row r="347" s="18" customFormat="1" ht="11.25" customHeight="1"/>
    <row r="348" s="18" customFormat="1" ht="11.25" customHeight="1"/>
    <row r="349" s="18" customFormat="1" ht="11.25" customHeight="1"/>
    <row r="350" s="18" customFormat="1" ht="11.25" customHeight="1"/>
    <row r="351" s="18" customFormat="1" ht="11.25" customHeight="1"/>
    <row r="352" s="18" customFormat="1" ht="11.25" customHeight="1"/>
    <row r="353" s="18" customFormat="1" ht="11.25" customHeight="1"/>
    <row r="354" s="18" customFormat="1" ht="11.25" customHeight="1"/>
    <row r="355" s="18" customFormat="1" ht="11.25" customHeight="1"/>
    <row r="356" s="18" customFormat="1" ht="11.25" customHeight="1"/>
    <row r="357" s="18" customFormat="1" ht="11.25" customHeight="1"/>
    <row r="358" s="18" customFormat="1" ht="11.25" customHeight="1"/>
    <row r="359" s="18" customFormat="1" ht="11.25" customHeight="1"/>
    <row r="360" s="18" customFormat="1" ht="11.25" customHeight="1"/>
    <row r="361" s="18" customFormat="1" ht="11.25" customHeight="1"/>
    <row r="362" s="18" customFormat="1" ht="11.25" customHeight="1"/>
    <row r="363" s="18" customFormat="1" ht="11.25" customHeight="1"/>
    <row r="364" s="18" customFormat="1" ht="11.25" customHeight="1"/>
    <row r="365" s="18" customFormat="1" ht="11.25" customHeight="1"/>
    <row r="366" s="18" customFormat="1" ht="11.25" customHeight="1"/>
    <row r="367" s="18" customFormat="1" ht="11.25" customHeight="1"/>
    <row r="368" s="18" customFormat="1" ht="11.25" customHeight="1"/>
    <row r="369" s="18" customFormat="1" ht="11.25" customHeight="1"/>
    <row r="370" s="18" customFormat="1" ht="11.25" customHeight="1"/>
    <row r="371" s="18" customFormat="1" ht="11.25" customHeight="1"/>
    <row r="372" s="18" customFormat="1" ht="11.25" customHeight="1"/>
    <row r="373" s="18" customFormat="1" ht="11.25" customHeight="1"/>
    <row r="374" s="18" customFormat="1" ht="11.25" customHeight="1"/>
    <row r="375" s="18" customFormat="1" ht="11.25" customHeight="1"/>
    <row r="376" s="18" customFormat="1" ht="11.25" customHeight="1"/>
    <row r="377" s="18" customFormat="1" ht="11.25" customHeight="1"/>
    <row r="378" s="18" customFormat="1" ht="11.25" customHeight="1"/>
    <row r="379" s="18" customFormat="1" ht="11.25" customHeight="1"/>
    <row r="380" s="18" customFormat="1" ht="11.25" customHeight="1"/>
    <row r="381" s="18" customFormat="1" ht="11.25" customHeight="1"/>
    <row r="382" s="18" customFormat="1" ht="11.25" customHeight="1"/>
    <row r="383" s="18" customFormat="1" ht="11.25" customHeight="1"/>
    <row r="384" s="18" customFormat="1" ht="11.25" customHeight="1"/>
    <row r="385" s="18" customFormat="1" ht="11.25" customHeight="1"/>
    <row r="386" spans="2:22" ht="11.25" customHeight="1"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</sheetData>
  <sheetProtection/>
  <mergeCells count="86">
    <mergeCell ref="D62:F62"/>
    <mergeCell ref="T37:U37"/>
    <mergeCell ref="T38:U38"/>
    <mergeCell ref="T39:U39"/>
    <mergeCell ref="R42:S42"/>
    <mergeCell ref="R43:S45"/>
    <mergeCell ref="R41:S41"/>
    <mergeCell ref="L53:M53"/>
    <mergeCell ref="H39:I39"/>
    <mergeCell ref="L44:M44"/>
    <mergeCell ref="K77:M77"/>
    <mergeCell ref="Q2:T2"/>
    <mergeCell ref="O3:P3"/>
    <mergeCell ref="O4:P4"/>
    <mergeCell ref="H12:I12"/>
    <mergeCell ref="H10:I10"/>
    <mergeCell ref="J2:M2"/>
    <mergeCell ref="J3:M3"/>
    <mergeCell ref="J4:M4"/>
    <mergeCell ref="H16:I16"/>
    <mergeCell ref="H17:I17"/>
    <mergeCell ref="S12:T12"/>
    <mergeCell ref="L20:L22"/>
    <mergeCell ref="S16:T16"/>
    <mergeCell ref="H11:I11"/>
    <mergeCell ref="S11:T11"/>
    <mergeCell ref="S13:T13"/>
    <mergeCell ref="B6:V6"/>
    <mergeCell ref="L38:M38"/>
    <mergeCell ref="N38:O38"/>
    <mergeCell ref="J38:K38"/>
    <mergeCell ref="S24:T24"/>
    <mergeCell ref="H23:K23"/>
    <mergeCell ref="M26:M27"/>
    <mergeCell ref="S21:T21"/>
    <mergeCell ref="S10:T10"/>
    <mergeCell ref="L26:L27"/>
    <mergeCell ref="Q3:T3"/>
    <mergeCell ref="Q4:T4"/>
    <mergeCell ref="F39:G39"/>
    <mergeCell ref="S17:T17"/>
    <mergeCell ref="H13:I13"/>
    <mergeCell ref="N39:O39"/>
    <mergeCell ref="F37:G37"/>
    <mergeCell ref="H37:I37"/>
    <mergeCell ref="J37:K37"/>
    <mergeCell ref="F38:G38"/>
    <mergeCell ref="J39:K39"/>
    <mergeCell ref="L39:M39"/>
    <mergeCell ref="J43:K43"/>
    <mergeCell ref="D38:E38"/>
    <mergeCell ref="D37:E37"/>
    <mergeCell ref="P37:Q37"/>
    <mergeCell ref="P38:Q38"/>
    <mergeCell ref="N37:O37"/>
    <mergeCell ref="H38:I38"/>
    <mergeCell ref="P39:Q39"/>
    <mergeCell ref="I48:J48"/>
    <mergeCell ref="N42:O42"/>
    <mergeCell ref="L42:M42"/>
    <mergeCell ref="J42:K42"/>
    <mergeCell ref="D39:E39"/>
    <mergeCell ref="L37:M37"/>
    <mergeCell ref="N47:P47"/>
    <mergeCell ref="N45:O45"/>
    <mergeCell ref="H44:I44"/>
    <mergeCell ref="H43:I43"/>
    <mergeCell ref="P44:Q44"/>
    <mergeCell ref="P42:Q42"/>
    <mergeCell ref="H45:I45"/>
    <mergeCell ref="J45:K45"/>
    <mergeCell ref="L45:M45"/>
    <mergeCell ref="P45:Q45"/>
    <mergeCell ref="J44:K44"/>
    <mergeCell ref="L43:M43"/>
    <mergeCell ref="H42:I42"/>
    <mergeCell ref="C2:G3"/>
    <mergeCell ref="C4:G5"/>
    <mergeCell ref="U2:U5"/>
    <mergeCell ref="N43:O43"/>
    <mergeCell ref="N44:O44"/>
    <mergeCell ref="R37:S37"/>
    <mergeCell ref="R38:S38"/>
    <mergeCell ref="R39:S39"/>
    <mergeCell ref="T36:U36"/>
    <mergeCell ref="P43:Q43"/>
  </mergeCells>
  <conditionalFormatting sqref="O48">
    <cfRule type="cellIs" priority="12" dxfId="6" operator="equal" stopIfTrue="1">
      <formula>"Try again"</formula>
    </cfRule>
  </conditionalFormatting>
  <conditionalFormatting sqref="M35">
    <cfRule type="cellIs" priority="7" dxfId="7" operator="equal" stopIfTrue="1">
      <formula>"Try Depth Again"</formula>
    </cfRule>
  </conditionalFormatting>
  <conditionalFormatting sqref="M35">
    <cfRule type="colorScale" priority="6" dxfId="0">
      <colorScale>
        <cfvo type="min" val="0"/>
        <cfvo type="max"/>
        <color rgb="FFFF7128"/>
        <color theme="1"/>
      </colorScale>
    </cfRule>
  </conditionalFormatting>
  <conditionalFormatting sqref="R33">
    <cfRule type="cellIs" priority="5" dxfId="8" operator="equal" stopIfTrue="1">
      <formula>"Try Depth again"</formula>
    </cfRule>
  </conditionalFormatting>
  <conditionalFormatting sqref="M35 H35">
    <cfRule type="cellIs" priority="3" dxfId="9" operator="equal" stopIfTrue="1">
      <formula>"NG."</formula>
    </cfRule>
  </conditionalFormatting>
  <conditionalFormatting sqref="O32:O34">
    <cfRule type="cellIs" priority="2" dxfId="10" operator="equal" stopIfTrue="1">
      <formula>"Use==&gt;"</formula>
    </cfRule>
  </conditionalFormatting>
  <conditionalFormatting sqref="U48">
    <cfRule type="cellIs" priority="1" dxfId="6" operator="equal" stopIfTrue="1">
      <formula>"Try again"</formula>
    </cfRule>
  </conditionalFormatting>
  <dataValidations count="6">
    <dataValidation type="list" allowBlank="1" showInputMessage="1" showErrorMessage="1" sqref="R42">
      <formula1>$H$42:$Q$42</formula1>
    </dataValidation>
    <dataValidation type="list" allowBlank="1" showInputMessage="1" showErrorMessage="1" sqref="T37">
      <formula1>$H$37:$Q$37</formula1>
    </dataValidation>
    <dataValidation type="list" allowBlank="1" showInputMessage="1" showErrorMessage="1" sqref="H37:Q37">
      <formula1>"9,10,12,15,16,19,20,25"</formula1>
    </dataValidation>
    <dataValidation type="list" allowBlank="1" showInputMessage="1" showErrorMessage="1" sqref="E25">
      <formula1>"1,2,3"</formula1>
    </dataValidation>
    <dataValidation type="list" allowBlank="1" showInputMessage="1" showErrorMessage="1" sqref="S10">
      <formula1>"SR-24,SD-30,SD-40"</formula1>
    </dataValidation>
    <dataValidation type="list" allowBlank="1" showInputMessage="1" showErrorMessage="1" sqref="H12">
      <formula1>"0.375,.45"</formula1>
    </dataValidation>
  </dataValidations>
  <printOptions horizontalCentered="1" verticalCentered="1"/>
  <pageMargins left="0.3937007874015748" right="0.31496062992125984" top="0.3937007874015748" bottom="0.3937007874015748" header="0.31496062992125984" footer="0.07874015748031496"/>
  <pageSetup horizontalDpi="600" verticalDpi="600" orientation="portrait" paperSize="9" scale="85" r:id="rId2"/>
  <headerFooter>
    <oddFooter>&amp;L&amp;11&amp;Z&amp;F&amp;R&amp;11&amp;D/&amp;T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Sutee</dc:creator>
  <cp:keywords/>
  <dc:description/>
  <cp:lastModifiedBy>TOSHIBA</cp:lastModifiedBy>
  <cp:lastPrinted>2012-11-16T16:32:48Z</cp:lastPrinted>
  <dcterms:created xsi:type="dcterms:W3CDTF">2008-06-04T11:41:54Z</dcterms:created>
  <dcterms:modified xsi:type="dcterms:W3CDTF">2013-10-26T13:11:35Z</dcterms:modified>
  <cp:category/>
  <cp:version/>
  <cp:contentType/>
  <cp:contentStatus/>
</cp:coreProperties>
</file>