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SEC. BEAM" sheetId="1" r:id="rId1"/>
  </sheets>
  <definedNames>
    <definedName name="_xlnm.Print_Area" localSheetId="0">'SEC. BEAM'!$A$1:$J$56</definedName>
    <definedName name="_xlnm.Print_Titles" localSheetId="0">'SEC. BEAM'!$1:$4</definedName>
    <definedName name="Z_B381FCE2_D8C1_4124_915B_856606DE7547_.wvu.PrintArea" localSheetId="0" hidden="1">'SEC. BEAM'!$A$1:$J$93</definedName>
    <definedName name="Z_B381FCE2_D8C1_4124_915B_856606DE7547_.wvu.PrintTitles" localSheetId="0" hidden="1">'SEC. BEAM'!$1:$4</definedName>
  </definedNames>
  <calcPr fullCalcOnLoad="1"/>
</workbook>
</file>

<file path=xl/sharedStrings.xml><?xml version="1.0" encoding="utf-8"?>
<sst xmlns="http://schemas.openxmlformats.org/spreadsheetml/2006/main" count="199" uniqueCount="126">
  <si>
    <t>m</t>
  </si>
  <si>
    <t>=</t>
  </si>
  <si>
    <t>t</t>
  </si>
  <si>
    <t>mm</t>
  </si>
  <si>
    <t>1)- APPLIED FORCES :-</t>
  </si>
  <si>
    <t xml:space="preserve">M+ive </t>
  </si>
  <si>
    <t>mt</t>
  </si>
  <si>
    <t>Q</t>
  </si>
  <si>
    <t>cm</t>
  </si>
  <si>
    <t>Y</t>
  </si>
  <si>
    <t>A</t>
  </si>
  <si>
    <t>a</t>
  </si>
  <si>
    <t>b</t>
  </si>
  <si>
    <r>
      <t>Lu</t>
    </r>
    <r>
      <rPr>
        <vertAlign val="subscript"/>
        <sz val="11"/>
        <rFont val="Times New Roman"/>
        <family val="1"/>
      </rPr>
      <t>max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</si>
  <si>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</si>
  <si>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</si>
  <si>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</si>
  <si>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4</t>
    </r>
  </si>
  <si>
    <t>Cb</t>
  </si>
  <si>
    <t>Rt</t>
  </si>
  <si>
    <t>Af</t>
  </si>
  <si>
    <t>F1</t>
  </si>
  <si>
    <t>Lu/Rt</t>
  </si>
  <si>
    <t>F2</t>
  </si>
  <si>
    <t>F3</t>
  </si>
  <si>
    <t>Fltb</t>
  </si>
  <si>
    <t>PROPERTIES OF SECTION :-</t>
  </si>
  <si>
    <r>
      <t>( 20.b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(√ fy )  =</t>
    </r>
  </si>
  <si>
    <r>
      <t>( 1380.A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 fy.d ) x C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  =</t>
    </r>
  </si>
  <si>
    <t>The sec is</t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</si>
  <si>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  <r>
      <rPr>
        <vertAlign val="subscript"/>
        <sz val="11"/>
        <rFont val="Times New Roman"/>
        <family val="1"/>
      </rPr>
      <t>w</t>
    </r>
  </si>
  <si>
    <r>
      <t>C/t</t>
    </r>
    <r>
      <rPr>
        <vertAlign val="subscript"/>
        <sz val="11"/>
        <rFont val="Times New Roman"/>
        <family val="1"/>
      </rPr>
      <t>f</t>
    </r>
  </si>
  <si>
    <r>
      <t>f</t>
    </r>
    <r>
      <rPr>
        <vertAlign val="subscript"/>
        <sz val="11"/>
        <rFont val="Times New Roman"/>
        <family val="1"/>
      </rPr>
      <t>bcx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</si>
  <si>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</si>
  <si>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I</t>
    </r>
    <r>
      <rPr>
        <vertAlign val="subscript"/>
        <sz val="11"/>
        <rFont val="Times New Roman"/>
        <family val="1"/>
      </rPr>
      <t>x</t>
    </r>
  </si>
  <si>
    <r>
      <t>I</t>
    </r>
    <r>
      <rPr>
        <vertAlign val="subscript"/>
        <sz val="11"/>
        <rFont val="Times New Roman"/>
        <family val="1"/>
      </rPr>
      <t>y</t>
    </r>
  </si>
  <si>
    <r>
      <t>S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</si>
  <si>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</si>
  <si>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y</t>
    </r>
  </si>
  <si>
    <t>2)- CHOISE OF SECTION :-</t>
  </si>
  <si>
    <t>CHECK COMPACTNESS :-</t>
  </si>
  <si>
    <t>Lateral torsional buckling of comp.flange</t>
  </si>
  <si>
    <t>Fltb1</t>
  </si>
  <si>
    <t>If</t>
  </si>
  <si>
    <t>Fltb2</t>
  </si>
  <si>
    <t>F</t>
  </si>
  <si>
    <t>Fsec</t>
  </si>
  <si>
    <t>CHECK NORMAL STRESSES :-</t>
  </si>
  <si>
    <t>CHECK SHEAR STRESSES :-</t>
  </si>
  <si>
    <r>
      <t>q</t>
    </r>
    <r>
      <rPr>
        <vertAlign val="subscript"/>
        <sz val="11"/>
        <rFont val="Times New Roman"/>
        <family val="1"/>
      </rPr>
      <t>w</t>
    </r>
  </si>
  <si>
    <t>Web is</t>
  </si>
  <si>
    <t>Flange is</t>
  </si>
  <si>
    <t>Refrences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</si>
  <si>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</si>
  <si>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</si>
  <si>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</si>
  <si>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</si>
  <si>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</si>
  <si>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</si>
  <si>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</si>
  <si>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</si>
  <si>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</si>
  <si>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</si>
  <si>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</si>
  <si>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table(2.1a)</t>
  </si>
  <si>
    <t>table(2.1c)</t>
  </si>
  <si>
    <t>table(2.2)</t>
  </si>
  <si>
    <t>ECP 16</t>
  </si>
  <si>
    <t>eqn. 2.18</t>
  </si>
  <si>
    <t>ECP</t>
  </si>
  <si>
    <t>eqn. 2.2</t>
  </si>
  <si>
    <t>M.Nour</t>
  </si>
  <si>
    <r>
      <t>t</t>
    </r>
    <r>
      <rPr>
        <vertAlign val="subscript"/>
        <sz val="11"/>
        <rFont val="Times New Roman"/>
        <family val="1"/>
      </rPr>
      <t>WEB</t>
    </r>
  </si>
  <si>
    <t>IPE</t>
  </si>
  <si>
    <t>AREA</t>
  </si>
  <si>
    <t>h</t>
  </si>
  <si>
    <t>s</t>
  </si>
  <si>
    <t>r1</t>
  </si>
  <si>
    <t>h-2c</t>
  </si>
  <si>
    <t>Ix</t>
  </si>
  <si>
    <t>Sx</t>
  </si>
  <si>
    <t>rx</t>
  </si>
  <si>
    <t>Iy</t>
  </si>
  <si>
    <t>ry</t>
  </si>
  <si>
    <t>IPE 140</t>
  </si>
  <si>
    <t>IPE 160</t>
  </si>
  <si>
    <t>IPE 180</t>
  </si>
  <si>
    <t>IPE 200</t>
  </si>
  <si>
    <t>IPE 220</t>
  </si>
  <si>
    <t>IPE 240</t>
  </si>
  <si>
    <t>IPE 270</t>
  </si>
  <si>
    <t>IPE 300</t>
  </si>
  <si>
    <t>IPE 330</t>
  </si>
  <si>
    <t>IPE 360</t>
  </si>
  <si>
    <t>IPE 400</t>
  </si>
  <si>
    <t>IPE 450</t>
  </si>
  <si>
    <t>IPE 500</t>
  </si>
  <si>
    <t>IPE 550</t>
  </si>
  <si>
    <t>IPE 600</t>
  </si>
  <si>
    <t>CHECKING AND PACKING HALL</t>
  </si>
  <si>
    <t xml:space="preserve">      The section is Rolled section</t>
  </si>
  <si>
    <r>
      <t>b</t>
    </r>
    <r>
      <rPr>
        <vertAlign val="subscript"/>
        <sz val="11"/>
        <rFont val="Times New Roman"/>
        <family val="1"/>
      </rPr>
      <t>FL</t>
    </r>
  </si>
  <si>
    <r>
      <t>t</t>
    </r>
    <r>
      <rPr>
        <vertAlign val="subscript"/>
        <sz val="11"/>
        <rFont val="Times New Roman"/>
        <family val="1"/>
      </rPr>
      <t>FL</t>
    </r>
  </si>
  <si>
    <t>SEC. BEAM ID :-</t>
  </si>
  <si>
    <t>( SB-1 )</t>
  </si>
  <si>
    <t>Case Combination</t>
  </si>
  <si>
    <t>Total length of Beam (L)             =</t>
  </si>
  <si>
    <t>Lu of compressin flange              =</t>
  </si>
  <si>
    <t>3)- BEAM DATA :-</t>
  </si>
  <si>
    <t>4)- CHECK SECTION :-</t>
  </si>
  <si>
    <t>CHECK DEFLICTION DUO TO LIVE LOAD :-</t>
  </si>
  <si>
    <r>
      <t>W</t>
    </r>
    <r>
      <rPr>
        <vertAlign val="subscript"/>
        <sz val="11"/>
        <rFont val="Times New Roman"/>
        <family val="1"/>
      </rPr>
      <t>L.L</t>
    </r>
  </si>
  <si>
    <t>t/m</t>
  </si>
  <si>
    <t>Beam type</t>
  </si>
  <si>
    <t>simple</t>
  </si>
  <si>
    <t>continues</t>
  </si>
  <si>
    <r>
      <t>δ</t>
    </r>
    <r>
      <rPr>
        <vertAlign val="subscript"/>
        <sz val="11"/>
        <rFont val="Times New Roman"/>
        <family val="1"/>
      </rPr>
      <t>L.L</t>
    </r>
  </si>
  <si>
    <t>ECP 132</t>
  </si>
  <si>
    <t>table(9.1)</t>
  </si>
  <si>
    <t>IPE 120</t>
  </si>
  <si>
    <t>St.37</t>
  </si>
  <si>
    <t>St.44</t>
  </si>
  <si>
    <t>St.52</t>
  </si>
  <si>
    <t>Steel grade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</si>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</sst>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double"/>
      <sz val="10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4">
    <xf numFmtId="201" fontId="0" fillId="0" borderId="0" xfId="0" applyAlignment="1">
      <alignment/>
    </xf>
    <xf numFmtId="201" fontId="9" fillId="0" borderId="10" xfId="0" applyFont="1" applyBorder="1" applyAlignment="1" applyProtection="1">
      <alignment horizontal="center" vertical="center"/>
      <protection locked="0"/>
    </xf>
    <xf numFmtId="201" fontId="0" fillId="0" borderId="11" xfId="0" applyBorder="1" applyAlignment="1" applyProtection="1">
      <alignment/>
      <protection locked="0"/>
    </xf>
    <xf numFmtId="201" fontId="9" fillId="0" borderId="12" xfId="0" applyFont="1" applyBorder="1" applyAlignment="1" applyProtection="1">
      <alignment horizontal="center" vertical="center"/>
      <protection locked="0"/>
    </xf>
    <xf numFmtId="201" fontId="0" fillId="0" borderId="13" xfId="0" applyBorder="1" applyAlignment="1" applyProtection="1">
      <alignment/>
      <protection locked="0"/>
    </xf>
    <xf numFmtId="201" fontId="0" fillId="0" borderId="14" xfId="0" applyBorder="1" applyAlignment="1" applyProtection="1">
      <alignment/>
      <protection locked="0"/>
    </xf>
    <xf numFmtId="201" fontId="0" fillId="0" borderId="15" xfId="0" applyFont="1" applyFill="1" applyBorder="1" applyAlignment="1" applyProtection="1">
      <alignment horizontal="left" vertical="center"/>
      <protection locked="0"/>
    </xf>
    <xf numFmtId="201" fontId="0" fillId="0" borderId="16" xfId="0" applyBorder="1" applyAlignment="1" applyProtection="1">
      <alignment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10" fillId="0" borderId="0" xfId="0" applyFont="1" applyBorder="1" applyAlignment="1" applyProtection="1">
      <alignment vertical="center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01" fontId="10" fillId="0" borderId="0" xfId="0" applyFont="1" applyAlignment="1" applyProtection="1">
      <alignment horizontal="center" vertical="center"/>
      <protection locked="0"/>
    </xf>
    <xf numFmtId="201" fontId="22" fillId="0" borderId="0" xfId="0" applyFont="1" applyAlignment="1" applyProtection="1">
      <alignment horizontal="center"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201" fontId="5" fillId="0" borderId="0" xfId="0" applyFont="1" applyBorder="1" applyAlignment="1" applyProtection="1">
      <alignment horizontal="center" vertical="center"/>
      <protection locked="0"/>
    </xf>
    <xf numFmtId="201" fontId="4" fillId="0" borderId="19" xfId="0" applyFont="1" applyBorder="1" applyAlignment="1" applyProtection="1">
      <alignment vertical="center"/>
      <protection locked="0"/>
    </xf>
    <xf numFmtId="201" fontId="0" fillId="0" borderId="0" xfId="0" applyAlignment="1" applyProtection="1">
      <alignment/>
      <protection/>
    </xf>
    <xf numFmtId="201" fontId="46" fillId="0" borderId="20" xfId="0" applyFont="1" applyFill="1" applyBorder="1" applyAlignment="1" applyProtection="1">
      <alignment horizontal="left"/>
      <protection/>
    </xf>
    <xf numFmtId="201" fontId="40" fillId="0" borderId="19" xfId="0" applyFont="1" applyFill="1" applyBorder="1" applyAlignment="1" applyProtection="1">
      <alignment horizontal="left"/>
      <protection/>
    </xf>
    <xf numFmtId="201" fontId="0" fillId="0" borderId="21" xfId="0" applyBorder="1" applyAlignment="1" applyProtection="1">
      <alignment/>
      <protection/>
    </xf>
    <xf numFmtId="1" fontId="5" fillId="0" borderId="22" xfId="0" applyNumberFormat="1" applyFont="1" applyBorder="1" applyAlignment="1" applyProtection="1">
      <alignment horizontal="center"/>
      <protection/>
    </xf>
    <xf numFmtId="2" fontId="5" fillId="0" borderId="23" xfId="0" applyNumberFormat="1" applyFont="1" applyBorder="1" applyAlignment="1" applyProtection="1">
      <alignment horizontal="center"/>
      <protection/>
    </xf>
    <xf numFmtId="201" fontId="5" fillId="0" borderId="24" xfId="0" applyFont="1" applyBorder="1" applyAlignment="1" applyProtection="1">
      <alignment horizontal="center"/>
      <protection/>
    </xf>
    <xf numFmtId="201" fontId="5" fillId="0" borderId="25" xfId="0" applyFont="1" applyBorder="1" applyAlignment="1" applyProtection="1">
      <alignment horizontal="center"/>
      <protection/>
    </xf>
    <xf numFmtId="201" fontId="0" fillId="0" borderId="0" xfId="0" applyBorder="1" applyAlignment="1" applyProtection="1">
      <alignment/>
      <protection/>
    </xf>
    <xf numFmtId="1" fontId="8" fillId="0" borderId="26" xfId="0" applyNumberFormat="1" applyFont="1" applyBorder="1" applyAlignment="1" applyProtection="1">
      <alignment horizontal="center"/>
      <protection/>
    </xf>
    <xf numFmtId="2" fontId="9" fillId="0" borderId="27" xfId="0" applyNumberFormat="1" applyFont="1" applyBorder="1" applyAlignment="1" applyProtection="1">
      <alignment horizontal="center"/>
      <protection/>
    </xf>
    <xf numFmtId="1" fontId="8" fillId="0" borderId="28" xfId="0" applyNumberFormat="1" applyFont="1" applyBorder="1" applyAlignment="1" applyProtection="1">
      <alignment horizontal="center"/>
      <protection/>
    </xf>
    <xf numFmtId="1" fontId="9" fillId="0" borderId="28" xfId="0" applyNumberFormat="1" applyFont="1" applyBorder="1" applyAlignment="1" applyProtection="1">
      <alignment horizontal="center"/>
      <protection/>
    </xf>
    <xf numFmtId="204" fontId="9" fillId="0" borderId="28" xfId="0" applyNumberFormat="1" applyFont="1" applyBorder="1" applyAlignment="1" applyProtection="1">
      <alignment horizontal="center"/>
      <protection/>
    </xf>
    <xf numFmtId="2" fontId="9" fillId="0" borderId="28" xfId="0" applyNumberFormat="1" applyFont="1" applyBorder="1" applyAlignment="1" applyProtection="1">
      <alignment horizontal="center"/>
      <protection/>
    </xf>
    <xf numFmtId="2" fontId="9" fillId="0" borderId="29" xfId="0" applyNumberFormat="1" applyFont="1" applyBorder="1" applyAlignment="1" applyProtection="1">
      <alignment horizontal="center"/>
      <protection/>
    </xf>
    <xf numFmtId="201" fontId="41" fillId="0" borderId="20" xfId="0" applyFont="1" applyFill="1" applyBorder="1" applyAlignment="1" applyProtection="1">
      <alignment horizontal="left"/>
      <protection/>
    </xf>
    <xf numFmtId="201" fontId="5" fillId="0" borderId="30" xfId="0" applyFont="1" applyBorder="1" applyAlignment="1" applyProtection="1">
      <alignment horizontal="center" vertical="center"/>
      <protection/>
    </xf>
    <xf numFmtId="201" fontId="5" fillId="0" borderId="31" xfId="0" applyFont="1" applyBorder="1" applyAlignment="1" applyProtection="1">
      <alignment horizontal="center" vertical="center"/>
      <protection/>
    </xf>
    <xf numFmtId="201" fontId="44" fillId="0" borderId="31" xfId="0" applyFont="1" applyBorder="1" applyAlignment="1" applyProtection="1">
      <alignment horizontal="center" vertical="center"/>
      <protection/>
    </xf>
    <xf numFmtId="201" fontId="5" fillId="0" borderId="32" xfId="0" applyFont="1" applyBorder="1" applyAlignment="1" applyProtection="1">
      <alignment horizontal="center" vertical="center"/>
      <protection/>
    </xf>
    <xf numFmtId="201" fontId="0" fillId="0" borderId="30" xfId="0" applyFont="1" applyFill="1" applyBorder="1" applyAlignment="1" applyProtection="1">
      <alignment horizontal="center" vertical="center"/>
      <protection/>
    </xf>
    <xf numFmtId="201" fontId="41" fillId="0" borderId="33" xfId="0" applyFont="1" applyFill="1" applyBorder="1" applyAlignment="1" applyProtection="1">
      <alignment horizontal="left"/>
      <protection/>
    </xf>
    <xf numFmtId="201" fontId="0" fillId="0" borderId="34" xfId="0" applyBorder="1" applyAlignment="1" applyProtection="1">
      <alignment/>
      <protection/>
    </xf>
    <xf numFmtId="201" fontId="0" fillId="0" borderId="10" xfId="0" applyFont="1" applyFill="1" applyBorder="1" applyAlignment="1" applyProtection="1">
      <alignment horizontal="center" vertical="center"/>
      <protection/>
    </xf>
    <xf numFmtId="1" fontId="8" fillId="0" borderId="35" xfId="0" applyNumberFormat="1" applyFont="1" applyBorder="1" applyAlignment="1" applyProtection="1">
      <alignment horizontal="center"/>
      <protection/>
    </xf>
    <xf numFmtId="2" fontId="9" fillId="0" borderId="36" xfId="0" applyNumberFormat="1" applyFont="1" applyBorder="1" applyAlignment="1" applyProtection="1">
      <alignment horizontal="center"/>
      <protection/>
    </xf>
    <xf numFmtId="1" fontId="8" fillId="0" borderId="37" xfId="0" applyNumberFormat="1" applyFont="1" applyBorder="1" applyAlignment="1" applyProtection="1">
      <alignment horizontal="center"/>
      <protection/>
    </xf>
    <xf numFmtId="1" fontId="9" fillId="0" borderId="37" xfId="0" applyNumberFormat="1" applyFont="1" applyBorder="1" applyAlignment="1" applyProtection="1">
      <alignment horizontal="center"/>
      <protection/>
    </xf>
    <xf numFmtId="204" fontId="9" fillId="0" borderId="37" xfId="0" applyNumberFormat="1" applyFont="1" applyBorder="1" applyAlignment="1" applyProtection="1">
      <alignment horizontal="center"/>
      <protection/>
    </xf>
    <xf numFmtId="2" fontId="9" fillId="0" borderId="37" xfId="0" applyNumberFormat="1" applyFont="1" applyBorder="1" applyAlignment="1" applyProtection="1">
      <alignment horizontal="center"/>
      <protection/>
    </xf>
    <xf numFmtId="2" fontId="9" fillId="0" borderId="38" xfId="0" applyNumberFormat="1" applyFont="1" applyBorder="1" applyAlignment="1" applyProtection="1">
      <alignment horizontal="center"/>
      <protection/>
    </xf>
    <xf numFmtId="201" fontId="5" fillId="0" borderId="0" xfId="0" applyFont="1" applyBorder="1" applyAlignment="1" applyProtection="1">
      <alignment vertical="center"/>
      <protection/>
    </xf>
    <xf numFmtId="201" fontId="0" fillId="0" borderId="0" xfId="0" applyFont="1" applyAlignment="1" applyProtection="1">
      <alignment vertical="center"/>
      <protection/>
    </xf>
    <xf numFmtId="201" fontId="4" fillId="0" borderId="0" xfId="0" applyFont="1" applyBorder="1" applyAlignment="1" applyProtection="1">
      <alignment vertical="center"/>
      <protection/>
    </xf>
    <xf numFmtId="201" fontId="17" fillId="0" borderId="0" xfId="0" applyFont="1" applyBorder="1" applyAlignment="1" applyProtection="1">
      <alignment horizontal="right" vertical="center"/>
      <protection/>
    </xf>
    <xf numFmtId="201" fontId="7" fillId="0" borderId="0" xfId="0" applyFont="1" applyBorder="1" applyAlignment="1" applyProtection="1">
      <alignment vertical="center"/>
      <protection/>
    </xf>
    <xf numFmtId="201" fontId="39" fillId="0" borderId="39" xfId="0" applyFont="1" applyFill="1" applyBorder="1" applyAlignment="1" applyProtection="1">
      <alignment horizontal="left" vertical="center"/>
      <protection/>
    </xf>
    <xf numFmtId="201" fontId="9" fillId="0" borderId="20" xfId="0" applyFont="1" applyBorder="1" applyAlignment="1" applyProtection="1">
      <alignment vertical="center"/>
      <protection/>
    </xf>
    <xf numFmtId="201" fontId="9" fillId="0" borderId="0" xfId="0" applyFont="1" applyAlignment="1" applyProtection="1">
      <alignment vertical="center"/>
      <protection/>
    </xf>
    <xf numFmtId="201" fontId="9" fillId="0" borderId="0" xfId="0" applyFont="1" applyBorder="1" applyAlignment="1" applyProtection="1">
      <alignment vertical="center"/>
      <protection/>
    </xf>
    <xf numFmtId="201" fontId="9" fillId="0" borderId="0" xfId="0" applyFont="1" applyBorder="1" applyAlignment="1" applyProtection="1">
      <alignment horizontal="center" vertical="center"/>
      <protection/>
    </xf>
    <xf numFmtId="201" fontId="12" fillId="0" borderId="40" xfId="0" applyFont="1" applyBorder="1" applyAlignment="1" applyProtection="1">
      <alignment horizontal="center" vertical="center"/>
      <protection/>
    </xf>
    <xf numFmtId="201" fontId="4" fillId="0" borderId="20" xfId="0" applyFont="1" applyBorder="1" applyAlignment="1" applyProtection="1">
      <alignment vertical="center"/>
      <protection/>
    </xf>
    <xf numFmtId="201" fontId="5" fillId="0" borderId="0" xfId="0" applyFont="1" applyBorder="1" applyAlignment="1" applyProtection="1">
      <alignment horizontal="center" vertical="center"/>
      <protection/>
    </xf>
    <xf numFmtId="201" fontId="19" fillId="0" borderId="0" xfId="0" applyFont="1" applyAlignment="1" applyProtection="1">
      <alignment horizontal="center" vertical="center"/>
      <protection/>
    </xf>
    <xf numFmtId="201" fontId="4" fillId="0" borderId="0" xfId="0" applyFont="1" applyAlignment="1" applyProtection="1">
      <alignment vertical="center"/>
      <protection/>
    </xf>
    <xf numFmtId="201" fontId="9" fillId="0" borderId="0" xfId="0" applyFont="1" applyBorder="1" applyAlignment="1" applyProtection="1">
      <alignment horizontal="right" vertical="center"/>
      <protection/>
    </xf>
    <xf numFmtId="201" fontId="0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01" fontId="0" fillId="0" borderId="40" xfId="0" applyFont="1" applyBorder="1" applyAlignment="1" applyProtection="1">
      <alignment vertical="center"/>
      <protection/>
    </xf>
    <xf numFmtId="201" fontId="0" fillId="0" borderId="20" xfId="0" applyFont="1" applyBorder="1" applyAlignment="1" applyProtection="1">
      <alignment vertical="center"/>
      <protection/>
    </xf>
    <xf numFmtId="1" fontId="9" fillId="0" borderId="35" xfId="0" applyNumberFormat="1" applyFont="1" applyBorder="1" applyAlignment="1" applyProtection="1">
      <alignment horizontal="center"/>
      <protection/>
    </xf>
    <xf numFmtId="201" fontId="12" fillId="0" borderId="0" xfId="0" applyFont="1" applyBorder="1" applyAlignment="1" applyProtection="1">
      <alignment vertical="center"/>
      <protection/>
    </xf>
    <xf numFmtId="201" fontId="4" fillId="0" borderId="0" xfId="0" applyFont="1" applyAlignment="1" applyProtection="1">
      <alignment horizontal="center" vertical="center"/>
      <protection/>
    </xf>
    <xf numFmtId="201" fontId="9" fillId="0" borderId="40" xfId="0" applyFont="1" applyBorder="1" applyAlignment="1" applyProtection="1">
      <alignment vertical="center"/>
      <protection/>
    </xf>
    <xf numFmtId="201" fontId="9" fillId="0" borderId="20" xfId="0" applyFont="1" applyBorder="1" applyAlignment="1" applyProtection="1">
      <alignment horizontal="center" vertical="center"/>
      <protection/>
    </xf>
    <xf numFmtId="201" fontId="9" fillId="0" borderId="0" xfId="0" applyFont="1" applyAlignment="1" applyProtection="1">
      <alignment horizontal="center" vertical="center"/>
      <protection/>
    </xf>
    <xf numFmtId="201" fontId="10" fillId="0" borderId="0" xfId="0" applyFont="1" applyAlignment="1" applyProtection="1">
      <alignment horizontal="center" vertical="center"/>
      <protection/>
    </xf>
    <xf numFmtId="201" fontId="4" fillId="0" borderId="20" xfId="0" applyFont="1" applyBorder="1" applyAlignment="1" applyProtection="1">
      <alignment horizontal="left" vertical="center"/>
      <protection/>
    </xf>
    <xf numFmtId="201" fontId="12" fillId="0" borderId="20" xfId="0" applyFont="1" applyBorder="1" applyAlignment="1" applyProtection="1">
      <alignment horizontal="left" vertical="center"/>
      <protection/>
    </xf>
    <xf numFmtId="201" fontId="9" fillId="0" borderId="17" xfId="0" applyFont="1" applyBorder="1" applyAlignment="1" applyProtection="1">
      <alignment vertical="center"/>
      <protection/>
    </xf>
    <xf numFmtId="201" fontId="9" fillId="0" borderId="20" xfId="0" applyFont="1" applyBorder="1" applyAlignment="1" applyProtection="1">
      <alignment horizontal="left" vertical="center"/>
      <protection/>
    </xf>
    <xf numFmtId="201" fontId="22" fillId="0" borderId="0" xfId="0" applyFont="1" applyAlignment="1" applyProtection="1">
      <alignment horizontal="center" vertical="center"/>
      <protection/>
    </xf>
    <xf numFmtId="204" fontId="9" fillId="0" borderId="0" xfId="0" applyNumberFormat="1" applyFont="1" applyBorder="1" applyAlignment="1" applyProtection="1">
      <alignment horizontal="center" vertical="center"/>
      <protection/>
    </xf>
    <xf numFmtId="1" fontId="8" fillId="0" borderId="41" xfId="0" applyNumberFormat="1" applyFont="1" applyBorder="1" applyAlignment="1" applyProtection="1">
      <alignment horizontal="center"/>
      <protection/>
    </xf>
    <xf numFmtId="2" fontId="9" fillId="0" borderId="42" xfId="0" applyNumberFormat="1" applyFont="1" applyBorder="1" applyAlignment="1" applyProtection="1">
      <alignment horizontal="center"/>
      <protection/>
    </xf>
    <xf numFmtId="1" fontId="8" fillId="0" borderId="43" xfId="0" applyNumberFormat="1" applyFont="1" applyBorder="1" applyAlignment="1" applyProtection="1">
      <alignment horizontal="center"/>
      <protection/>
    </xf>
    <xf numFmtId="1" fontId="9" fillId="0" borderId="43" xfId="0" applyNumberFormat="1" applyFont="1" applyBorder="1" applyAlignment="1" applyProtection="1">
      <alignment horizontal="center"/>
      <protection/>
    </xf>
    <xf numFmtId="204" fontId="9" fillId="0" borderId="43" xfId="0" applyNumberFormat="1" applyFont="1" applyBorder="1" applyAlignment="1" applyProtection="1">
      <alignment horizontal="center"/>
      <protection/>
    </xf>
    <xf numFmtId="2" fontId="9" fillId="0" borderId="43" xfId="0" applyNumberFormat="1" applyFont="1" applyBorder="1" applyAlignment="1" applyProtection="1">
      <alignment horizontal="center"/>
      <protection/>
    </xf>
    <xf numFmtId="2" fontId="9" fillId="0" borderId="44" xfId="0" applyNumberFormat="1" applyFont="1" applyBorder="1" applyAlignment="1" applyProtection="1">
      <alignment horizontal="center"/>
      <protection/>
    </xf>
    <xf numFmtId="1" fontId="8" fillId="0" borderId="45" xfId="0" applyNumberFormat="1" applyFont="1" applyBorder="1" applyAlignment="1" applyProtection="1">
      <alignment horizontal="center"/>
      <protection/>
    </xf>
    <xf numFmtId="2" fontId="9" fillId="0" borderId="45" xfId="0" applyNumberFormat="1" applyFont="1" applyBorder="1" applyAlignment="1" applyProtection="1">
      <alignment horizontal="center"/>
      <protection/>
    </xf>
    <xf numFmtId="1" fontId="9" fillId="0" borderId="45" xfId="0" applyNumberFormat="1" applyFont="1" applyBorder="1" applyAlignment="1" applyProtection="1">
      <alignment horizontal="center"/>
      <protection/>
    </xf>
    <xf numFmtId="204" fontId="9" fillId="0" borderId="45" xfId="0" applyNumberFormat="1" applyFont="1" applyBorder="1" applyAlignment="1" applyProtection="1">
      <alignment horizontal="center"/>
      <protection/>
    </xf>
    <xf numFmtId="201" fontId="8" fillId="0" borderId="17" xfId="0" applyFont="1" applyBorder="1" applyAlignment="1" applyProtection="1">
      <alignment vertical="center"/>
      <protection/>
    </xf>
    <xf numFmtId="201" fontId="9" fillId="0" borderId="0" xfId="0" applyFont="1" applyAlignment="1" applyProtection="1">
      <alignment/>
      <protection/>
    </xf>
    <xf numFmtId="201" fontId="9" fillId="0" borderId="0" xfId="0" applyFont="1" applyBorder="1" applyAlignment="1" applyProtection="1">
      <alignment/>
      <protection/>
    </xf>
    <xf numFmtId="201" fontId="9" fillId="0" borderId="0" xfId="0" applyFont="1" applyAlignment="1" applyProtection="1">
      <alignment horizontal="right"/>
      <protection/>
    </xf>
    <xf numFmtId="2" fontId="9" fillId="0" borderId="0" xfId="0" applyNumberFormat="1" applyFont="1" applyBorder="1" applyAlignment="1" applyProtection="1">
      <alignment horizontal="center"/>
      <protection/>
    </xf>
    <xf numFmtId="204" fontId="10" fillId="0" borderId="0" xfId="0" applyNumberFormat="1" applyFont="1" applyBorder="1" applyAlignment="1" applyProtection="1">
      <alignment horizontal="center" vertical="center"/>
      <protection/>
    </xf>
    <xf numFmtId="201" fontId="10" fillId="0" borderId="0" xfId="0" applyFont="1" applyAlignment="1" applyProtection="1">
      <alignment vertical="center"/>
      <protection/>
    </xf>
    <xf numFmtId="201" fontId="0" fillId="0" borderId="0" xfId="0" applyFont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204" fontId="9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201" fontId="9" fillId="0" borderId="0" xfId="0" applyFont="1" applyAlignment="1" applyProtection="1">
      <alignment horizontal="right" vertical="center"/>
      <protection/>
    </xf>
    <xf numFmtId="2" fontId="10" fillId="0" borderId="0" xfId="0" applyNumberFormat="1" applyFont="1" applyBorder="1" applyAlignment="1" applyProtection="1">
      <alignment horizontal="center" vertical="center"/>
      <protection/>
    </xf>
    <xf numFmtId="2" fontId="9" fillId="0" borderId="0" xfId="0" applyNumberFormat="1" applyFont="1" applyAlignment="1" applyProtection="1">
      <alignment horizontal="center" vertical="center"/>
      <protection/>
    </xf>
    <xf numFmtId="201" fontId="0" fillId="0" borderId="0" xfId="0" applyBorder="1" applyAlignment="1" applyProtection="1">
      <alignment vertical="center"/>
      <protection/>
    </xf>
    <xf numFmtId="201" fontId="0" fillId="0" borderId="40" xfId="0" applyBorder="1" applyAlignment="1" applyProtection="1">
      <alignment vertical="center"/>
      <protection/>
    </xf>
    <xf numFmtId="201" fontId="8" fillId="0" borderId="0" xfId="0" applyFont="1" applyBorder="1" applyAlignment="1" applyProtection="1">
      <alignment/>
      <protection/>
    </xf>
    <xf numFmtId="201" fontId="8" fillId="0" borderId="40" xfId="0" applyFont="1" applyBorder="1" applyAlignment="1" applyProtection="1">
      <alignment vertical="center"/>
      <protection/>
    </xf>
    <xf numFmtId="201" fontId="0" fillId="0" borderId="0" xfId="0" applyBorder="1" applyAlignment="1" applyProtection="1">
      <alignment horizontal="center"/>
      <protection/>
    </xf>
    <xf numFmtId="201" fontId="0" fillId="0" borderId="0" xfId="0" applyAlignment="1" applyProtection="1">
      <alignment horizontal="center"/>
      <protection/>
    </xf>
    <xf numFmtId="201" fontId="9" fillId="0" borderId="20" xfId="0" applyFont="1" applyBorder="1" applyAlignment="1" applyProtection="1">
      <alignment horizontal="center" vertical="center"/>
      <protection/>
    </xf>
    <xf numFmtId="201" fontId="9" fillId="0" borderId="0" xfId="0" applyFont="1" applyBorder="1" applyAlignment="1" applyProtection="1">
      <alignment horizontal="center" vertical="center"/>
      <protection/>
    </xf>
    <xf numFmtId="201" fontId="14" fillId="0" borderId="0" xfId="0" applyFont="1" applyBorder="1" applyAlignment="1" applyProtection="1">
      <alignment horizontal="left" vertical="center"/>
      <protection/>
    </xf>
    <xf numFmtId="201" fontId="8" fillId="0" borderId="0" xfId="0" applyFont="1" applyBorder="1" applyAlignment="1" applyProtection="1">
      <alignment vertical="center"/>
      <protection/>
    </xf>
    <xf numFmtId="201" fontId="43" fillId="0" borderId="40" xfId="0" applyFont="1" applyBorder="1" applyAlignment="1" applyProtection="1">
      <alignment horizontal="center" vertical="center"/>
      <protection/>
    </xf>
    <xf numFmtId="201" fontId="5" fillId="0" borderId="20" xfId="0" applyFont="1" applyBorder="1" applyAlignment="1" applyProtection="1">
      <alignment horizontal="center" vertical="center"/>
      <protection/>
    </xf>
    <xf numFmtId="201" fontId="14" fillId="0" borderId="0" xfId="0" applyFont="1" applyBorder="1" applyAlignment="1" applyProtection="1" quotePrefix="1">
      <alignment horizontal="center" vertical="center"/>
      <protection/>
    </xf>
    <xf numFmtId="201" fontId="0" fillId="0" borderId="0" xfId="0" applyAlignment="1" applyProtection="1">
      <alignment vertical="center"/>
      <protection/>
    </xf>
    <xf numFmtId="201" fontId="9" fillId="0" borderId="40" xfId="0" applyFont="1" applyBorder="1" applyAlignment="1" applyProtection="1">
      <alignment horizontal="center" vertical="center"/>
      <protection/>
    </xf>
    <xf numFmtId="201" fontId="9" fillId="0" borderId="0" xfId="0" applyFont="1" applyBorder="1" applyAlignment="1" applyProtection="1">
      <alignment horizontal="center"/>
      <protection/>
    </xf>
    <xf numFmtId="205" fontId="9" fillId="0" borderId="0" xfId="0" applyNumberFormat="1" applyFont="1" applyAlignment="1" applyProtection="1" quotePrefix="1">
      <alignment horizontal="center"/>
      <protection/>
    </xf>
    <xf numFmtId="201" fontId="9" fillId="0" borderId="0" xfId="0" applyFont="1" applyAlignment="1" applyProtection="1">
      <alignment horizontal="center"/>
      <protection/>
    </xf>
    <xf numFmtId="201" fontId="4" fillId="0" borderId="0" xfId="0" applyFont="1" applyBorder="1" applyAlignment="1" applyProtection="1">
      <alignment horizontal="left" vertical="center"/>
      <protection/>
    </xf>
    <xf numFmtId="201" fontId="9" fillId="0" borderId="0" xfId="0" applyFont="1" applyBorder="1" applyAlignment="1" applyProtection="1">
      <alignment horizontal="left" vertical="center"/>
      <protection/>
    </xf>
    <xf numFmtId="201" fontId="14" fillId="0" borderId="0" xfId="0" applyFont="1" applyBorder="1" applyAlignment="1" applyProtection="1">
      <alignment horizontal="center" vertical="center"/>
      <protection/>
    </xf>
    <xf numFmtId="201" fontId="10" fillId="0" borderId="0" xfId="0" applyFont="1" applyAlignment="1" applyProtection="1">
      <alignment vertical="center"/>
      <protection/>
    </xf>
    <xf numFmtId="201" fontId="10" fillId="0" borderId="40" xfId="0" applyFont="1" applyBorder="1" applyAlignment="1" applyProtection="1">
      <alignment vertical="center"/>
      <protection/>
    </xf>
    <xf numFmtId="201" fontId="14" fillId="0" borderId="0" xfId="0" applyFont="1" applyBorder="1" applyAlignment="1" applyProtection="1">
      <alignment horizontal="left" vertical="center"/>
      <protection/>
    </xf>
    <xf numFmtId="201" fontId="9" fillId="0" borderId="0" xfId="0" applyFont="1" applyAlignment="1" applyProtection="1" quotePrefix="1">
      <alignment/>
      <protection/>
    </xf>
    <xf numFmtId="201" fontId="0" fillId="0" borderId="0" xfId="0" applyAlignment="1" applyProtection="1">
      <alignment horizontal="center" vertical="center"/>
      <protection/>
    </xf>
    <xf numFmtId="201" fontId="18" fillId="0" borderId="0" xfId="0" applyFont="1" applyBorder="1" applyAlignment="1" applyProtection="1">
      <alignment horizontal="center" vertical="center"/>
      <protection/>
    </xf>
    <xf numFmtId="201" fontId="14" fillId="0" borderId="0" xfId="0" applyFont="1" applyBorder="1" applyAlignment="1" applyProtection="1">
      <alignment vertical="center"/>
      <protection/>
    </xf>
    <xf numFmtId="201" fontId="16" fillId="0" borderId="0" xfId="0" applyFont="1" applyBorder="1" applyAlignment="1" applyProtection="1">
      <alignment horizontal="left"/>
      <protection/>
    </xf>
    <xf numFmtId="201" fontId="9" fillId="0" borderId="0" xfId="0" applyFont="1" applyBorder="1" applyAlignment="1" applyProtection="1" quotePrefix="1">
      <alignment horizontal="center"/>
      <protection/>
    </xf>
    <xf numFmtId="201" fontId="9" fillId="0" borderId="0" xfId="0" applyFont="1" applyBorder="1" applyAlignment="1" applyProtection="1">
      <alignment horizontal="left"/>
      <protection/>
    </xf>
    <xf numFmtId="201" fontId="6" fillId="0" borderId="0" xfId="0" applyFont="1" applyBorder="1" applyAlignment="1" applyProtection="1">
      <alignment vertical="center"/>
      <protection/>
    </xf>
    <xf numFmtId="201" fontId="9" fillId="0" borderId="33" xfId="0" applyFont="1" applyBorder="1" applyAlignment="1" applyProtection="1">
      <alignment horizontal="center" vertical="center"/>
      <protection/>
    </xf>
    <xf numFmtId="201" fontId="9" fillId="0" borderId="34" xfId="0" applyFont="1" applyBorder="1" applyAlignment="1" applyProtection="1">
      <alignment vertical="center"/>
      <protection/>
    </xf>
    <xf numFmtId="201" fontId="9" fillId="0" borderId="34" xfId="0" applyFont="1" applyBorder="1" applyAlignment="1" applyProtection="1">
      <alignment horizontal="center" vertical="center"/>
      <protection/>
    </xf>
    <xf numFmtId="201" fontId="9" fillId="0" borderId="34" xfId="0" applyNumberFormat="1" applyFont="1" applyBorder="1" applyAlignment="1" applyProtection="1">
      <alignment horizontal="center" vertical="center"/>
      <protection/>
    </xf>
    <xf numFmtId="2" fontId="9" fillId="0" borderId="34" xfId="0" applyNumberFormat="1" applyFont="1" applyBorder="1" applyAlignment="1" applyProtection="1">
      <alignment horizontal="center" vertical="center"/>
      <protection/>
    </xf>
    <xf numFmtId="201" fontId="0" fillId="0" borderId="34" xfId="0" applyBorder="1" applyAlignment="1" applyProtection="1">
      <alignment horizontal="center" vertical="center"/>
      <protection/>
    </xf>
    <xf numFmtId="201" fontId="0" fillId="0" borderId="34" xfId="0" applyBorder="1" applyAlignment="1" applyProtection="1">
      <alignment vertical="center"/>
      <protection/>
    </xf>
    <xf numFmtId="201" fontId="43" fillId="0" borderId="46" xfId="0" applyFont="1" applyBorder="1" applyAlignment="1" applyProtection="1">
      <alignment horizontal="center" vertical="center"/>
      <protection/>
    </xf>
    <xf numFmtId="201" fontId="9" fillId="0" borderId="21" xfId="0" applyFont="1" applyBorder="1" applyAlignment="1" applyProtection="1">
      <alignment/>
      <protection/>
    </xf>
    <xf numFmtId="201" fontId="9" fillId="0" borderId="21" xfId="0" applyFont="1" applyBorder="1" applyAlignment="1" applyProtection="1">
      <alignment horizontal="center"/>
      <protection/>
    </xf>
    <xf numFmtId="201" fontId="9" fillId="0" borderId="21" xfId="0" applyNumberFormat="1" applyFont="1" applyBorder="1" applyAlignment="1" applyProtection="1">
      <alignment horizontal="center"/>
      <protection/>
    </xf>
    <xf numFmtId="2" fontId="9" fillId="0" borderId="21" xfId="0" applyNumberFormat="1" applyFont="1" applyBorder="1" applyAlignment="1" applyProtection="1">
      <alignment horizontal="center"/>
      <protection/>
    </xf>
    <xf numFmtId="201" fontId="0" fillId="0" borderId="21" xfId="0" applyBorder="1" applyAlignment="1" applyProtection="1">
      <alignment horizontal="center"/>
      <protection/>
    </xf>
    <xf numFmtId="201" fontId="14" fillId="0" borderId="21" xfId="0" applyFont="1" applyBorder="1" applyAlignment="1" applyProtection="1">
      <alignment horizontal="center"/>
      <protection/>
    </xf>
    <xf numFmtId="201" fontId="4" fillId="0" borderId="0" xfId="0" applyFont="1" applyBorder="1" applyAlignment="1" applyProtection="1">
      <alignment horizontal="left"/>
      <protection/>
    </xf>
    <xf numFmtId="201" fontId="14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 applyProtection="1">
      <alignment horizontal="center"/>
      <protection/>
    </xf>
    <xf numFmtId="201" fontId="9" fillId="0" borderId="0" xfId="0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horizontal="center"/>
      <protection/>
    </xf>
    <xf numFmtId="201" fontId="9" fillId="0" borderId="0" xfId="0" applyFont="1" applyBorder="1" applyAlignment="1" applyProtection="1">
      <alignment horizontal="center"/>
      <protection/>
    </xf>
    <xf numFmtId="201" fontId="5" fillId="0" borderId="0" xfId="0" applyFont="1" applyBorder="1" applyAlignment="1" applyProtection="1">
      <alignment horizontal="center"/>
      <protection/>
    </xf>
    <xf numFmtId="201" fontId="14" fillId="0" borderId="0" xfId="0" applyFont="1" applyBorder="1" applyAlignment="1" applyProtection="1">
      <alignment horizontal="left"/>
      <protection/>
    </xf>
    <xf numFmtId="201" fontId="43" fillId="0" borderId="0" xfId="0" applyFont="1" applyBorder="1" applyAlignment="1" applyProtection="1">
      <alignment horizontal="center"/>
      <protection/>
    </xf>
    <xf numFmtId="201" fontId="14" fillId="0" borderId="0" xfId="0" applyFont="1" applyBorder="1" applyAlignment="1" applyProtection="1" quotePrefix="1">
      <alignment horizontal="center"/>
      <protection/>
    </xf>
    <xf numFmtId="201" fontId="5" fillId="0" borderId="0" xfId="0" applyFont="1" applyBorder="1" applyAlignment="1" applyProtection="1">
      <alignment/>
      <protection/>
    </xf>
    <xf numFmtId="201" fontId="14" fillId="0" borderId="0" xfId="0" applyFont="1" applyBorder="1" applyAlignment="1" applyProtection="1">
      <alignment horizontal="center"/>
      <protection/>
    </xf>
    <xf numFmtId="201" fontId="10" fillId="0" borderId="0" xfId="0" applyFont="1" applyBorder="1" applyAlignment="1" applyProtection="1">
      <alignment horizontal="center"/>
      <protection/>
    </xf>
    <xf numFmtId="201" fontId="9" fillId="0" borderId="0" xfId="0" applyFont="1" applyAlignment="1" applyProtection="1" quotePrefix="1">
      <alignment horizontal="center"/>
      <protection/>
    </xf>
    <xf numFmtId="201" fontId="14" fillId="0" borderId="0" xfId="0" applyFont="1" applyBorder="1" applyAlignment="1" applyProtection="1">
      <alignment horizontal="left"/>
      <protection/>
    </xf>
    <xf numFmtId="201" fontId="10" fillId="0" borderId="0" xfId="0" applyFont="1" applyBorder="1" applyAlignment="1" applyProtection="1">
      <alignment/>
      <protection/>
    </xf>
    <xf numFmtId="201" fontId="12" fillId="0" borderId="0" xfId="0" applyFont="1" applyBorder="1" applyAlignment="1" applyProtection="1">
      <alignment horizontal="left"/>
      <protection/>
    </xf>
    <xf numFmtId="201" fontId="18" fillId="0" borderId="0" xfId="0" applyFont="1" applyBorder="1" applyAlignment="1" applyProtection="1">
      <alignment horizontal="center"/>
      <protection/>
    </xf>
    <xf numFmtId="201" fontId="14" fillId="0" borderId="0" xfId="0" applyFont="1" applyBorder="1" applyAlignment="1" applyProtection="1">
      <alignment/>
      <protection/>
    </xf>
    <xf numFmtId="201" fontId="4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201" fontId="6" fillId="0" borderId="0" xfId="0" applyFont="1" applyBorder="1" applyAlignment="1" applyProtection="1">
      <alignment/>
      <protection/>
    </xf>
    <xf numFmtId="201" fontId="9" fillId="0" borderId="0" xfId="0" applyNumberFormat="1" applyFont="1" applyBorder="1" applyAlignment="1" applyProtection="1">
      <alignment horizontal="center"/>
      <protection/>
    </xf>
    <xf numFmtId="201" fontId="9" fillId="0" borderId="20" xfId="0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01" fontId="9" fillId="0" borderId="0" xfId="0" applyFont="1" applyAlignment="1" applyProtection="1">
      <alignment horizontal="center" vertical="center"/>
      <protection/>
    </xf>
    <xf numFmtId="201" fontId="4" fillId="0" borderId="19" xfId="0" applyFont="1" applyBorder="1" applyAlignment="1" applyProtection="1">
      <alignment horizontal="center"/>
      <protection locked="0"/>
    </xf>
    <xf numFmtId="201" fontId="5" fillId="0" borderId="21" xfId="0" applyFont="1" applyBorder="1" applyAlignment="1" applyProtection="1">
      <alignment horizontal="center"/>
      <protection locked="0"/>
    </xf>
    <xf numFmtId="201" fontId="5" fillId="0" borderId="16" xfId="0" applyFont="1" applyBorder="1" applyAlignment="1" applyProtection="1">
      <alignment horizontal="center"/>
      <protection locked="0"/>
    </xf>
    <xf numFmtId="201" fontId="42" fillId="0" borderId="19" xfId="0" applyFont="1" applyBorder="1" applyAlignment="1" applyProtection="1">
      <alignment horizontal="center" vertical="center"/>
      <protection/>
    </xf>
    <xf numFmtId="201" fontId="42" fillId="0" borderId="16" xfId="0" applyFont="1" applyBorder="1" applyAlignment="1" applyProtection="1">
      <alignment horizontal="center" vertical="center"/>
      <protection/>
    </xf>
    <xf numFmtId="201" fontId="42" fillId="0" borderId="33" xfId="0" applyFont="1" applyBorder="1" applyAlignment="1" applyProtection="1">
      <alignment horizontal="center" vertical="center"/>
      <protection/>
    </xf>
    <xf numFmtId="201" fontId="42" fillId="0" borderId="18" xfId="0" applyFont="1" applyBorder="1" applyAlignment="1" applyProtection="1">
      <alignment horizontal="center" vertical="center"/>
      <protection/>
    </xf>
    <xf numFmtId="0" fontId="45" fillId="0" borderId="33" xfId="57" applyFont="1" applyBorder="1" applyAlignment="1" applyProtection="1">
      <alignment horizontal="center"/>
      <protection locked="0"/>
    </xf>
    <xf numFmtId="0" fontId="44" fillId="0" borderId="34" xfId="57" applyFont="1" applyBorder="1" applyAlignment="1" applyProtection="1">
      <alignment horizontal="center"/>
      <protection locked="0"/>
    </xf>
    <xf numFmtId="0" fontId="44" fillId="0" borderId="18" xfId="57" applyFont="1" applyBorder="1" applyAlignment="1" applyProtection="1">
      <alignment horizontal="center"/>
      <protection locked="0"/>
    </xf>
    <xf numFmtId="201" fontId="9" fillId="0" borderId="0" xfId="0" applyFont="1" applyBorder="1" applyAlignment="1" applyProtection="1">
      <alignment horizontal="center" vertical="center"/>
      <protection/>
    </xf>
    <xf numFmtId="201" fontId="14" fillId="0" borderId="0" xfId="0" applyFont="1" applyBorder="1" applyAlignment="1" applyProtection="1">
      <alignment horizontal="center" vertical="center"/>
      <protection/>
    </xf>
    <xf numFmtId="201" fontId="14" fillId="0" borderId="0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38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371975" y="785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542925</xdr:colOff>
      <xdr:row>26</xdr:row>
      <xdr:rowOff>28575</xdr:rowOff>
    </xdr:from>
    <xdr:to>
      <xdr:col>0</xdr:col>
      <xdr:colOff>657225</xdr:colOff>
      <xdr:row>26</xdr:row>
      <xdr:rowOff>28575</xdr:rowOff>
    </xdr:to>
    <xdr:sp>
      <xdr:nvSpPr>
        <xdr:cNvPr id="2" name="Line 2"/>
        <xdr:cNvSpPr>
          <a:spLocks/>
        </xdr:cNvSpPr>
      </xdr:nvSpPr>
      <xdr:spPr>
        <a:xfrm>
          <a:off x="542925" y="5419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0</xdr:rowOff>
    </xdr:from>
    <xdr:to>
      <xdr:col>5</xdr:col>
      <xdr:colOff>857250</xdr:colOff>
      <xdr:row>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62550" y="4791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0" y="990600"/>
          <a:ext cx="20669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41</xdr:row>
      <xdr:rowOff>76200</xdr:rowOff>
    </xdr:from>
    <xdr:to>
      <xdr:col>7</xdr:col>
      <xdr:colOff>19050</xdr:colOff>
      <xdr:row>42</xdr:row>
      <xdr:rowOff>200025</xdr:rowOff>
    </xdr:to>
    <xdr:sp>
      <xdr:nvSpPr>
        <xdr:cNvPr id="5" name="AutoShape 8"/>
        <xdr:cNvSpPr>
          <a:spLocks/>
        </xdr:cNvSpPr>
      </xdr:nvSpPr>
      <xdr:spPr>
        <a:xfrm>
          <a:off x="5429250" y="8467725"/>
          <a:ext cx="3619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15</xdr:row>
      <xdr:rowOff>0</xdr:rowOff>
    </xdr:from>
    <xdr:ext cx="76200" cy="200025"/>
    <xdr:sp>
      <xdr:nvSpPr>
        <xdr:cNvPr id="6" name="TextBox 10"/>
        <xdr:cNvSpPr txBox="1">
          <a:spLocks noChangeArrowheads="1"/>
        </xdr:cNvSpPr>
      </xdr:nvSpPr>
      <xdr:spPr>
        <a:xfrm>
          <a:off x="4371975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15</xdr:row>
      <xdr:rowOff>95250</xdr:rowOff>
    </xdr:from>
    <xdr:to>
      <xdr:col>5</xdr:col>
      <xdr:colOff>857250</xdr:colOff>
      <xdr:row>16</xdr:row>
      <xdr:rowOff>38100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5162550" y="3286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25</xdr:row>
      <xdr:rowOff>0</xdr:rowOff>
    </xdr:from>
    <xdr:ext cx="76200" cy="200025"/>
    <xdr:sp>
      <xdr:nvSpPr>
        <xdr:cNvPr id="8" name="TextBox 36"/>
        <xdr:cNvSpPr txBox="1">
          <a:spLocks noChangeArrowheads="1"/>
        </xdr:cNvSpPr>
      </xdr:nvSpPr>
      <xdr:spPr>
        <a:xfrm>
          <a:off x="4371975" y="519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25</xdr:row>
      <xdr:rowOff>0</xdr:rowOff>
    </xdr:from>
    <xdr:to>
      <xdr:col>5</xdr:col>
      <xdr:colOff>857250</xdr:colOff>
      <xdr:row>25</xdr:row>
      <xdr:rowOff>38100</xdr:rowOff>
    </xdr:to>
    <xdr:sp>
      <xdr:nvSpPr>
        <xdr:cNvPr id="9" name="TextBox 39"/>
        <xdr:cNvSpPr txBox="1">
          <a:spLocks noChangeArrowheads="1"/>
        </xdr:cNvSpPr>
      </xdr:nvSpPr>
      <xdr:spPr>
        <a:xfrm>
          <a:off x="5162550" y="51911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2</xdr:col>
      <xdr:colOff>666750</xdr:colOff>
      <xdr:row>41</xdr:row>
      <xdr:rowOff>19050</xdr:rowOff>
    </xdr:from>
    <xdr:to>
      <xdr:col>2</xdr:col>
      <xdr:colOff>904875</xdr:colOff>
      <xdr:row>41</xdr:row>
      <xdr:rowOff>19050</xdr:rowOff>
    </xdr:to>
    <xdr:sp>
      <xdr:nvSpPr>
        <xdr:cNvPr id="10" name="Line 49"/>
        <xdr:cNvSpPr>
          <a:spLocks/>
        </xdr:cNvSpPr>
      </xdr:nvSpPr>
      <xdr:spPr>
        <a:xfrm>
          <a:off x="2733675" y="84105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15</xdr:row>
      <xdr:rowOff>0</xdr:rowOff>
    </xdr:from>
    <xdr:ext cx="76200" cy="200025"/>
    <xdr:sp>
      <xdr:nvSpPr>
        <xdr:cNvPr id="11" name="TextBox 53"/>
        <xdr:cNvSpPr txBox="1">
          <a:spLocks noChangeArrowheads="1"/>
        </xdr:cNvSpPr>
      </xdr:nvSpPr>
      <xdr:spPr>
        <a:xfrm>
          <a:off x="4371975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200025</xdr:colOff>
      <xdr:row>19</xdr:row>
      <xdr:rowOff>180975</xdr:rowOff>
    </xdr:from>
    <xdr:to>
      <xdr:col>8</xdr:col>
      <xdr:colOff>400050</xdr:colOff>
      <xdr:row>20</xdr:row>
      <xdr:rowOff>142875</xdr:rowOff>
    </xdr:to>
    <xdr:sp>
      <xdr:nvSpPr>
        <xdr:cNvPr id="12" name="TextBox 54"/>
        <xdr:cNvSpPr txBox="1">
          <a:spLocks noChangeArrowheads="1"/>
        </xdr:cNvSpPr>
      </xdr:nvSpPr>
      <xdr:spPr>
        <a:xfrm>
          <a:off x="6610350" y="41719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57150</xdr:colOff>
      <xdr:row>15</xdr:row>
      <xdr:rowOff>0</xdr:rowOff>
    </xdr:from>
    <xdr:to>
      <xdr:col>6</xdr:col>
      <xdr:colOff>323850</xdr:colOff>
      <xdr:row>15</xdr:row>
      <xdr:rowOff>123825</xdr:rowOff>
    </xdr:to>
    <xdr:sp>
      <xdr:nvSpPr>
        <xdr:cNvPr id="13" name="TextBox 55"/>
        <xdr:cNvSpPr txBox="1">
          <a:spLocks noChangeArrowheads="1"/>
        </xdr:cNvSpPr>
      </xdr:nvSpPr>
      <xdr:spPr>
        <a:xfrm>
          <a:off x="5219700" y="319087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857250</xdr:colOff>
      <xdr:row>15</xdr:row>
      <xdr:rowOff>95250</xdr:rowOff>
    </xdr:from>
    <xdr:to>
      <xdr:col>5</xdr:col>
      <xdr:colOff>857250</xdr:colOff>
      <xdr:row>16</xdr:row>
      <xdr:rowOff>38100</xdr:rowOff>
    </xdr:to>
    <xdr:sp>
      <xdr:nvSpPr>
        <xdr:cNvPr id="14" name="TextBox 56"/>
        <xdr:cNvSpPr txBox="1">
          <a:spLocks noChangeArrowheads="1"/>
        </xdr:cNvSpPr>
      </xdr:nvSpPr>
      <xdr:spPr>
        <a:xfrm>
          <a:off x="5162550" y="3286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228600</xdr:colOff>
      <xdr:row>15</xdr:row>
      <xdr:rowOff>0</xdr:rowOff>
    </xdr:from>
    <xdr:to>
      <xdr:col>6</xdr:col>
      <xdr:colOff>228600</xdr:colOff>
      <xdr:row>15</xdr:row>
      <xdr:rowOff>9525</xdr:rowOff>
    </xdr:to>
    <xdr:sp>
      <xdr:nvSpPr>
        <xdr:cNvPr id="15" name="Line 57"/>
        <xdr:cNvSpPr>
          <a:spLocks/>
        </xdr:cNvSpPr>
      </xdr:nvSpPr>
      <xdr:spPr>
        <a:xfrm flipV="1">
          <a:off x="5391150" y="3190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20</xdr:row>
      <xdr:rowOff>161925</xdr:rowOff>
    </xdr:from>
    <xdr:to>
      <xdr:col>8</xdr:col>
      <xdr:colOff>9525</xdr:colOff>
      <xdr:row>20</xdr:row>
      <xdr:rowOff>161925</xdr:rowOff>
    </xdr:to>
    <xdr:sp>
      <xdr:nvSpPr>
        <xdr:cNvPr id="16" name="Line 58"/>
        <xdr:cNvSpPr>
          <a:spLocks/>
        </xdr:cNvSpPr>
      </xdr:nvSpPr>
      <xdr:spPr>
        <a:xfrm>
          <a:off x="3771900" y="4352925"/>
          <a:ext cx="264795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57150</xdr:rowOff>
    </xdr:from>
    <xdr:to>
      <xdr:col>4</xdr:col>
      <xdr:colOff>209550</xdr:colOff>
      <xdr:row>21</xdr:row>
      <xdr:rowOff>57150</xdr:rowOff>
    </xdr:to>
    <xdr:sp>
      <xdr:nvSpPr>
        <xdr:cNvPr id="17" name="TextBox 59"/>
        <xdr:cNvSpPr txBox="1">
          <a:spLocks noChangeArrowheads="1"/>
        </xdr:cNvSpPr>
      </xdr:nvSpPr>
      <xdr:spPr>
        <a:xfrm>
          <a:off x="3676650" y="42481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228600</xdr:colOff>
      <xdr:row>15</xdr:row>
      <xdr:rowOff>0</xdr:rowOff>
    </xdr:from>
    <xdr:to>
      <xdr:col>6</xdr:col>
      <xdr:colOff>228600</xdr:colOff>
      <xdr:row>25</xdr:row>
      <xdr:rowOff>0</xdr:rowOff>
    </xdr:to>
    <xdr:sp>
      <xdr:nvSpPr>
        <xdr:cNvPr id="18" name="Line 60"/>
        <xdr:cNvSpPr>
          <a:spLocks/>
        </xdr:cNvSpPr>
      </xdr:nvSpPr>
      <xdr:spPr>
        <a:xfrm>
          <a:off x="5391150" y="3190875"/>
          <a:ext cx="0" cy="200025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114300</xdr:rowOff>
    </xdr:to>
    <xdr:sp>
      <xdr:nvSpPr>
        <xdr:cNvPr id="19" name="Line 61"/>
        <xdr:cNvSpPr>
          <a:spLocks/>
        </xdr:cNvSpPr>
      </xdr:nvSpPr>
      <xdr:spPr>
        <a:xfrm flipV="1">
          <a:off x="5391150" y="3276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14</xdr:row>
      <xdr:rowOff>57150</xdr:rowOff>
    </xdr:from>
    <xdr:to>
      <xdr:col>6</xdr:col>
      <xdr:colOff>552450</xdr:colOff>
      <xdr:row>15</xdr:row>
      <xdr:rowOff>66675</xdr:rowOff>
    </xdr:to>
    <xdr:sp>
      <xdr:nvSpPr>
        <xdr:cNvPr id="20" name="TextBox 62"/>
        <xdr:cNvSpPr txBox="1">
          <a:spLocks noChangeArrowheads="1"/>
        </xdr:cNvSpPr>
      </xdr:nvSpPr>
      <xdr:spPr>
        <a:xfrm>
          <a:off x="5448300" y="3048000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
</a:t>
          </a:r>
        </a:p>
      </xdr:txBody>
    </xdr:sp>
    <xdr:clientData/>
  </xdr:twoCellAnchor>
  <xdr:twoCellAnchor>
    <xdr:from>
      <xdr:col>6</xdr:col>
      <xdr:colOff>66675</xdr:colOff>
      <xdr:row>25</xdr:row>
      <xdr:rowOff>0</xdr:rowOff>
    </xdr:from>
    <xdr:to>
      <xdr:col>6</xdr:col>
      <xdr:colOff>333375</xdr:colOff>
      <xdr:row>26</xdr:row>
      <xdr:rowOff>152400</xdr:rowOff>
    </xdr:to>
    <xdr:sp>
      <xdr:nvSpPr>
        <xdr:cNvPr id="21" name="TextBox 63"/>
        <xdr:cNvSpPr txBox="1">
          <a:spLocks noChangeArrowheads="1"/>
        </xdr:cNvSpPr>
      </xdr:nvSpPr>
      <xdr:spPr>
        <a:xfrm>
          <a:off x="5229225" y="5191125"/>
          <a:ext cx="266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W134"/>
  <sheetViews>
    <sheetView showGridLines="0" tabSelected="1"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17.7109375" style="17" customWidth="1"/>
    <col min="2" max="2" width="13.28125" style="17" customWidth="1"/>
    <col min="3" max="3" width="14.8515625" style="17" bestFit="1" customWidth="1"/>
    <col min="4" max="4" width="9.140625" style="17" customWidth="1"/>
    <col min="5" max="5" width="9.57421875" style="17" bestFit="1" customWidth="1"/>
    <col min="6" max="6" width="12.8515625" style="17" customWidth="1"/>
    <col min="7" max="7" width="9.140625" style="17" customWidth="1"/>
    <col min="8" max="8" width="9.57421875" style="17" bestFit="1" customWidth="1"/>
    <col min="9" max="10" width="9.28125" style="17" customWidth="1"/>
    <col min="11" max="11" width="9.140625" style="17" customWidth="1"/>
    <col min="12" max="12" width="12.8515625" style="17" customWidth="1"/>
    <col min="13" max="13" width="9.140625" style="17" customWidth="1"/>
    <col min="14" max="14" width="9.7109375" style="17" bestFit="1" customWidth="1"/>
    <col min="15" max="15" width="9.140625" style="17" customWidth="1"/>
    <col min="16" max="16" width="9.28125" style="17" bestFit="1" customWidth="1"/>
    <col min="17" max="17" width="9.421875" style="17" bestFit="1" customWidth="1"/>
    <col min="18" max="18" width="10.7109375" style="17" bestFit="1" customWidth="1"/>
    <col min="19" max="19" width="9.57421875" style="17" bestFit="1" customWidth="1"/>
    <col min="20" max="16384" width="9.140625" style="17" customWidth="1"/>
  </cols>
  <sheetData>
    <row r="1" spans="1:23" ht="19.5" customHeight="1" thickBot="1" thickTop="1">
      <c r="A1" s="19" t="s">
        <v>54</v>
      </c>
      <c r="B1" s="20"/>
      <c r="C1" s="20"/>
      <c r="D1" s="181" t="s">
        <v>60</v>
      </c>
      <c r="E1" s="182"/>
      <c r="F1" s="182"/>
      <c r="G1" s="183"/>
      <c r="H1" s="184" t="s">
        <v>61</v>
      </c>
      <c r="I1" s="185"/>
      <c r="J1" s="7"/>
      <c r="K1" s="21" t="s">
        <v>73</v>
      </c>
      <c r="L1" s="22" t="s">
        <v>74</v>
      </c>
      <c r="M1" s="23" t="s">
        <v>75</v>
      </c>
      <c r="N1" s="23" t="s">
        <v>12</v>
      </c>
      <c r="O1" s="23" t="s">
        <v>76</v>
      </c>
      <c r="P1" s="23" t="s">
        <v>2</v>
      </c>
      <c r="Q1" s="23" t="s">
        <v>77</v>
      </c>
      <c r="R1" s="23" t="s">
        <v>78</v>
      </c>
      <c r="S1" s="23" t="s">
        <v>79</v>
      </c>
      <c r="T1" s="23" t="s">
        <v>80</v>
      </c>
      <c r="U1" s="23" t="s">
        <v>81</v>
      </c>
      <c r="V1" s="23" t="s">
        <v>82</v>
      </c>
      <c r="W1" s="24" t="s">
        <v>83</v>
      </c>
    </row>
    <row r="2" spans="1:23" ht="19.5" customHeight="1" thickBot="1" thickTop="1">
      <c r="A2" s="18" t="s">
        <v>55</v>
      </c>
      <c r="B2" s="25"/>
      <c r="C2" s="25"/>
      <c r="D2" s="188" t="s">
        <v>99</v>
      </c>
      <c r="E2" s="189"/>
      <c r="F2" s="189"/>
      <c r="G2" s="190"/>
      <c r="H2" s="186"/>
      <c r="I2" s="187"/>
      <c r="J2" s="8"/>
      <c r="K2" s="26" t="s">
        <v>119</v>
      </c>
      <c r="L2" s="27">
        <v>13.2</v>
      </c>
      <c r="M2" s="28">
        <v>120</v>
      </c>
      <c r="N2" s="29">
        <v>64</v>
      </c>
      <c r="O2" s="30">
        <v>4.4</v>
      </c>
      <c r="P2" s="30">
        <v>6.3</v>
      </c>
      <c r="Q2" s="29">
        <v>7</v>
      </c>
      <c r="R2" s="30">
        <v>93.4</v>
      </c>
      <c r="S2" s="29">
        <v>318</v>
      </c>
      <c r="T2" s="30">
        <v>53</v>
      </c>
      <c r="U2" s="31">
        <v>4.9</v>
      </c>
      <c r="V2" s="30">
        <v>27.7</v>
      </c>
      <c r="W2" s="32">
        <v>1.45</v>
      </c>
    </row>
    <row r="3" spans="1:23" ht="19.5" customHeight="1">
      <c r="A3" s="33" t="s">
        <v>56</v>
      </c>
      <c r="B3" s="25"/>
      <c r="C3" s="25"/>
      <c r="D3" s="34" t="s">
        <v>53</v>
      </c>
      <c r="E3" s="35" t="s">
        <v>58</v>
      </c>
      <c r="F3" s="36" t="s">
        <v>59</v>
      </c>
      <c r="G3" s="37" t="s">
        <v>58</v>
      </c>
      <c r="H3" s="38" t="s">
        <v>62</v>
      </c>
      <c r="I3" s="6"/>
      <c r="J3" s="8"/>
      <c r="K3" s="26" t="s">
        <v>84</v>
      </c>
      <c r="L3" s="27">
        <v>16.4</v>
      </c>
      <c r="M3" s="28">
        <v>140</v>
      </c>
      <c r="N3" s="29">
        <v>73</v>
      </c>
      <c r="O3" s="30">
        <v>4.7</v>
      </c>
      <c r="P3" s="30">
        <v>6.9</v>
      </c>
      <c r="Q3" s="29">
        <v>7</v>
      </c>
      <c r="R3" s="30">
        <v>112.2</v>
      </c>
      <c r="S3" s="29">
        <v>541</v>
      </c>
      <c r="T3" s="30">
        <v>77.3</v>
      </c>
      <c r="U3" s="31">
        <v>5.74</v>
      </c>
      <c r="V3" s="30">
        <v>44.9</v>
      </c>
      <c r="W3" s="32">
        <v>1.65</v>
      </c>
    </row>
    <row r="4" spans="1:23" ht="19.5" customHeight="1" thickBot="1">
      <c r="A4" s="39" t="s">
        <v>57</v>
      </c>
      <c r="B4" s="40"/>
      <c r="C4" s="40"/>
      <c r="D4" s="1" t="s">
        <v>71</v>
      </c>
      <c r="E4" s="2"/>
      <c r="F4" s="3"/>
      <c r="G4" s="4"/>
      <c r="H4" s="41" t="s">
        <v>63</v>
      </c>
      <c r="I4" s="5"/>
      <c r="J4" s="9"/>
      <c r="K4" s="42" t="s">
        <v>85</v>
      </c>
      <c r="L4" s="43">
        <v>20.1</v>
      </c>
      <c r="M4" s="44">
        <v>160</v>
      </c>
      <c r="N4" s="45">
        <v>82</v>
      </c>
      <c r="O4" s="46">
        <v>5</v>
      </c>
      <c r="P4" s="46">
        <v>7.4</v>
      </c>
      <c r="Q4" s="45">
        <v>9</v>
      </c>
      <c r="R4" s="46">
        <v>127.2</v>
      </c>
      <c r="S4" s="45">
        <v>869</v>
      </c>
      <c r="T4" s="46">
        <v>109</v>
      </c>
      <c r="U4" s="47">
        <v>6.58</v>
      </c>
      <c r="V4" s="46">
        <v>68.3</v>
      </c>
      <c r="W4" s="48">
        <v>1.84</v>
      </c>
    </row>
    <row r="5" spans="1:23" ht="15.75" customHeight="1">
      <c r="A5" s="16" t="s">
        <v>103</v>
      </c>
      <c r="B5" s="15" t="s">
        <v>104</v>
      </c>
      <c r="C5" s="49"/>
      <c r="D5" s="49"/>
      <c r="E5" s="50"/>
      <c r="F5" s="51"/>
      <c r="G5" s="52"/>
      <c r="H5" s="53"/>
      <c r="I5" s="53"/>
      <c r="J5" s="54" t="s">
        <v>52</v>
      </c>
      <c r="K5" s="42" t="s">
        <v>86</v>
      </c>
      <c r="L5" s="43">
        <v>23.9</v>
      </c>
      <c r="M5" s="44">
        <v>180</v>
      </c>
      <c r="N5" s="45">
        <v>91</v>
      </c>
      <c r="O5" s="46">
        <v>5.3</v>
      </c>
      <c r="P5" s="46">
        <v>8</v>
      </c>
      <c r="Q5" s="45">
        <v>9</v>
      </c>
      <c r="R5" s="46">
        <v>146</v>
      </c>
      <c r="S5" s="45">
        <v>1320</v>
      </c>
      <c r="T5" s="46">
        <v>146</v>
      </c>
      <c r="U5" s="47">
        <v>7.42</v>
      </c>
      <c r="V5" s="46">
        <v>101</v>
      </c>
      <c r="W5" s="48">
        <v>2.05</v>
      </c>
    </row>
    <row r="6" spans="1:23" ht="15.75" customHeight="1">
      <c r="A6" s="55"/>
      <c r="B6" s="56"/>
      <c r="C6" s="57"/>
      <c r="D6" s="57"/>
      <c r="E6" s="57"/>
      <c r="F6" s="58" t="s">
        <v>123</v>
      </c>
      <c r="G6" s="10" t="s">
        <v>120</v>
      </c>
      <c r="H6" s="57"/>
      <c r="I6" s="57"/>
      <c r="J6" s="59" t="s">
        <v>69</v>
      </c>
      <c r="K6" s="42" t="s">
        <v>87</v>
      </c>
      <c r="L6" s="43">
        <v>28.5</v>
      </c>
      <c r="M6" s="44">
        <v>200</v>
      </c>
      <c r="N6" s="45">
        <v>100</v>
      </c>
      <c r="O6" s="46">
        <v>5.6</v>
      </c>
      <c r="P6" s="46">
        <v>8.5</v>
      </c>
      <c r="Q6" s="45">
        <v>12</v>
      </c>
      <c r="R6" s="46">
        <v>159</v>
      </c>
      <c r="S6" s="45">
        <v>1940</v>
      </c>
      <c r="T6" s="46">
        <v>194</v>
      </c>
      <c r="U6" s="47">
        <v>8.26</v>
      </c>
      <c r="V6" s="46">
        <v>142</v>
      </c>
      <c r="W6" s="48">
        <v>2.24</v>
      </c>
    </row>
    <row r="7" spans="1:23" ht="15.75" customHeight="1">
      <c r="A7" s="60"/>
      <c r="B7" s="61"/>
      <c r="C7" s="62"/>
      <c r="D7" s="50"/>
      <c r="E7" s="63"/>
      <c r="F7" s="64" t="s">
        <v>124</v>
      </c>
      <c r="G7" s="65" t="s">
        <v>1</v>
      </c>
      <c r="H7" s="66">
        <f>VLOOKUP(G6,M19:O21,2,FALSE)</f>
        <v>2.4</v>
      </c>
      <c r="I7" s="57" t="s">
        <v>16</v>
      </c>
      <c r="J7" s="67"/>
      <c r="K7" s="42" t="s">
        <v>88</v>
      </c>
      <c r="L7" s="43">
        <v>33.4</v>
      </c>
      <c r="M7" s="44">
        <v>220</v>
      </c>
      <c r="N7" s="45">
        <v>110</v>
      </c>
      <c r="O7" s="46">
        <v>5.9</v>
      </c>
      <c r="P7" s="46">
        <v>9.2</v>
      </c>
      <c r="Q7" s="45">
        <v>12</v>
      </c>
      <c r="R7" s="46">
        <v>177.6</v>
      </c>
      <c r="S7" s="45">
        <v>2770</v>
      </c>
      <c r="T7" s="46">
        <v>252</v>
      </c>
      <c r="U7" s="47">
        <v>9.11</v>
      </c>
      <c r="V7" s="46">
        <v>205</v>
      </c>
      <c r="W7" s="48">
        <v>2.48</v>
      </c>
    </row>
    <row r="8" spans="1:23" ht="15.75" customHeight="1">
      <c r="A8" s="68"/>
      <c r="B8" s="50"/>
      <c r="C8" s="50"/>
      <c r="D8" s="50"/>
      <c r="E8" s="50"/>
      <c r="F8" s="64" t="s">
        <v>125</v>
      </c>
      <c r="G8" s="65" t="s">
        <v>1</v>
      </c>
      <c r="H8" s="66">
        <f>VLOOKUP(G6,M19:O21,3,FALSE)</f>
        <v>3.6</v>
      </c>
      <c r="I8" s="57" t="s">
        <v>16</v>
      </c>
      <c r="J8" s="67"/>
      <c r="K8" s="69" t="s">
        <v>89</v>
      </c>
      <c r="L8" s="43">
        <v>39.1</v>
      </c>
      <c r="M8" s="45">
        <v>240</v>
      </c>
      <c r="N8" s="45">
        <v>120</v>
      </c>
      <c r="O8" s="46">
        <v>6.2</v>
      </c>
      <c r="P8" s="46">
        <v>9.8</v>
      </c>
      <c r="Q8" s="45">
        <v>15</v>
      </c>
      <c r="R8" s="46">
        <v>190.4</v>
      </c>
      <c r="S8" s="45">
        <v>3890</v>
      </c>
      <c r="T8" s="46">
        <v>324</v>
      </c>
      <c r="U8" s="47">
        <v>9.97</v>
      </c>
      <c r="V8" s="46">
        <v>284</v>
      </c>
      <c r="W8" s="48">
        <v>2.69</v>
      </c>
    </row>
    <row r="9" spans="1:23" ht="15.75" customHeight="1">
      <c r="A9" s="60" t="s">
        <v>4</v>
      </c>
      <c r="B9" s="70"/>
      <c r="C9" s="57"/>
      <c r="D9" s="57"/>
      <c r="E9" s="71" t="s">
        <v>105</v>
      </c>
      <c r="F9" s="63"/>
      <c r="G9" s="56"/>
      <c r="H9" s="56"/>
      <c r="I9" s="56"/>
      <c r="J9" s="72"/>
      <c r="K9" s="42" t="s">
        <v>90</v>
      </c>
      <c r="L9" s="43">
        <v>45.9</v>
      </c>
      <c r="M9" s="44">
        <v>270</v>
      </c>
      <c r="N9" s="45">
        <v>135</v>
      </c>
      <c r="O9" s="46">
        <v>6.6</v>
      </c>
      <c r="P9" s="46">
        <v>10.2</v>
      </c>
      <c r="Q9" s="45">
        <v>15</v>
      </c>
      <c r="R9" s="46">
        <v>219.6</v>
      </c>
      <c r="S9" s="45">
        <v>5790</v>
      </c>
      <c r="T9" s="46">
        <v>429</v>
      </c>
      <c r="U9" s="47">
        <v>11.2</v>
      </c>
      <c r="V9" s="46">
        <v>420</v>
      </c>
      <c r="W9" s="48">
        <v>3.02</v>
      </c>
    </row>
    <row r="10" spans="1:23" ht="15.75" customHeight="1">
      <c r="A10" s="73" t="s">
        <v>5</v>
      </c>
      <c r="B10" s="74" t="s">
        <v>1</v>
      </c>
      <c r="C10" s="11">
        <v>4</v>
      </c>
      <c r="D10" s="57" t="s">
        <v>6</v>
      </c>
      <c r="E10" s="12" t="s">
        <v>11</v>
      </c>
      <c r="F10" s="56"/>
      <c r="G10" s="56"/>
      <c r="H10" s="56"/>
      <c r="I10" s="56"/>
      <c r="J10" s="72"/>
      <c r="K10" s="69" t="s">
        <v>91</v>
      </c>
      <c r="L10" s="43">
        <v>53.8</v>
      </c>
      <c r="M10" s="45">
        <v>300</v>
      </c>
      <c r="N10" s="45">
        <v>150</v>
      </c>
      <c r="O10" s="46">
        <v>7.1</v>
      </c>
      <c r="P10" s="46">
        <v>10.7</v>
      </c>
      <c r="Q10" s="45">
        <v>15</v>
      </c>
      <c r="R10" s="46">
        <v>248.6</v>
      </c>
      <c r="S10" s="45">
        <v>8360</v>
      </c>
      <c r="T10" s="46">
        <v>557</v>
      </c>
      <c r="U10" s="47">
        <v>12.5</v>
      </c>
      <c r="V10" s="46">
        <v>604</v>
      </c>
      <c r="W10" s="48">
        <v>3.35</v>
      </c>
    </row>
    <row r="11" spans="1:23" ht="15.75" customHeight="1">
      <c r="A11" s="73" t="s">
        <v>7</v>
      </c>
      <c r="B11" s="74" t="s">
        <v>1</v>
      </c>
      <c r="C11" s="11">
        <v>2.5</v>
      </c>
      <c r="D11" s="57" t="s">
        <v>2</v>
      </c>
      <c r="E11" s="75"/>
      <c r="F11" s="56"/>
      <c r="G11" s="56"/>
      <c r="H11" s="56"/>
      <c r="I11" s="56"/>
      <c r="J11" s="72"/>
      <c r="K11" s="69" t="s">
        <v>92</v>
      </c>
      <c r="L11" s="43">
        <v>62.6</v>
      </c>
      <c r="M11" s="45">
        <v>330</v>
      </c>
      <c r="N11" s="45">
        <v>160</v>
      </c>
      <c r="O11" s="46">
        <v>7.5</v>
      </c>
      <c r="P11" s="46">
        <v>11.5</v>
      </c>
      <c r="Q11" s="45">
        <v>18</v>
      </c>
      <c r="R11" s="46">
        <v>271</v>
      </c>
      <c r="S11" s="45">
        <v>11770</v>
      </c>
      <c r="T11" s="46">
        <v>713</v>
      </c>
      <c r="U11" s="47">
        <v>13.7</v>
      </c>
      <c r="V11" s="46">
        <v>788</v>
      </c>
      <c r="W11" s="48">
        <v>3.55</v>
      </c>
    </row>
    <row r="12" spans="1:23" ht="15.75" customHeight="1">
      <c r="A12" s="55"/>
      <c r="B12" s="56"/>
      <c r="C12" s="56"/>
      <c r="D12" s="56"/>
      <c r="E12" s="56"/>
      <c r="F12" s="56"/>
      <c r="G12" s="56"/>
      <c r="H12" s="56"/>
      <c r="I12" s="56"/>
      <c r="J12" s="72"/>
      <c r="K12" s="69" t="s">
        <v>93</v>
      </c>
      <c r="L12" s="43">
        <v>72.7</v>
      </c>
      <c r="M12" s="45">
        <v>360</v>
      </c>
      <c r="N12" s="45">
        <v>170</v>
      </c>
      <c r="O12" s="46">
        <v>8</v>
      </c>
      <c r="P12" s="46">
        <v>12.7</v>
      </c>
      <c r="Q12" s="45">
        <v>18</v>
      </c>
      <c r="R12" s="46">
        <v>298.6</v>
      </c>
      <c r="S12" s="45">
        <v>16270</v>
      </c>
      <c r="T12" s="46">
        <v>904</v>
      </c>
      <c r="U12" s="47">
        <v>15</v>
      </c>
      <c r="V12" s="46">
        <v>1040</v>
      </c>
      <c r="W12" s="48">
        <v>3.79</v>
      </c>
    </row>
    <row r="13" spans="1:23" ht="15.75" customHeight="1">
      <c r="A13" s="76" t="s">
        <v>39</v>
      </c>
      <c r="B13" s="66"/>
      <c r="C13" s="57"/>
      <c r="D13" s="57"/>
      <c r="E13" s="57"/>
      <c r="F13" s="57"/>
      <c r="G13" s="57"/>
      <c r="H13" s="57"/>
      <c r="I13" s="57"/>
      <c r="J13" s="72"/>
      <c r="K13" s="69" t="s">
        <v>94</v>
      </c>
      <c r="L13" s="43">
        <v>84.5</v>
      </c>
      <c r="M13" s="45">
        <v>400</v>
      </c>
      <c r="N13" s="45">
        <v>180</v>
      </c>
      <c r="O13" s="46">
        <v>8.6</v>
      </c>
      <c r="P13" s="46">
        <v>13.5</v>
      </c>
      <c r="Q13" s="45">
        <v>21</v>
      </c>
      <c r="R13" s="46">
        <v>331</v>
      </c>
      <c r="S13" s="45">
        <v>23130</v>
      </c>
      <c r="T13" s="46">
        <v>1160</v>
      </c>
      <c r="U13" s="47">
        <v>16.5</v>
      </c>
      <c r="V13" s="46">
        <v>1320</v>
      </c>
      <c r="W13" s="48">
        <v>3.95</v>
      </c>
    </row>
    <row r="14" spans="1:23" ht="15.75" customHeight="1">
      <c r="A14" s="77"/>
      <c r="B14" s="66"/>
      <c r="C14" s="57"/>
      <c r="D14" s="57"/>
      <c r="E14" s="57"/>
      <c r="F14" s="57"/>
      <c r="G14" s="57"/>
      <c r="H14" s="57"/>
      <c r="I14" s="78"/>
      <c r="J14" s="72"/>
      <c r="K14" s="69" t="s">
        <v>95</v>
      </c>
      <c r="L14" s="43">
        <v>98.8</v>
      </c>
      <c r="M14" s="45">
        <v>450</v>
      </c>
      <c r="N14" s="45">
        <v>190</v>
      </c>
      <c r="O14" s="46">
        <v>9.4</v>
      </c>
      <c r="P14" s="46">
        <v>14.6</v>
      </c>
      <c r="Q14" s="45">
        <v>21</v>
      </c>
      <c r="R14" s="46">
        <v>378.8</v>
      </c>
      <c r="S14" s="45">
        <v>33740</v>
      </c>
      <c r="T14" s="46">
        <v>1500</v>
      </c>
      <c r="U14" s="47">
        <v>18.5</v>
      </c>
      <c r="V14" s="46">
        <v>1680</v>
      </c>
      <c r="W14" s="48">
        <v>4.12</v>
      </c>
    </row>
    <row r="15" spans="1:23" ht="15.75" customHeight="1">
      <c r="A15" s="79" t="s">
        <v>100</v>
      </c>
      <c r="B15" s="80"/>
      <c r="C15" s="13" t="s">
        <v>86</v>
      </c>
      <c r="D15" s="56"/>
      <c r="E15" s="57"/>
      <c r="F15" s="57"/>
      <c r="G15" s="57"/>
      <c r="H15" s="57"/>
      <c r="I15" s="78"/>
      <c r="J15" s="72"/>
      <c r="K15" s="42" t="s">
        <v>96</v>
      </c>
      <c r="L15" s="43">
        <v>116</v>
      </c>
      <c r="M15" s="44">
        <v>500</v>
      </c>
      <c r="N15" s="45">
        <v>200</v>
      </c>
      <c r="O15" s="46">
        <v>10.2</v>
      </c>
      <c r="P15" s="46">
        <v>16</v>
      </c>
      <c r="Q15" s="45">
        <v>21</v>
      </c>
      <c r="R15" s="46">
        <v>426</v>
      </c>
      <c r="S15" s="45">
        <v>48200</v>
      </c>
      <c r="T15" s="46">
        <v>1930</v>
      </c>
      <c r="U15" s="47">
        <v>20.4</v>
      </c>
      <c r="V15" s="46">
        <v>2140</v>
      </c>
      <c r="W15" s="48">
        <v>4.31</v>
      </c>
    </row>
    <row r="16" spans="1:23" ht="15.75" customHeight="1">
      <c r="A16" s="73" t="s">
        <v>101</v>
      </c>
      <c r="B16" s="74" t="s">
        <v>1</v>
      </c>
      <c r="C16" s="81">
        <f>VLOOKUP(C15,K2:W17,4,0)</f>
        <v>91</v>
      </c>
      <c r="D16" s="57" t="s">
        <v>3</v>
      </c>
      <c r="E16" s="57"/>
      <c r="F16" s="57"/>
      <c r="G16" s="57"/>
      <c r="H16" s="57"/>
      <c r="I16" s="78"/>
      <c r="J16" s="72"/>
      <c r="K16" s="42" t="s">
        <v>97</v>
      </c>
      <c r="L16" s="43">
        <v>134</v>
      </c>
      <c r="M16" s="44">
        <v>550</v>
      </c>
      <c r="N16" s="45">
        <v>210</v>
      </c>
      <c r="O16" s="46">
        <v>11.1</v>
      </c>
      <c r="P16" s="46">
        <v>17.2</v>
      </c>
      <c r="Q16" s="45">
        <v>24</v>
      </c>
      <c r="R16" s="46">
        <v>467.6</v>
      </c>
      <c r="S16" s="45">
        <v>67120</v>
      </c>
      <c r="T16" s="46">
        <v>2440</v>
      </c>
      <c r="U16" s="47">
        <v>22.3</v>
      </c>
      <c r="V16" s="46">
        <v>2670</v>
      </c>
      <c r="W16" s="48">
        <v>4.45</v>
      </c>
    </row>
    <row r="17" spans="1:23" ht="15.75" customHeight="1" thickBot="1">
      <c r="A17" s="73" t="s">
        <v>102</v>
      </c>
      <c r="B17" s="74" t="s">
        <v>1</v>
      </c>
      <c r="C17" s="81">
        <f>VLOOKUP(C15,K2:W17,6,0)</f>
        <v>8</v>
      </c>
      <c r="D17" s="57" t="s">
        <v>3</v>
      </c>
      <c r="E17" s="57"/>
      <c r="F17" s="57"/>
      <c r="G17" s="57"/>
      <c r="H17" s="57"/>
      <c r="I17" s="78"/>
      <c r="J17" s="72"/>
      <c r="K17" s="82" t="s">
        <v>98</v>
      </c>
      <c r="L17" s="83">
        <v>156</v>
      </c>
      <c r="M17" s="84">
        <v>600</v>
      </c>
      <c r="N17" s="85">
        <v>220</v>
      </c>
      <c r="O17" s="86">
        <v>12</v>
      </c>
      <c r="P17" s="86">
        <v>19</v>
      </c>
      <c r="Q17" s="85">
        <v>24</v>
      </c>
      <c r="R17" s="86">
        <v>514</v>
      </c>
      <c r="S17" s="85">
        <v>92080</v>
      </c>
      <c r="T17" s="86">
        <v>3070</v>
      </c>
      <c r="U17" s="87">
        <v>24.3</v>
      </c>
      <c r="V17" s="86">
        <v>3390</v>
      </c>
      <c r="W17" s="88">
        <v>4.66</v>
      </c>
    </row>
    <row r="18" spans="1:23" ht="15.75" customHeight="1" thickTop="1">
      <c r="A18" s="73" t="s">
        <v>75</v>
      </c>
      <c r="B18" s="74" t="s">
        <v>1</v>
      </c>
      <c r="C18" s="81">
        <f>VLOOKUP(C15,K2:W17,3,0)</f>
        <v>180</v>
      </c>
      <c r="D18" s="57" t="s">
        <v>3</v>
      </c>
      <c r="E18" s="57"/>
      <c r="F18" s="57"/>
      <c r="G18" s="57"/>
      <c r="H18" s="57"/>
      <c r="I18" s="78"/>
      <c r="J18" s="72"/>
      <c r="K18" s="89"/>
      <c r="L18" s="90"/>
      <c r="M18" s="89"/>
      <c r="N18" s="91"/>
      <c r="O18" s="92"/>
      <c r="P18" s="92"/>
      <c r="Q18" s="91"/>
      <c r="R18" s="92"/>
      <c r="S18" s="91"/>
      <c r="T18" s="92"/>
      <c r="U18" s="90"/>
      <c r="V18" s="92"/>
      <c r="W18" s="90"/>
    </row>
    <row r="19" spans="1:22" ht="15.75" customHeight="1">
      <c r="A19" s="73" t="s">
        <v>72</v>
      </c>
      <c r="B19" s="74" t="s">
        <v>1</v>
      </c>
      <c r="C19" s="81">
        <f>VLOOKUP(C15,K2:W17,5,0)</f>
        <v>5.3</v>
      </c>
      <c r="D19" s="57" t="s">
        <v>3</v>
      </c>
      <c r="E19" s="57"/>
      <c r="F19" s="57"/>
      <c r="G19" s="57"/>
      <c r="H19" s="57"/>
      <c r="I19" s="93"/>
      <c r="J19" s="72"/>
      <c r="K19" s="94" t="s">
        <v>11</v>
      </c>
      <c r="L19" s="95"/>
      <c r="M19" s="17" t="s">
        <v>120</v>
      </c>
      <c r="N19" s="17">
        <v>2.4</v>
      </c>
      <c r="O19" s="17">
        <v>3.6</v>
      </c>
      <c r="P19" s="96"/>
      <c r="Q19" s="97"/>
      <c r="R19" s="94"/>
      <c r="S19" s="94"/>
      <c r="T19" s="94"/>
      <c r="U19" s="94"/>
      <c r="V19" s="94"/>
    </row>
    <row r="20" spans="1:22" ht="15.75" customHeight="1">
      <c r="A20" s="73"/>
      <c r="B20" s="74"/>
      <c r="C20" s="98"/>
      <c r="D20" s="57"/>
      <c r="E20" s="57"/>
      <c r="F20" s="57"/>
      <c r="G20" s="57"/>
      <c r="H20" s="57"/>
      <c r="I20" s="93"/>
      <c r="J20" s="72"/>
      <c r="K20" s="94" t="s">
        <v>12</v>
      </c>
      <c r="L20" s="95"/>
      <c r="M20" s="17" t="s">
        <v>121</v>
      </c>
      <c r="N20" s="17">
        <v>2.8</v>
      </c>
      <c r="O20" s="17">
        <v>4.4</v>
      </c>
      <c r="P20" s="96"/>
      <c r="Q20" s="94"/>
      <c r="R20" s="94"/>
      <c r="S20" s="94"/>
      <c r="T20" s="94"/>
      <c r="U20" s="94"/>
      <c r="V20" s="94"/>
    </row>
    <row r="21" spans="1:23" ht="15.75" customHeight="1">
      <c r="A21" s="76" t="s">
        <v>108</v>
      </c>
      <c r="B21" s="56"/>
      <c r="C21" s="99"/>
      <c r="D21" s="56"/>
      <c r="E21" s="100"/>
      <c r="F21" s="100"/>
      <c r="G21" s="100"/>
      <c r="H21" s="100"/>
      <c r="I21" s="93"/>
      <c r="J21" s="72"/>
      <c r="K21" s="101"/>
      <c r="L21" s="97"/>
      <c r="M21" s="17" t="s">
        <v>122</v>
      </c>
      <c r="N21" s="17">
        <v>3.6</v>
      </c>
      <c r="O21" s="17">
        <v>5.2</v>
      </c>
      <c r="P21" s="102"/>
      <c r="Q21" s="103"/>
      <c r="R21" s="102"/>
      <c r="S21" s="103"/>
      <c r="T21" s="102"/>
      <c r="U21" s="97"/>
      <c r="V21" s="102"/>
      <c r="W21" s="97"/>
    </row>
    <row r="22" spans="1:23" ht="15.75" customHeight="1">
      <c r="A22" s="79" t="s">
        <v>106</v>
      </c>
      <c r="B22" s="104"/>
      <c r="C22" s="11">
        <v>2</v>
      </c>
      <c r="D22" s="57" t="s">
        <v>0</v>
      </c>
      <c r="E22" s="100"/>
      <c r="F22" s="100"/>
      <c r="G22" s="100"/>
      <c r="H22" s="100"/>
      <c r="I22" s="93"/>
      <c r="J22" s="72"/>
      <c r="K22" s="101"/>
      <c r="L22" s="97"/>
      <c r="M22" s="101"/>
      <c r="N22" s="103"/>
      <c r="O22" s="102"/>
      <c r="P22" s="102"/>
      <c r="Q22" s="103"/>
      <c r="R22" s="102"/>
      <c r="S22" s="103"/>
      <c r="T22" s="102"/>
      <c r="U22" s="97"/>
      <c r="V22" s="102"/>
      <c r="W22" s="97"/>
    </row>
    <row r="23" spans="1:23" ht="15.75" customHeight="1">
      <c r="A23" s="79" t="s">
        <v>107</v>
      </c>
      <c r="B23" s="104"/>
      <c r="C23" s="11">
        <v>10</v>
      </c>
      <c r="D23" s="57" t="s">
        <v>0</v>
      </c>
      <c r="E23" s="100"/>
      <c r="F23" s="100"/>
      <c r="G23" s="100"/>
      <c r="H23" s="100"/>
      <c r="I23" s="93"/>
      <c r="J23" s="72"/>
      <c r="K23" s="101"/>
      <c r="L23" s="97"/>
      <c r="M23" s="101"/>
      <c r="N23" s="103"/>
      <c r="O23" s="102"/>
      <c r="P23" s="102"/>
      <c r="Q23" s="103"/>
      <c r="R23" s="102"/>
      <c r="S23" s="103"/>
      <c r="T23" s="102"/>
      <c r="U23" s="97"/>
      <c r="V23" s="102"/>
      <c r="W23" s="97"/>
    </row>
    <row r="24" spans="1:23" ht="15.75" customHeight="1">
      <c r="A24" s="79"/>
      <c r="B24" s="66"/>
      <c r="C24" s="105"/>
      <c r="D24" s="57"/>
      <c r="E24" s="100"/>
      <c r="F24" s="100"/>
      <c r="G24" s="100"/>
      <c r="H24" s="100"/>
      <c r="I24" s="93"/>
      <c r="J24" s="72"/>
      <c r="K24" s="103"/>
      <c r="L24" s="97"/>
      <c r="M24" s="103"/>
      <c r="N24" s="103"/>
      <c r="O24" s="102"/>
      <c r="P24" s="102"/>
      <c r="Q24" s="103"/>
      <c r="R24" s="102"/>
      <c r="S24" s="103"/>
      <c r="T24" s="102"/>
      <c r="U24" s="97"/>
      <c r="V24" s="102"/>
      <c r="W24" s="97"/>
    </row>
    <row r="25" spans="1:23" ht="15.75" customHeight="1">
      <c r="A25" s="76" t="s">
        <v>109</v>
      </c>
      <c r="B25" s="66"/>
      <c r="C25" s="105"/>
      <c r="D25" s="57"/>
      <c r="E25" s="100"/>
      <c r="F25" s="100"/>
      <c r="G25" s="100"/>
      <c r="H25" s="100"/>
      <c r="I25" s="93"/>
      <c r="J25" s="72"/>
      <c r="K25" s="101"/>
      <c r="L25" s="97"/>
      <c r="M25" s="101"/>
      <c r="N25" s="103"/>
      <c r="O25" s="102"/>
      <c r="P25" s="102"/>
      <c r="Q25" s="103"/>
      <c r="R25" s="102"/>
      <c r="S25" s="103"/>
      <c r="T25" s="102"/>
      <c r="U25" s="97"/>
      <c r="V25" s="102"/>
      <c r="W25" s="97"/>
    </row>
    <row r="26" spans="1:23" ht="15.75" customHeight="1">
      <c r="A26" s="76" t="s">
        <v>26</v>
      </c>
      <c r="B26" s="66"/>
      <c r="C26" s="57"/>
      <c r="D26" s="57"/>
      <c r="E26" s="100"/>
      <c r="F26" s="100"/>
      <c r="G26" s="100"/>
      <c r="H26" s="100"/>
      <c r="I26" s="93"/>
      <c r="J26" s="72"/>
      <c r="K26" s="103"/>
      <c r="L26" s="97"/>
      <c r="M26" s="103"/>
      <c r="N26" s="103"/>
      <c r="O26" s="102"/>
      <c r="P26" s="102"/>
      <c r="Q26" s="103"/>
      <c r="R26" s="102"/>
      <c r="S26" s="103"/>
      <c r="T26" s="102"/>
      <c r="U26" s="97"/>
      <c r="V26" s="102"/>
      <c r="W26" s="97"/>
    </row>
    <row r="27" spans="1:23" ht="15.75" customHeight="1">
      <c r="A27" s="73" t="s">
        <v>9</v>
      </c>
      <c r="B27" s="74" t="s">
        <v>1</v>
      </c>
      <c r="C27" s="106">
        <f>VLOOKUP(C15,K2:W17,3,0)/20</f>
        <v>9</v>
      </c>
      <c r="D27" s="56" t="s">
        <v>8</v>
      </c>
      <c r="E27" s="107"/>
      <c r="F27" s="107"/>
      <c r="G27" s="107"/>
      <c r="H27" s="107"/>
      <c r="I27" s="93"/>
      <c r="J27" s="72"/>
      <c r="K27" s="103"/>
      <c r="L27" s="97"/>
      <c r="M27" s="103"/>
      <c r="N27" s="103"/>
      <c r="O27" s="102"/>
      <c r="P27" s="102"/>
      <c r="Q27" s="103"/>
      <c r="R27" s="102"/>
      <c r="S27" s="103"/>
      <c r="T27" s="102"/>
      <c r="U27" s="97"/>
      <c r="V27" s="102"/>
      <c r="W27" s="97"/>
    </row>
    <row r="28" spans="1:23" ht="15.75" customHeight="1">
      <c r="A28" s="73" t="s">
        <v>10</v>
      </c>
      <c r="B28" s="74" t="s">
        <v>1</v>
      </c>
      <c r="C28" s="66">
        <f>VLOOKUP(C15,K2:W17,2,0)</f>
        <v>23.9</v>
      </c>
      <c r="D28" s="57" t="s">
        <v>14</v>
      </c>
      <c r="E28" s="57"/>
      <c r="F28" s="57"/>
      <c r="G28" s="57"/>
      <c r="H28" s="57"/>
      <c r="I28" s="93"/>
      <c r="J28" s="72"/>
      <c r="K28" s="103"/>
      <c r="L28" s="97"/>
      <c r="M28" s="103"/>
      <c r="N28" s="103"/>
      <c r="O28" s="102"/>
      <c r="P28" s="102"/>
      <c r="Q28" s="103"/>
      <c r="R28" s="102"/>
      <c r="S28" s="103"/>
      <c r="T28" s="102"/>
      <c r="U28" s="97"/>
      <c r="V28" s="102"/>
      <c r="W28" s="97"/>
    </row>
    <row r="29" spans="1:23" ht="15.75" customHeight="1">
      <c r="A29" s="73" t="s">
        <v>34</v>
      </c>
      <c r="B29" s="74" t="s">
        <v>1</v>
      </c>
      <c r="C29" s="66">
        <f>VLOOKUP(C15,K2:W17,9,0)</f>
        <v>1320</v>
      </c>
      <c r="D29" s="57" t="s">
        <v>17</v>
      </c>
      <c r="E29" s="57"/>
      <c r="F29" s="57"/>
      <c r="G29" s="57"/>
      <c r="H29" s="57"/>
      <c r="I29" s="93"/>
      <c r="J29" s="72"/>
      <c r="K29" s="103"/>
      <c r="L29" s="97"/>
      <c r="M29" s="103"/>
      <c r="N29" s="103"/>
      <c r="O29" s="102"/>
      <c r="P29" s="102"/>
      <c r="Q29" s="103"/>
      <c r="R29" s="102"/>
      <c r="S29" s="103"/>
      <c r="T29" s="102"/>
      <c r="U29" s="97"/>
      <c r="V29" s="102"/>
      <c r="W29" s="97"/>
    </row>
    <row r="30" spans="1:23" ht="15.75" customHeight="1">
      <c r="A30" s="73" t="s">
        <v>35</v>
      </c>
      <c r="B30" s="74" t="s">
        <v>1</v>
      </c>
      <c r="C30" s="66">
        <f>VLOOKUP(C15,K2:W17,12,0)</f>
        <v>101</v>
      </c>
      <c r="D30" s="57" t="s">
        <v>17</v>
      </c>
      <c r="E30" s="100"/>
      <c r="F30" s="100"/>
      <c r="G30" s="100"/>
      <c r="H30" s="100"/>
      <c r="I30" s="93"/>
      <c r="J30" s="72"/>
      <c r="K30" s="101"/>
      <c r="L30" s="97"/>
      <c r="M30" s="101"/>
      <c r="N30" s="103"/>
      <c r="O30" s="102"/>
      <c r="P30" s="102"/>
      <c r="Q30" s="103"/>
      <c r="R30" s="102"/>
      <c r="S30" s="103"/>
      <c r="T30" s="102"/>
      <c r="U30" s="97"/>
      <c r="V30" s="102"/>
      <c r="W30" s="97"/>
    </row>
    <row r="31" spans="1:23" ht="15.75" customHeight="1">
      <c r="A31" s="73" t="s">
        <v>36</v>
      </c>
      <c r="B31" s="74" t="s">
        <v>1</v>
      </c>
      <c r="C31" s="106">
        <f>VLOOKUP(C15,K2:W17,10,0)</f>
        <v>146</v>
      </c>
      <c r="D31" s="57" t="s">
        <v>15</v>
      </c>
      <c r="E31" s="100"/>
      <c r="F31" s="100"/>
      <c r="G31" s="100"/>
      <c r="H31" s="100"/>
      <c r="I31" s="93"/>
      <c r="J31" s="108"/>
      <c r="K31" s="101"/>
      <c r="L31" s="97"/>
      <c r="M31" s="101"/>
      <c r="N31" s="103"/>
      <c r="O31" s="102"/>
      <c r="P31" s="102"/>
      <c r="Q31" s="103"/>
      <c r="R31" s="102"/>
      <c r="S31" s="103"/>
      <c r="T31" s="102"/>
      <c r="U31" s="97"/>
      <c r="V31" s="102"/>
      <c r="W31" s="97"/>
    </row>
    <row r="32" spans="1:23" ht="15.75" customHeight="1">
      <c r="A32" s="73" t="s">
        <v>37</v>
      </c>
      <c r="B32" s="74" t="s">
        <v>1</v>
      </c>
      <c r="C32" s="66">
        <f>VLOOKUP(C15,K2:W17,11,0)</f>
        <v>7.42</v>
      </c>
      <c r="D32" s="57" t="s">
        <v>8</v>
      </c>
      <c r="E32" s="100"/>
      <c r="F32" s="100"/>
      <c r="G32" s="100"/>
      <c r="H32" s="100"/>
      <c r="I32" s="93"/>
      <c r="J32" s="108"/>
      <c r="K32" s="101"/>
      <c r="L32" s="97"/>
      <c r="M32" s="101"/>
      <c r="N32" s="103"/>
      <c r="O32" s="102"/>
      <c r="P32" s="102"/>
      <c r="Q32" s="103"/>
      <c r="R32" s="102"/>
      <c r="S32" s="103"/>
      <c r="T32" s="102"/>
      <c r="U32" s="97"/>
      <c r="V32" s="102"/>
      <c r="W32" s="97"/>
    </row>
    <row r="33" spans="1:22" ht="15.75" customHeight="1">
      <c r="A33" s="73" t="s">
        <v>38</v>
      </c>
      <c r="B33" s="74" t="s">
        <v>1</v>
      </c>
      <c r="C33" s="66">
        <f>VLOOKUP(C15,K2:W17,13,0)</f>
        <v>2.05</v>
      </c>
      <c r="D33" s="57" t="s">
        <v>8</v>
      </c>
      <c r="E33" s="100"/>
      <c r="F33" s="100"/>
      <c r="G33" s="100"/>
      <c r="H33" s="100"/>
      <c r="I33" s="93"/>
      <c r="J33" s="108"/>
      <c r="K33" s="109"/>
      <c r="L33" s="95"/>
      <c r="M33" s="95"/>
      <c r="N33" s="94"/>
      <c r="O33" s="94"/>
      <c r="P33" s="94"/>
      <c r="Q33" s="94"/>
      <c r="R33" s="94"/>
      <c r="S33" s="94"/>
      <c r="T33" s="94"/>
      <c r="U33" s="94"/>
      <c r="V33" s="94"/>
    </row>
    <row r="34" spans="1:22" ht="15.75" customHeight="1">
      <c r="A34" s="60"/>
      <c r="B34" s="51"/>
      <c r="C34" s="51"/>
      <c r="D34" s="57"/>
      <c r="E34" s="100"/>
      <c r="F34" s="100"/>
      <c r="G34" s="100"/>
      <c r="H34" s="100"/>
      <c r="I34" s="93"/>
      <c r="J34" s="108"/>
      <c r="K34" s="109"/>
      <c r="L34" s="95"/>
      <c r="M34" s="95"/>
      <c r="N34" s="94"/>
      <c r="O34" s="94"/>
      <c r="P34" s="94"/>
      <c r="Q34" s="94"/>
      <c r="R34" s="94"/>
      <c r="S34" s="94"/>
      <c r="T34" s="94"/>
      <c r="U34" s="94"/>
      <c r="V34" s="94"/>
    </row>
    <row r="35" spans="1:22" ht="15.75" customHeight="1">
      <c r="A35" s="76" t="s">
        <v>40</v>
      </c>
      <c r="B35" s="51"/>
      <c r="C35" s="51"/>
      <c r="D35" s="57"/>
      <c r="E35" s="100"/>
      <c r="F35" s="100"/>
      <c r="G35" s="100"/>
      <c r="H35" s="100"/>
      <c r="I35" s="93"/>
      <c r="J35" s="110"/>
      <c r="K35" s="109"/>
      <c r="L35" s="111"/>
      <c r="M35" s="111"/>
      <c r="N35" s="112"/>
      <c r="R35" s="94"/>
      <c r="S35" s="94"/>
      <c r="T35" s="94"/>
      <c r="U35" s="94"/>
      <c r="V35" s="94"/>
    </row>
    <row r="36" spans="1:22" ht="15.75" customHeight="1">
      <c r="A36" s="113" t="s">
        <v>30</v>
      </c>
      <c r="B36" s="114" t="s">
        <v>1</v>
      </c>
      <c r="C36" s="114">
        <f>VLOOKUP(C15,K2:W17,8,0)/VLOOKUP(C15,K2:W17,5,0)</f>
        <v>27.547169811320757</v>
      </c>
      <c r="D36" s="61" t="s">
        <v>50</v>
      </c>
      <c r="E36" s="115" t="str">
        <f>IF(C36&lt;(127/(H7)^0.5),"Compact",IF(C36&lt;(190/(H7)^0.5),"Non compact","Slender"))</f>
        <v>Compact</v>
      </c>
      <c r="F36" s="50"/>
      <c r="G36" s="50"/>
      <c r="H36" s="50"/>
      <c r="I36" s="116"/>
      <c r="J36" s="117" t="s">
        <v>64</v>
      </c>
      <c r="K36" s="109"/>
      <c r="L36" s="111"/>
      <c r="M36" s="111"/>
      <c r="N36" s="112"/>
      <c r="O36" s="112"/>
      <c r="P36" s="112"/>
      <c r="Q36" s="112"/>
      <c r="R36" s="94"/>
      <c r="S36" s="94"/>
      <c r="T36" s="94"/>
      <c r="U36" s="94"/>
      <c r="V36" s="94"/>
    </row>
    <row r="37" spans="1:22" ht="15.75" customHeight="1">
      <c r="A37" s="113" t="s">
        <v>31</v>
      </c>
      <c r="B37" s="114" t="s">
        <v>1</v>
      </c>
      <c r="C37" s="114">
        <f>(C16/2-C19/2-VLOOKUP(C15,K2:W17,7,0))/C17</f>
        <v>4.23125</v>
      </c>
      <c r="D37" s="61" t="s">
        <v>51</v>
      </c>
      <c r="E37" s="115" t="str">
        <f>IF(C37&lt;(16.9/(H7)^0.5),"Compact",IF(C37&lt;(23/(H7)^0.5),"Non compact","Slender"))</f>
        <v>Compact</v>
      </c>
      <c r="F37" s="50"/>
      <c r="G37" s="50"/>
      <c r="H37" s="50"/>
      <c r="I37" s="116"/>
      <c r="J37" s="117" t="s">
        <v>65</v>
      </c>
      <c r="K37" s="109"/>
      <c r="L37" s="111"/>
      <c r="M37" s="111"/>
      <c r="N37" s="112"/>
      <c r="O37" s="112"/>
      <c r="P37" s="112"/>
      <c r="Q37" s="112"/>
      <c r="R37" s="94"/>
      <c r="S37" s="94"/>
      <c r="T37" s="94"/>
      <c r="U37" s="94"/>
      <c r="V37" s="94"/>
    </row>
    <row r="38" spans="1:22" ht="15.75" customHeight="1">
      <c r="A38" s="118" t="s">
        <v>29</v>
      </c>
      <c r="B38" s="119" t="str">
        <f>IF(AND(E36="Compact",E37="Compact"),"Compact",IF(AND(E36&lt;&gt;"Slender",E37&lt;&gt;"Slender",OR(E36="Non compact",E37="Non compact")),"Non compact","Slender"))</f>
        <v>Compact</v>
      </c>
      <c r="C38" s="49"/>
      <c r="D38" s="57"/>
      <c r="E38" s="50"/>
      <c r="F38" s="50"/>
      <c r="G38" s="50"/>
      <c r="H38" s="50"/>
      <c r="I38" s="116"/>
      <c r="J38" s="110"/>
      <c r="K38" s="109"/>
      <c r="L38" s="25"/>
      <c r="M38" s="25"/>
      <c r="O38" s="112"/>
      <c r="P38" s="112"/>
      <c r="Q38" s="112"/>
      <c r="R38" s="94"/>
      <c r="S38" s="94"/>
      <c r="T38" s="94"/>
      <c r="U38" s="94"/>
      <c r="V38" s="94"/>
    </row>
    <row r="39" spans="1:22" ht="15.75" customHeight="1">
      <c r="A39" s="76"/>
      <c r="B39" s="66"/>
      <c r="C39" s="57"/>
      <c r="D39" s="57"/>
      <c r="E39" s="57"/>
      <c r="F39" s="57"/>
      <c r="G39" s="57"/>
      <c r="H39" s="57"/>
      <c r="I39" s="57"/>
      <c r="J39" s="72"/>
      <c r="K39" s="95"/>
      <c r="L39" s="95"/>
      <c r="M39" s="95"/>
      <c r="N39" s="94"/>
      <c r="O39" s="94"/>
      <c r="P39" s="94"/>
      <c r="Q39" s="94"/>
      <c r="R39" s="94"/>
      <c r="S39" s="94"/>
      <c r="T39" s="94"/>
      <c r="U39" s="94"/>
      <c r="V39" s="94"/>
    </row>
    <row r="40" spans="1:22" ht="15.75" customHeight="1">
      <c r="A40" s="76" t="s">
        <v>47</v>
      </c>
      <c r="B40" s="66"/>
      <c r="C40" s="56"/>
      <c r="D40" s="56"/>
      <c r="E40" s="56"/>
      <c r="F40" s="57"/>
      <c r="G40" s="57"/>
      <c r="H40" s="57"/>
      <c r="I40" s="57"/>
      <c r="J40" s="72"/>
      <c r="K40" s="109"/>
      <c r="L40" s="95"/>
      <c r="M40" s="95"/>
      <c r="N40" s="94"/>
      <c r="O40" s="94"/>
      <c r="P40" s="94"/>
      <c r="Q40" s="94"/>
      <c r="R40" s="94"/>
      <c r="S40" s="94"/>
      <c r="T40" s="94"/>
      <c r="U40" s="94"/>
      <c r="V40" s="94"/>
    </row>
    <row r="41" spans="1:22" ht="15.75" customHeight="1">
      <c r="A41" s="73" t="s">
        <v>18</v>
      </c>
      <c r="B41" s="74" t="s">
        <v>1</v>
      </c>
      <c r="C41" s="14">
        <v>1.3</v>
      </c>
      <c r="D41" s="57"/>
      <c r="E41" s="57"/>
      <c r="F41" s="120"/>
      <c r="G41" s="120"/>
      <c r="H41" s="120"/>
      <c r="I41" s="75"/>
      <c r="J41" s="117" t="s">
        <v>66</v>
      </c>
      <c r="K41" s="109"/>
      <c r="L41" s="95"/>
      <c r="M41" s="95"/>
      <c r="N41" s="94"/>
      <c r="O41" s="94"/>
      <c r="P41" s="94"/>
      <c r="Q41" s="94"/>
      <c r="R41" s="94"/>
      <c r="S41" s="94"/>
      <c r="T41" s="94"/>
      <c r="U41" s="94"/>
      <c r="V41" s="94"/>
    </row>
    <row r="42" spans="1:22" ht="15.75" customHeight="1">
      <c r="A42" s="178" t="s">
        <v>13</v>
      </c>
      <c r="B42" s="179" t="s">
        <v>1</v>
      </c>
      <c r="C42" s="57" t="s">
        <v>27</v>
      </c>
      <c r="D42" s="57"/>
      <c r="E42" s="120"/>
      <c r="F42" s="58">
        <f>(20*(C16/1000))/(H7^0.5)</f>
        <v>1.174804948349583</v>
      </c>
      <c r="G42" s="57" t="s">
        <v>0</v>
      </c>
      <c r="H42" s="180">
        <f>MIN(F42,F43)</f>
        <v>1.174804948349583</v>
      </c>
      <c r="I42" s="180" t="s">
        <v>0</v>
      </c>
      <c r="J42" s="121" t="s">
        <v>67</v>
      </c>
      <c r="K42" s="109"/>
      <c r="L42" s="95"/>
      <c r="M42" s="95"/>
      <c r="N42" s="94"/>
      <c r="O42" s="94"/>
      <c r="P42" s="94"/>
      <c r="Q42" s="94"/>
      <c r="R42" s="94"/>
      <c r="S42" s="94"/>
      <c r="T42" s="94"/>
      <c r="U42" s="94"/>
      <c r="V42" s="94"/>
    </row>
    <row r="43" spans="1:22" ht="15.75" customHeight="1">
      <c r="A43" s="178"/>
      <c r="B43" s="179"/>
      <c r="C43" s="57" t="s">
        <v>28</v>
      </c>
      <c r="D43" s="57"/>
      <c r="E43" s="57"/>
      <c r="F43" s="66">
        <f>(1380*(C16*C17/100)/(H7*C18/10)*C41)/100</f>
        <v>3.023222222222222</v>
      </c>
      <c r="G43" s="57" t="s">
        <v>0</v>
      </c>
      <c r="H43" s="180"/>
      <c r="I43" s="180"/>
      <c r="J43" s="121" t="s">
        <v>68</v>
      </c>
      <c r="K43" s="109"/>
      <c r="L43" s="122" t="s">
        <v>42</v>
      </c>
      <c r="M43" s="122" t="s">
        <v>1</v>
      </c>
      <c r="N43" s="123">
        <f>IF(C23=0,0.58*H7,MIN((800*C16*C17*C41)/(1000*(VLOOKUP(C15,K2:W17,8,0))*C23),0.58*H7))</f>
        <v>0.5185753424657534</v>
      </c>
      <c r="O43" s="95" t="s">
        <v>16</v>
      </c>
      <c r="P43" s="124" t="s">
        <v>43</v>
      </c>
      <c r="Q43" s="124" t="s">
        <v>1</v>
      </c>
      <c r="R43" s="94">
        <f>((C17*C16^3/12)+(C18*C19^3/36))/10000</f>
        <v>50.31250516666667</v>
      </c>
      <c r="S43" s="95" t="s">
        <v>17</v>
      </c>
      <c r="T43" s="94"/>
      <c r="U43" s="94"/>
      <c r="V43" s="94"/>
    </row>
    <row r="44" spans="1:22" ht="15.75" customHeight="1">
      <c r="A44" s="73"/>
      <c r="B44" s="57" t="s">
        <v>41</v>
      </c>
      <c r="C44" s="57"/>
      <c r="D44" s="57"/>
      <c r="E44" s="57"/>
      <c r="F44" s="125" t="str">
        <f>IF(AND(H42&gt;C23),"There is no LTB","There is LTB")</f>
        <v>There is LTB</v>
      </c>
      <c r="G44" s="126"/>
      <c r="H44" s="56"/>
      <c r="I44" s="56"/>
      <c r="J44" s="72"/>
      <c r="K44" s="109"/>
      <c r="L44" s="122" t="s">
        <v>20</v>
      </c>
      <c r="M44" s="122" t="s">
        <v>1</v>
      </c>
      <c r="N44" s="124">
        <f>(C16*C17+C18*C19/6)/100</f>
        <v>8.87</v>
      </c>
      <c r="O44" s="95" t="s">
        <v>14</v>
      </c>
      <c r="P44" s="124" t="s">
        <v>19</v>
      </c>
      <c r="Q44" s="124" t="s">
        <v>1</v>
      </c>
      <c r="R44" s="94">
        <f>(R43/N44)^0.5</f>
        <v>2.3816402495110265</v>
      </c>
      <c r="S44" s="95" t="s">
        <v>8</v>
      </c>
      <c r="T44" s="94"/>
      <c r="U44" s="94"/>
      <c r="V44" s="94"/>
    </row>
    <row r="45" spans="1:22" ht="15.75" customHeight="1">
      <c r="A45" s="73" t="s">
        <v>25</v>
      </c>
      <c r="B45" s="58" t="s">
        <v>1</v>
      </c>
      <c r="C45" s="58">
        <f>IF(F44="There is LTB",N50,N51)</f>
        <v>0.5260705684754845</v>
      </c>
      <c r="D45" s="57" t="s">
        <v>16</v>
      </c>
      <c r="E45" s="57"/>
      <c r="F45" s="192"/>
      <c r="G45" s="192"/>
      <c r="H45" s="128"/>
      <c r="I45" s="128"/>
      <c r="J45" s="129"/>
      <c r="K45" s="109"/>
      <c r="L45" s="122" t="s">
        <v>22</v>
      </c>
      <c r="M45" s="122" t="s">
        <v>1</v>
      </c>
      <c r="N45" s="124">
        <f>C23*100/R44</f>
        <v>419.87869503184186</v>
      </c>
      <c r="O45" s="94"/>
      <c r="P45" s="124">
        <f>84*(C41/H7)^0.5</f>
        <v>61.822326064294934</v>
      </c>
      <c r="Q45" s="124">
        <f>188*(C41/H7)^0.5</f>
        <v>138.3642535724696</v>
      </c>
      <c r="R45" s="94"/>
      <c r="S45" s="95"/>
      <c r="T45" s="94"/>
      <c r="U45" s="94"/>
      <c r="V45" s="94"/>
    </row>
    <row r="46" spans="1:22" ht="15.75" customHeight="1">
      <c r="A46" s="73" t="s">
        <v>33</v>
      </c>
      <c r="B46" s="58" t="s">
        <v>1</v>
      </c>
      <c r="C46" s="58">
        <f>C45</f>
        <v>0.5260705684754845</v>
      </c>
      <c r="D46" s="57" t="s">
        <v>16</v>
      </c>
      <c r="E46" s="57"/>
      <c r="F46" s="130"/>
      <c r="G46" s="126"/>
      <c r="H46" s="56"/>
      <c r="I46" s="56"/>
      <c r="J46" s="72"/>
      <c r="K46" s="109"/>
      <c r="L46" s="122" t="s">
        <v>21</v>
      </c>
      <c r="M46" s="122" t="s">
        <v>1</v>
      </c>
      <c r="N46" s="124">
        <f>0.58*H7</f>
        <v>1.392</v>
      </c>
      <c r="O46" s="95" t="s">
        <v>16</v>
      </c>
      <c r="P46" s="124"/>
      <c r="Q46" s="124"/>
      <c r="R46" s="94"/>
      <c r="S46" s="95"/>
      <c r="T46" s="94"/>
      <c r="U46" s="94"/>
      <c r="V46" s="94"/>
    </row>
    <row r="47" spans="1:22" ht="15.75" customHeight="1">
      <c r="A47" s="73" t="s">
        <v>32</v>
      </c>
      <c r="B47" s="66" t="s">
        <v>1</v>
      </c>
      <c r="C47" s="66">
        <f>C10*100/C31</f>
        <v>2.73972602739726</v>
      </c>
      <c r="D47" s="57" t="s">
        <v>16</v>
      </c>
      <c r="E47" s="74" t="str">
        <f>IF(C47&lt;C46,"&lt;","&gt;")</f>
        <v>&gt;</v>
      </c>
      <c r="F47" s="74">
        <f>IF(E10="a",C46,C46*1.2)</f>
        <v>0.5260705684754845</v>
      </c>
      <c r="G47" s="127" t="str">
        <f>IF(AND(C47&lt;C46),"SAFE","Unsafe")</f>
        <v>Unsafe</v>
      </c>
      <c r="H47" s="57"/>
      <c r="I47" s="57"/>
      <c r="J47" s="72"/>
      <c r="K47" s="109"/>
      <c r="L47" s="122" t="s">
        <v>23</v>
      </c>
      <c r="M47" s="122" t="s">
        <v>1</v>
      </c>
      <c r="N47" s="124">
        <f>IF(P47&gt;0.58*H7,0.58*H7,P47)</f>
        <v>-5.106315298272244</v>
      </c>
      <c r="O47" s="95" t="s">
        <v>16</v>
      </c>
      <c r="P47" s="124">
        <f>(0.64-((N45^2*H7)/(1.176*10^5*C41)))*H7</f>
        <v>-5.106315298272244</v>
      </c>
      <c r="Q47" s="124"/>
      <c r="R47" s="131"/>
      <c r="S47" s="95"/>
      <c r="T47" s="94"/>
      <c r="U47" s="94"/>
      <c r="V47" s="94"/>
    </row>
    <row r="48" spans="1:22" ht="15.75" customHeight="1">
      <c r="A48" s="73"/>
      <c r="B48" s="66"/>
      <c r="C48" s="66"/>
      <c r="D48" s="57"/>
      <c r="E48" s="57"/>
      <c r="F48" s="57"/>
      <c r="G48" s="57"/>
      <c r="H48" s="57"/>
      <c r="I48" s="66"/>
      <c r="J48" s="72"/>
      <c r="K48" s="109"/>
      <c r="L48" s="122" t="s">
        <v>24</v>
      </c>
      <c r="M48" s="122" t="s">
        <v>1</v>
      </c>
      <c r="N48" s="124">
        <f>IF(P48&gt;0.58*H7,0.58*H7,P48)</f>
        <v>0.08848648033821872</v>
      </c>
      <c r="O48" s="95" t="s">
        <v>16</v>
      </c>
      <c r="P48" s="124">
        <f>IF(N45=0,0.58*H7,(12000*C41)/N45^2)</f>
        <v>0.08848648033821872</v>
      </c>
      <c r="Q48" s="124"/>
      <c r="R48" s="94"/>
      <c r="S48" s="94"/>
      <c r="T48" s="94"/>
      <c r="U48" s="94"/>
      <c r="V48" s="94"/>
    </row>
    <row r="49" spans="1:22" ht="15.75" customHeight="1">
      <c r="A49" s="76" t="s">
        <v>48</v>
      </c>
      <c r="B49" s="66"/>
      <c r="C49" s="57"/>
      <c r="D49" s="57"/>
      <c r="E49" s="58"/>
      <c r="F49" s="66"/>
      <c r="G49" s="57"/>
      <c r="H49" s="57"/>
      <c r="I49" s="57"/>
      <c r="J49" s="72"/>
      <c r="K49" s="109"/>
      <c r="L49" s="122" t="s">
        <v>44</v>
      </c>
      <c r="M49" s="122" t="s">
        <v>1</v>
      </c>
      <c r="N49" s="124">
        <f>IF(N45&lt;P45,N46,IF(AND(N45&gt;P45,N45&lt;Q45),N47,N48))</f>
        <v>0.08848648033821872</v>
      </c>
      <c r="O49" s="95" t="s">
        <v>16</v>
      </c>
      <c r="P49" s="122" t="s">
        <v>45</v>
      </c>
      <c r="Q49" s="122" t="s">
        <v>1</v>
      </c>
      <c r="R49" s="124">
        <f>(N43^2+N49^2)^0.5</f>
        <v>0.5260705684754845</v>
      </c>
      <c r="S49" s="95" t="s">
        <v>16</v>
      </c>
      <c r="T49" s="94"/>
      <c r="U49" s="94"/>
      <c r="V49" s="94"/>
    </row>
    <row r="50" spans="1:22" ht="15.75" customHeight="1">
      <c r="A50" s="73" t="s">
        <v>49</v>
      </c>
      <c r="B50" s="66" t="s">
        <v>1</v>
      </c>
      <c r="C50" s="66">
        <f>C11*100/(VLOOKUP(C15,K2:W17,8,FALSE)*C19)</f>
        <v>0.3230808994572241</v>
      </c>
      <c r="D50" s="57" t="s">
        <v>16</v>
      </c>
      <c r="E50" s="66" t="str">
        <f>IF(C50&gt;F50,"&gt;","&lt;")</f>
        <v>&lt;</v>
      </c>
      <c r="F50" s="132">
        <f>0.35*H7</f>
        <v>0.84</v>
      </c>
      <c r="G50" s="127" t="str">
        <f>IF(AND(C50&lt;F50),"SAFE","Unsafe")</f>
        <v>SAFE</v>
      </c>
      <c r="H50" s="57"/>
      <c r="I50" s="57"/>
      <c r="J50" s="121" t="s">
        <v>70</v>
      </c>
      <c r="K50" s="109"/>
      <c r="L50" s="122" t="s">
        <v>25</v>
      </c>
      <c r="M50" s="122" t="s">
        <v>1</v>
      </c>
      <c r="N50" s="124">
        <f>IF(R49&gt;0.58*H7,0.58*H7,R49)</f>
        <v>0.5260705684754845</v>
      </c>
      <c r="O50" s="95" t="s">
        <v>16</v>
      </c>
      <c r="P50" s="95"/>
      <c r="Q50" s="94"/>
      <c r="R50" s="94"/>
      <c r="S50" s="94"/>
      <c r="T50" s="94"/>
      <c r="U50" s="94"/>
      <c r="V50" s="94"/>
    </row>
    <row r="51" spans="1:22" ht="15.75" customHeight="1">
      <c r="A51" s="55"/>
      <c r="B51" s="57"/>
      <c r="C51" s="133"/>
      <c r="D51" s="58"/>
      <c r="E51" s="66"/>
      <c r="F51" s="57"/>
      <c r="G51" s="134"/>
      <c r="H51" s="56"/>
      <c r="I51" s="56"/>
      <c r="J51" s="117"/>
      <c r="K51" s="135"/>
      <c r="L51" s="122" t="s">
        <v>46</v>
      </c>
      <c r="M51" s="122" t="s">
        <v>1</v>
      </c>
      <c r="N51" s="122">
        <f>IF(B38="Compact",0.64*H7,0.58*H7)</f>
        <v>1.536</v>
      </c>
      <c r="O51" s="95" t="s">
        <v>16</v>
      </c>
      <c r="P51" s="122"/>
      <c r="Q51" s="122"/>
      <c r="R51" s="122"/>
      <c r="S51" s="95"/>
      <c r="T51" s="94"/>
      <c r="U51" s="94"/>
      <c r="V51" s="94"/>
    </row>
    <row r="52" spans="1:22" ht="15.75" customHeight="1">
      <c r="A52" s="76" t="s">
        <v>110</v>
      </c>
      <c r="B52" s="66"/>
      <c r="C52" s="66"/>
      <c r="D52" s="57"/>
      <c r="E52" s="57"/>
      <c r="F52" s="57"/>
      <c r="G52" s="57"/>
      <c r="H52" s="57"/>
      <c r="I52" s="57"/>
      <c r="J52" s="72"/>
      <c r="K52" s="109"/>
      <c r="L52" s="136"/>
      <c r="M52" s="136"/>
      <c r="N52" s="136"/>
      <c r="O52" s="136"/>
      <c r="P52" s="136"/>
      <c r="Q52" s="136"/>
      <c r="R52" s="136"/>
      <c r="S52" s="94"/>
      <c r="T52" s="94"/>
      <c r="U52" s="94"/>
      <c r="V52" s="94"/>
    </row>
    <row r="53" spans="1:22" ht="15.75" customHeight="1">
      <c r="A53" s="73" t="s">
        <v>111</v>
      </c>
      <c r="B53" s="66" t="s">
        <v>1</v>
      </c>
      <c r="C53" s="14">
        <v>1.5</v>
      </c>
      <c r="D53" s="57" t="s">
        <v>112</v>
      </c>
      <c r="E53" s="51"/>
      <c r="F53" s="51"/>
      <c r="G53" s="51"/>
      <c r="H53" s="57"/>
      <c r="I53" s="57"/>
      <c r="J53" s="72"/>
      <c r="K53" s="109"/>
      <c r="L53" s="95" t="s">
        <v>114</v>
      </c>
      <c r="M53" s="95"/>
      <c r="N53" s="95"/>
      <c r="O53" s="95"/>
      <c r="P53" s="95"/>
      <c r="Q53" s="95"/>
      <c r="R53" s="95"/>
      <c r="S53" s="94"/>
      <c r="T53" s="94"/>
      <c r="U53" s="94"/>
      <c r="V53" s="94"/>
    </row>
    <row r="54" spans="1:22" ht="15.75" customHeight="1">
      <c r="A54" s="73" t="s">
        <v>113</v>
      </c>
      <c r="B54" s="66" t="s">
        <v>1</v>
      </c>
      <c r="C54" s="14" t="s">
        <v>114</v>
      </c>
      <c r="D54" s="120"/>
      <c r="E54" s="57"/>
      <c r="F54" s="57"/>
      <c r="G54" s="57"/>
      <c r="H54" s="57"/>
      <c r="I54" s="57"/>
      <c r="J54" s="72"/>
      <c r="K54" s="135"/>
      <c r="L54" s="137" t="s">
        <v>115</v>
      </c>
      <c r="M54" s="122"/>
      <c r="N54" s="122"/>
      <c r="O54" s="122"/>
      <c r="P54" s="122"/>
      <c r="Q54" s="122"/>
      <c r="R54" s="122"/>
      <c r="S54" s="94"/>
      <c r="T54" s="94"/>
      <c r="U54" s="94"/>
      <c r="V54" s="94"/>
    </row>
    <row r="55" spans="1:22" ht="15.75" customHeight="1">
      <c r="A55" s="73" t="s">
        <v>116</v>
      </c>
      <c r="B55" s="66" t="s">
        <v>1</v>
      </c>
      <c r="C55" s="58">
        <f>(5*C53*(C22*100)^4)/(384*100*2100*C29)</f>
        <v>0.11273448773448773</v>
      </c>
      <c r="D55" s="57" t="s">
        <v>8</v>
      </c>
      <c r="E55" s="74" t="str">
        <f>IF(C55&lt;F55,"&lt;","&gt;")</f>
        <v>&lt;</v>
      </c>
      <c r="F55" s="66">
        <f>IF(C54="simple",C22/2,1.2*C22/2)</f>
        <v>1</v>
      </c>
      <c r="G55" s="127" t="str">
        <f>IF(AND(C55&lt;F55),"SAFE","Unsafe")</f>
        <v>SAFE</v>
      </c>
      <c r="H55" s="138"/>
      <c r="I55" s="138"/>
      <c r="J55" s="121" t="s">
        <v>117</v>
      </c>
      <c r="K55" s="109"/>
      <c r="L55" s="122"/>
      <c r="M55" s="122"/>
      <c r="N55" s="122"/>
      <c r="O55" s="122"/>
      <c r="P55" s="122"/>
      <c r="Q55" s="122"/>
      <c r="R55" s="122"/>
      <c r="S55" s="94"/>
      <c r="T55" s="94"/>
      <c r="U55" s="94"/>
      <c r="V55" s="94"/>
    </row>
    <row r="56" spans="1:22" ht="15.75" customHeight="1" thickBot="1">
      <c r="A56" s="139"/>
      <c r="B56" s="140"/>
      <c r="C56" s="140"/>
      <c r="D56" s="140"/>
      <c r="E56" s="141"/>
      <c r="F56" s="142"/>
      <c r="G56" s="143"/>
      <c r="H56" s="144"/>
      <c r="I56" s="145"/>
      <c r="J56" s="146" t="s">
        <v>118</v>
      </c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</row>
    <row r="57" spans="1:22" ht="15.75" customHeight="1">
      <c r="A57" s="147"/>
      <c r="B57" s="147"/>
      <c r="C57" s="147"/>
      <c r="D57" s="147"/>
      <c r="E57" s="148"/>
      <c r="F57" s="149"/>
      <c r="G57" s="150"/>
      <c r="H57" s="151"/>
      <c r="I57" s="152"/>
      <c r="J57" s="152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</row>
    <row r="58" spans="1:22" ht="15.75" customHeight="1">
      <c r="A58" s="153"/>
      <c r="B58" s="97"/>
      <c r="C58" s="95"/>
      <c r="D58" s="95"/>
      <c r="E58" s="122"/>
      <c r="F58" s="97"/>
      <c r="G58" s="95"/>
      <c r="H58" s="95"/>
      <c r="I58" s="95"/>
      <c r="J58" s="95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</row>
    <row r="59" spans="1:22" ht="15.75" customHeight="1">
      <c r="A59" s="122"/>
      <c r="B59" s="97"/>
      <c r="C59" s="97"/>
      <c r="D59" s="95"/>
      <c r="E59" s="97"/>
      <c r="F59" s="111"/>
      <c r="G59" s="154"/>
      <c r="H59" s="95"/>
      <c r="I59" s="95"/>
      <c r="J59" s="122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</row>
    <row r="60" spans="1:22" ht="15.75" customHeight="1">
      <c r="A60" s="122"/>
      <c r="B60" s="97"/>
      <c r="C60" s="97"/>
      <c r="D60" s="95"/>
      <c r="E60" s="122"/>
      <c r="F60" s="97"/>
      <c r="G60" s="95"/>
      <c r="H60" s="95"/>
      <c r="I60" s="95"/>
      <c r="J60" s="95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</row>
    <row r="61" spans="1:22" ht="15.75" customHeight="1">
      <c r="A61" s="153"/>
      <c r="B61" s="97"/>
      <c r="C61" s="95"/>
      <c r="D61" s="95"/>
      <c r="E61" s="95"/>
      <c r="F61" s="95"/>
      <c r="G61" s="95"/>
      <c r="H61" s="95"/>
      <c r="I61" s="95"/>
      <c r="J61" s="95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</row>
    <row r="62" spans="1:22" ht="15.75" customHeight="1">
      <c r="A62" s="155"/>
      <c r="B62" s="97"/>
      <c r="C62" s="95"/>
      <c r="D62" s="95"/>
      <c r="E62" s="95"/>
      <c r="F62" s="95"/>
      <c r="G62" s="95"/>
      <c r="H62" s="95"/>
      <c r="I62" s="95"/>
      <c r="J62" s="95"/>
      <c r="K62" s="94"/>
      <c r="L62" s="94"/>
      <c r="M62" s="94"/>
      <c r="N62" s="94"/>
      <c r="Q62" s="94"/>
      <c r="R62" s="94"/>
      <c r="S62" s="94"/>
      <c r="T62" s="94"/>
      <c r="U62" s="94"/>
      <c r="V62" s="94"/>
    </row>
    <row r="63" spans="1:22" ht="15.75" customHeight="1">
      <c r="A63" s="122"/>
      <c r="B63" s="122"/>
      <c r="C63" s="97"/>
      <c r="D63" s="95"/>
      <c r="E63" s="95"/>
      <c r="F63" s="95"/>
      <c r="G63" s="95"/>
      <c r="H63" s="95"/>
      <c r="I63" s="95"/>
      <c r="J63" s="95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</row>
    <row r="64" spans="1:22" ht="15.75" customHeight="1">
      <c r="A64" s="122"/>
      <c r="B64" s="122"/>
      <c r="C64" s="97"/>
      <c r="D64" s="95"/>
      <c r="E64" s="95"/>
      <c r="F64" s="95"/>
      <c r="G64" s="95"/>
      <c r="H64" s="95"/>
      <c r="I64" s="95"/>
      <c r="J64" s="95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 ht="15.75" customHeight="1">
      <c r="A65" s="122"/>
      <c r="B65" s="122"/>
      <c r="C65" s="97"/>
      <c r="D65" s="95"/>
      <c r="E65" s="95"/>
      <c r="F65" s="95"/>
      <c r="G65" s="95"/>
      <c r="H65" s="95"/>
      <c r="I65" s="95"/>
      <c r="J65" s="95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</row>
    <row r="66" spans="1:22" ht="15.75" customHeight="1">
      <c r="A66" s="122"/>
      <c r="B66" s="122"/>
      <c r="C66" s="97"/>
      <c r="D66" s="95"/>
      <c r="E66" s="95"/>
      <c r="F66" s="95"/>
      <c r="G66" s="95"/>
      <c r="H66" s="95"/>
      <c r="I66" s="95"/>
      <c r="J66" s="95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</row>
    <row r="67" spans="1:22" ht="15.75" customHeight="1">
      <c r="A67" s="122"/>
      <c r="B67" s="122"/>
      <c r="C67" s="97"/>
      <c r="D67" s="95"/>
      <c r="E67" s="95"/>
      <c r="F67" s="95"/>
      <c r="G67" s="95"/>
      <c r="H67" s="95"/>
      <c r="I67" s="95"/>
      <c r="J67" s="95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</row>
    <row r="68" spans="1:22" ht="15.75" customHeight="1">
      <c r="A68" s="122"/>
      <c r="B68" s="122"/>
      <c r="C68" s="97"/>
      <c r="D68" s="95"/>
      <c r="E68" s="95"/>
      <c r="F68" s="95"/>
      <c r="G68" s="95"/>
      <c r="H68" s="95"/>
      <c r="I68" s="95"/>
      <c r="J68" s="95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</row>
    <row r="69" spans="1:22" ht="15.75" customHeight="1">
      <c r="A69" s="122"/>
      <c r="B69" s="122"/>
      <c r="C69" s="97"/>
      <c r="D69" s="95"/>
      <c r="E69" s="95"/>
      <c r="F69" s="95"/>
      <c r="G69" s="95"/>
      <c r="H69" s="95"/>
      <c r="I69" s="95"/>
      <c r="J69" s="95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</row>
    <row r="70" spans="1:22" ht="15.75" customHeight="1">
      <c r="A70" s="122"/>
      <c r="B70" s="122"/>
      <c r="C70" s="97"/>
      <c r="D70" s="95"/>
      <c r="E70" s="95"/>
      <c r="F70" s="95"/>
      <c r="G70" s="95"/>
      <c r="H70" s="95"/>
      <c r="I70" s="95"/>
      <c r="J70" s="95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</row>
    <row r="71" spans="1:10" ht="15.75" customHeight="1">
      <c r="A71" s="95"/>
      <c r="B71" s="122"/>
      <c r="C71" s="156"/>
      <c r="D71" s="95"/>
      <c r="E71" s="122"/>
      <c r="F71" s="157"/>
      <c r="G71" s="95"/>
      <c r="H71" s="95"/>
      <c r="I71" s="95"/>
      <c r="J71" s="95"/>
    </row>
    <row r="72" spans="1:10" ht="15.75" customHeight="1">
      <c r="A72" s="137"/>
      <c r="B72" s="158"/>
      <c r="C72" s="159"/>
      <c r="D72" s="158"/>
      <c r="E72" s="25"/>
      <c r="F72" s="25"/>
      <c r="G72" s="25"/>
      <c r="H72" s="25"/>
      <c r="I72" s="25"/>
      <c r="J72" s="25"/>
    </row>
    <row r="73" spans="1:10" ht="15.75" customHeight="1">
      <c r="A73" s="137"/>
      <c r="B73" s="158"/>
      <c r="C73" s="159"/>
      <c r="D73" s="158"/>
      <c r="E73" s="25"/>
      <c r="F73" s="25"/>
      <c r="G73" s="25"/>
      <c r="H73" s="25"/>
      <c r="I73" s="25"/>
      <c r="J73" s="25"/>
    </row>
    <row r="74" spans="1:10" ht="15.75" customHeight="1">
      <c r="A74" s="153"/>
      <c r="B74" s="158"/>
      <c r="C74" s="159"/>
      <c r="D74" s="158"/>
      <c r="E74" s="25"/>
      <c r="F74" s="25"/>
      <c r="G74" s="25"/>
      <c r="H74" s="25"/>
      <c r="I74" s="25"/>
      <c r="J74" s="25"/>
    </row>
    <row r="75" spans="1:10" ht="15.75" customHeight="1">
      <c r="A75" s="160"/>
      <c r="B75" s="160"/>
      <c r="C75" s="160"/>
      <c r="D75" s="161"/>
      <c r="E75" s="162"/>
      <c r="F75" s="25"/>
      <c r="G75" s="25"/>
      <c r="H75" s="25"/>
      <c r="I75" s="25"/>
      <c r="J75" s="163"/>
    </row>
    <row r="76" spans="1:10" ht="15.75" customHeight="1">
      <c r="A76" s="160"/>
      <c r="B76" s="160"/>
      <c r="C76" s="160"/>
      <c r="D76" s="161"/>
      <c r="E76" s="162"/>
      <c r="F76" s="25"/>
      <c r="G76" s="25"/>
      <c r="H76" s="25"/>
      <c r="I76" s="25"/>
      <c r="J76" s="163"/>
    </row>
    <row r="77" spans="1:10" ht="15.75" customHeight="1">
      <c r="A77" s="161"/>
      <c r="B77" s="164"/>
      <c r="C77" s="165"/>
      <c r="D77" s="158"/>
      <c r="E77" s="25"/>
      <c r="F77" s="25"/>
      <c r="G77" s="25"/>
      <c r="H77" s="25"/>
      <c r="I77" s="25"/>
      <c r="J77" s="25"/>
    </row>
    <row r="78" spans="1:10" ht="15.75" customHeight="1">
      <c r="A78" s="161"/>
      <c r="B78" s="166"/>
      <c r="C78" s="165"/>
      <c r="D78" s="158"/>
      <c r="E78" s="25"/>
      <c r="F78" s="25"/>
      <c r="G78" s="25"/>
      <c r="H78" s="25"/>
      <c r="I78" s="25"/>
      <c r="J78" s="25"/>
    </row>
    <row r="79" spans="1:10" ht="15.75" customHeight="1">
      <c r="A79" s="153"/>
      <c r="B79" s="166"/>
      <c r="C79" s="165"/>
      <c r="D79" s="158"/>
      <c r="E79" s="25"/>
      <c r="F79" s="25"/>
      <c r="G79" s="25"/>
      <c r="H79" s="25"/>
      <c r="I79" s="25"/>
      <c r="J79" s="25"/>
    </row>
    <row r="80" spans="1:10" ht="15.75" customHeight="1">
      <c r="A80" s="122"/>
      <c r="B80" s="97"/>
      <c r="C80" s="97"/>
      <c r="D80" s="95"/>
      <c r="E80" s="95"/>
      <c r="F80" s="122"/>
      <c r="G80" s="122"/>
      <c r="H80" s="167"/>
      <c r="I80" s="167"/>
      <c r="J80" s="167"/>
    </row>
    <row r="81" spans="1:10" ht="15.75" customHeight="1">
      <c r="A81" s="122"/>
      <c r="B81" s="97"/>
      <c r="C81" s="97"/>
      <c r="D81" s="95"/>
      <c r="E81" s="95"/>
      <c r="F81" s="95"/>
      <c r="G81" s="95"/>
      <c r="H81" s="95"/>
      <c r="I81" s="95"/>
      <c r="J81" s="95"/>
    </row>
    <row r="82" spans="1:10" ht="15.75" customHeight="1">
      <c r="A82" s="191"/>
      <c r="B82" s="179"/>
      <c r="C82" s="95"/>
      <c r="D82" s="95"/>
      <c r="E82" s="25"/>
      <c r="F82" s="122"/>
      <c r="G82" s="95"/>
      <c r="H82" s="191"/>
      <c r="I82" s="191"/>
      <c r="J82" s="122"/>
    </row>
    <row r="83" spans="1:19" ht="15.75" customHeight="1">
      <c r="A83" s="191"/>
      <c r="B83" s="179"/>
      <c r="C83" s="95"/>
      <c r="D83" s="95"/>
      <c r="E83" s="95"/>
      <c r="F83" s="97"/>
      <c r="G83" s="95"/>
      <c r="H83" s="191"/>
      <c r="I83" s="191"/>
      <c r="J83" s="122"/>
      <c r="L83" s="122"/>
      <c r="M83" s="122"/>
      <c r="N83" s="168"/>
      <c r="O83" s="95"/>
      <c r="P83" s="124"/>
      <c r="Q83" s="124"/>
      <c r="R83" s="94"/>
      <c r="S83" s="95"/>
    </row>
    <row r="84" spans="1:19" ht="15.75" customHeight="1">
      <c r="A84" s="122"/>
      <c r="B84" s="95"/>
      <c r="C84" s="95"/>
      <c r="D84" s="95"/>
      <c r="E84" s="95"/>
      <c r="F84" s="169"/>
      <c r="G84" s="137"/>
      <c r="H84" s="95"/>
      <c r="I84" s="95"/>
      <c r="J84" s="95"/>
      <c r="L84" s="122"/>
      <c r="M84" s="122"/>
      <c r="N84" s="124"/>
      <c r="O84" s="95"/>
      <c r="P84" s="124"/>
      <c r="Q84" s="124"/>
      <c r="R84" s="94"/>
      <c r="S84" s="95"/>
    </row>
    <row r="85" spans="1:19" ht="15.75" customHeight="1">
      <c r="A85" s="122"/>
      <c r="B85" s="122"/>
      <c r="C85" s="122"/>
      <c r="D85" s="95"/>
      <c r="E85" s="95"/>
      <c r="F85" s="193"/>
      <c r="G85" s="193"/>
      <c r="H85" s="170"/>
      <c r="I85" s="170"/>
      <c r="J85" s="170"/>
      <c r="L85" s="122"/>
      <c r="M85" s="122"/>
      <c r="N85" s="124"/>
      <c r="O85" s="94"/>
      <c r="P85" s="124"/>
      <c r="Q85" s="124"/>
      <c r="R85" s="94"/>
      <c r="S85" s="95"/>
    </row>
    <row r="86" spans="1:19" ht="15.75" customHeight="1">
      <c r="A86" s="122"/>
      <c r="B86" s="122"/>
      <c r="C86" s="122"/>
      <c r="D86" s="95"/>
      <c r="E86" s="95"/>
      <c r="F86" s="169"/>
      <c r="G86" s="137"/>
      <c r="H86" s="95"/>
      <c r="I86" s="95"/>
      <c r="J86" s="95"/>
      <c r="L86" s="122"/>
      <c r="M86" s="122"/>
      <c r="N86" s="124"/>
      <c r="O86" s="95"/>
      <c r="P86" s="124"/>
      <c r="Q86" s="124"/>
      <c r="R86" s="94"/>
      <c r="S86" s="95"/>
    </row>
    <row r="87" spans="1:19" ht="15.75" customHeight="1">
      <c r="A87" s="122"/>
      <c r="B87" s="97"/>
      <c r="C87" s="97"/>
      <c r="D87" s="95"/>
      <c r="E87" s="95"/>
      <c r="F87" s="95"/>
      <c r="G87" s="171"/>
      <c r="H87" s="95"/>
      <c r="I87" s="95"/>
      <c r="J87" s="95"/>
      <c r="L87" s="122"/>
      <c r="M87" s="122"/>
      <c r="N87" s="124"/>
      <c r="O87" s="95"/>
      <c r="P87" s="124"/>
      <c r="Q87" s="124"/>
      <c r="R87" s="131"/>
      <c r="S87" s="95"/>
    </row>
    <row r="88" spans="1:19" ht="15.75" customHeight="1">
      <c r="A88" s="122"/>
      <c r="B88" s="97"/>
      <c r="C88" s="97"/>
      <c r="D88" s="95"/>
      <c r="E88" s="95"/>
      <c r="F88" s="95"/>
      <c r="G88" s="95"/>
      <c r="H88" s="95"/>
      <c r="I88" s="95"/>
      <c r="J88" s="95"/>
      <c r="L88" s="122"/>
      <c r="M88" s="122"/>
      <c r="N88" s="124"/>
      <c r="O88" s="95"/>
      <c r="P88" s="124"/>
      <c r="Q88" s="124"/>
      <c r="R88" s="94"/>
      <c r="S88" s="94"/>
    </row>
    <row r="89" spans="1:19" ht="15.75" customHeight="1">
      <c r="A89" s="172"/>
      <c r="B89" s="97"/>
      <c r="C89" s="97"/>
      <c r="D89" s="95"/>
      <c r="E89" s="95"/>
      <c r="F89" s="95"/>
      <c r="G89" s="95"/>
      <c r="H89" s="95"/>
      <c r="I89" s="95"/>
      <c r="J89" s="95"/>
      <c r="L89" s="122"/>
      <c r="M89" s="122"/>
      <c r="N89" s="124"/>
      <c r="O89" s="95"/>
      <c r="P89" s="122"/>
      <c r="Q89" s="122"/>
      <c r="R89" s="124"/>
      <c r="S89" s="95"/>
    </row>
    <row r="90" spans="1:19" ht="15.75" customHeight="1">
      <c r="A90" s="172"/>
      <c r="B90" s="97"/>
      <c r="C90" s="97"/>
      <c r="D90" s="95"/>
      <c r="E90" s="95"/>
      <c r="F90" s="95"/>
      <c r="G90" s="95"/>
      <c r="H90" s="95"/>
      <c r="I90" s="95"/>
      <c r="J90" s="95"/>
      <c r="L90" s="122"/>
      <c r="M90" s="122"/>
      <c r="N90" s="124"/>
      <c r="O90" s="95"/>
      <c r="P90" s="95"/>
      <c r="Q90" s="94"/>
      <c r="R90" s="94"/>
      <c r="S90" s="94"/>
    </row>
    <row r="91" spans="1:19" ht="15.75" customHeight="1">
      <c r="A91" s="95"/>
      <c r="B91" s="95"/>
      <c r="C91" s="172"/>
      <c r="D91" s="122"/>
      <c r="E91" s="97"/>
      <c r="F91" s="95"/>
      <c r="G91" s="173"/>
      <c r="H91" s="95"/>
      <c r="I91" s="95"/>
      <c r="J91" s="163"/>
      <c r="L91" s="122"/>
      <c r="M91" s="122"/>
      <c r="N91" s="122"/>
      <c r="O91" s="95"/>
      <c r="P91" s="122"/>
      <c r="Q91" s="122"/>
      <c r="R91" s="122"/>
      <c r="S91" s="95"/>
    </row>
    <row r="92" spans="1:10" ht="15.75" customHeight="1">
      <c r="A92" s="122"/>
      <c r="B92" s="97"/>
      <c r="C92" s="97"/>
      <c r="D92" s="95"/>
      <c r="E92" s="95"/>
      <c r="F92" s="95"/>
      <c r="G92" s="95"/>
      <c r="H92" s="95"/>
      <c r="I92" s="95"/>
      <c r="J92" s="95"/>
    </row>
    <row r="93" spans="1:10" ht="15.75" customHeight="1">
      <c r="A93" s="122"/>
      <c r="B93" s="97"/>
      <c r="C93" s="97"/>
      <c r="D93" s="95"/>
      <c r="E93" s="174"/>
      <c r="F93" s="174"/>
      <c r="G93" s="174"/>
      <c r="H93" s="95"/>
      <c r="I93" s="95"/>
      <c r="J93" s="95"/>
    </row>
    <row r="94" spans="1:19" ht="15.75" customHeight="1">
      <c r="A94" s="122"/>
      <c r="B94" s="97"/>
      <c r="C94" s="97"/>
      <c r="D94" s="95"/>
      <c r="E94" s="95"/>
      <c r="F94" s="95"/>
      <c r="G94" s="95"/>
      <c r="H94" s="95"/>
      <c r="I94" s="95"/>
      <c r="J94" s="95"/>
      <c r="L94" s="122"/>
      <c r="M94" s="122"/>
      <c r="N94" s="168"/>
      <c r="O94" s="95"/>
      <c r="P94" s="124"/>
      <c r="Q94" s="124"/>
      <c r="R94" s="94"/>
      <c r="S94" s="95"/>
    </row>
    <row r="95" spans="1:19" ht="15.75" customHeight="1">
      <c r="A95" s="175"/>
      <c r="B95" s="95"/>
      <c r="C95" s="95"/>
      <c r="D95" s="95"/>
      <c r="E95" s="122"/>
      <c r="F95" s="97"/>
      <c r="G95" s="95"/>
      <c r="H95" s="176"/>
      <c r="I95" s="176"/>
      <c r="J95" s="176"/>
      <c r="L95" s="122"/>
      <c r="M95" s="122"/>
      <c r="N95" s="124"/>
      <c r="O95" s="95"/>
      <c r="P95" s="124"/>
      <c r="Q95" s="124"/>
      <c r="R95" s="94"/>
      <c r="S95" s="95"/>
    </row>
    <row r="96" spans="1:19" ht="15.75" customHeight="1">
      <c r="A96" s="95"/>
      <c r="B96" s="95"/>
      <c r="C96" s="95"/>
      <c r="D96" s="95"/>
      <c r="E96" s="122"/>
      <c r="F96" s="177"/>
      <c r="G96" s="97"/>
      <c r="H96" s="111"/>
      <c r="I96" s="154"/>
      <c r="J96" s="122"/>
      <c r="L96" s="122"/>
      <c r="M96" s="122"/>
      <c r="N96" s="124"/>
      <c r="O96" s="94"/>
      <c r="P96" s="124"/>
      <c r="Q96" s="124"/>
      <c r="R96" s="94"/>
      <c r="S96" s="95"/>
    </row>
    <row r="97" spans="1:19" ht="15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L97" s="122"/>
      <c r="M97" s="122"/>
      <c r="N97" s="124"/>
      <c r="O97" s="95"/>
      <c r="P97" s="124"/>
      <c r="Q97" s="124"/>
      <c r="R97" s="94"/>
      <c r="S97" s="95"/>
    </row>
    <row r="98" spans="1:19" ht="15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L98" s="122"/>
      <c r="M98" s="122"/>
      <c r="N98" s="124"/>
      <c r="O98" s="95"/>
      <c r="P98" s="124"/>
      <c r="Q98" s="124"/>
      <c r="R98" s="131"/>
      <c r="S98" s="95"/>
    </row>
    <row r="99" spans="1:19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L99" s="122"/>
      <c r="M99" s="122"/>
      <c r="N99" s="124"/>
      <c r="O99" s="95"/>
      <c r="P99" s="124"/>
      <c r="Q99" s="124"/>
      <c r="R99" s="94"/>
      <c r="S99" s="94"/>
    </row>
    <row r="100" spans="1:19" ht="15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L100" s="122"/>
      <c r="M100" s="122"/>
      <c r="N100" s="124"/>
      <c r="O100" s="95"/>
      <c r="P100" s="122"/>
      <c r="Q100" s="122"/>
      <c r="R100" s="124"/>
      <c r="S100" s="95"/>
    </row>
    <row r="101" spans="1:19" ht="15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L101" s="122"/>
      <c r="M101" s="122"/>
      <c r="N101" s="124"/>
      <c r="O101" s="95"/>
      <c r="P101" s="95"/>
      <c r="Q101" s="94"/>
      <c r="R101" s="94"/>
      <c r="S101" s="94"/>
    </row>
    <row r="102" spans="1:19" ht="15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L102" s="122"/>
      <c r="M102" s="122"/>
      <c r="N102" s="122"/>
      <c r="O102" s="95"/>
      <c r="P102" s="122"/>
      <c r="Q102" s="122"/>
      <c r="R102" s="122"/>
      <c r="S102" s="95"/>
    </row>
    <row r="103" spans="1:10" ht="15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</sheetData>
  <sheetProtection password="D98F" sheet="1" objects="1" scenarios="1"/>
  <mergeCells count="13">
    <mergeCell ref="A82:A83"/>
    <mergeCell ref="B82:B83"/>
    <mergeCell ref="F45:G45"/>
    <mergeCell ref="F85:G85"/>
    <mergeCell ref="D1:G1"/>
    <mergeCell ref="H1:I2"/>
    <mergeCell ref="D2:G2"/>
    <mergeCell ref="H82:H83"/>
    <mergeCell ref="I82:I83"/>
    <mergeCell ref="A42:A43"/>
    <mergeCell ref="B42:B43"/>
    <mergeCell ref="H42:H43"/>
    <mergeCell ref="I42:I43"/>
  </mergeCells>
  <conditionalFormatting sqref="G47 G50 G55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conditionalFormatting sqref="B38 E36:E37">
    <cfRule type="cellIs" priority="3" dxfId="0" operator="equal" stopIfTrue="1">
      <formula>"Compact"</formula>
    </cfRule>
    <cfRule type="cellIs" priority="4" dxfId="0" operator="equal" stopIfTrue="1">
      <formula>"Non compact"</formula>
    </cfRule>
    <cfRule type="cellIs" priority="5" dxfId="1" operator="equal" stopIfTrue="1">
      <formula>"Slender"</formula>
    </cfRule>
  </conditionalFormatting>
  <dataValidations count="5">
    <dataValidation type="list" allowBlank="1" showInputMessage="1" showErrorMessage="1" sqref="C15">
      <formula1>$K$2:$K$17</formula1>
    </dataValidation>
    <dataValidation type="list" allowBlank="1" showInputMessage="1" showErrorMessage="1" sqref="E10">
      <formula1>$K$19:$K$20</formula1>
    </dataValidation>
    <dataValidation type="list" allowBlank="1" showInputMessage="1" showErrorMessage="1" sqref="H85">
      <formula1>$K$21:$K$22</formula1>
    </dataValidation>
    <dataValidation type="list" allowBlank="1" showInputMessage="1" showErrorMessage="1" sqref="C54">
      <formula1>$L$53:$L$54</formula1>
    </dataValidation>
    <dataValidation type="list" allowBlank="1" showInputMessage="1" showErrorMessage="1" sqref="G6">
      <formula1>$M$19:$M$21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80" r:id="rId4"/>
  <rowBreaks count="1" manualBreakCount="1">
    <brk id="56" max="9" man="1"/>
  </rowBreaks>
  <colBreaks count="1" manualBreakCount="1">
    <brk id="10" max="65535" man="1"/>
  </colBreaks>
  <drawing r:id="rId3"/>
  <legacyDrawing r:id="rId2"/>
  <oleObjects>
    <oleObject progId="AutoCAD.Drawing.17" shapeId="14748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2009-02-26T12:55:19Z</cp:lastPrinted>
  <dcterms:created xsi:type="dcterms:W3CDTF">1997-10-17T07:03:38Z</dcterms:created>
  <dcterms:modified xsi:type="dcterms:W3CDTF">2009-07-16T10:56:36Z</dcterms:modified>
  <cp:category/>
  <cp:version/>
  <cp:contentType/>
  <cp:contentStatus/>
</cp:coreProperties>
</file>