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<sst xmlns="http://schemas.openxmlformats.org/spreadsheetml/2006/main" count="142" uniqueCount="109">
  <si>
    <t>Design of composite columns</t>
  </si>
  <si>
    <t>according to ECP no. 205-2001</t>
  </si>
  <si>
    <t>( Working loads )</t>
  </si>
  <si>
    <r>
      <t xml:space="preserve">l = </t>
    </r>
    <r>
      <rPr>
        <sz val="10"/>
        <rFont val="Arial"/>
        <family val="2"/>
      </rPr>
      <t>Slenderness ratio = kl/rm</t>
    </r>
  </si>
  <si>
    <t>rm = Modified radius of gyration of the composite section (cm)</t>
  </si>
  <si>
    <t>Fyr = Yield stress of longitudinal reinforcing bars (kg/cm2)</t>
  </si>
  <si>
    <t>As = Area of steel section (cm2)</t>
  </si>
  <si>
    <t>Ar = Area of longitudinal reinforcing bars (cm2)</t>
  </si>
  <si>
    <t>Ac = Area of concrete (cm2) excluding As and Ar</t>
  </si>
  <si>
    <t>c1,c2,c3 = Numerical coefficients</t>
  </si>
  <si>
    <t>Cmx,Cmy = Moment modification factors as per Clause 2.6.7.1</t>
  </si>
  <si>
    <t xml:space="preserve">fbx,fby = Applied bending stress based on moments about the X and Y axes respectively and </t>
  </si>
  <si>
    <t>Ec =</t>
  </si>
  <si>
    <t>fcu =</t>
  </si>
  <si>
    <t>cm</t>
  </si>
  <si>
    <t>Concrete Sec.</t>
  </si>
  <si>
    <t>Fyr =</t>
  </si>
  <si>
    <t>Ar =</t>
  </si>
  <si>
    <t>mm</t>
  </si>
  <si>
    <t>Es =</t>
  </si>
  <si>
    <t>Fy =</t>
  </si>
  <si>
    <t>As =</t>
  </si>
  <si>
    <t>rx =</t>
  </si>
  <si>
    <t>ry =</t>
  </si>
  <si>
    <t>Acg =</t>
  </si>
  <si>
    <t>Ac =</t>
  </si>
  <si>
    <t>c1 =</t>
  </si>
  <si>
    <t>c2 =</t>
  </si>
  <si>
    <t>c3 =</t>
  </si>
  <si>
    <t>rmx =</t>
  </si>
  <si>
    <t>rmy =</t>
  </si>
  <si>
    <t>N =</t>
  </si>
  <si>
    <t>Mx =</t>
  </si>
  <si>
    <t>My =</t>
  </si>
  <si>
    <t>Lx =</t>
  </si>
  <si>
    <t>Ly =</t>
  </si>
  <si>
    <t>Kbx =</t>
  </si>
  <si>
    <t>Kby =</t>
  </si>
  <si>
    <r>
      <t>l</t>
    </r>
    <r>
      <rPr>
        <sz val="10"/>
        <rFont val="Arial"/>
        <family val="2"/>
      </rPr>
      <t>x =</t>
    </r>
  </si>
  <si>
    <r>
      <t>l</t>
    </r>
    <r>
      <rPr>
        <sz val="10"/>
        <rFont val="Arial"/>
        <family val="2"/>
      </rPr>
      <t>y =</t>
    </r>
  </si>
  <si>
    <t>Kbx * Lx / rmx =</t>
  </si>
  <si>
    <t>Kby * Ly / rmy =</t>
  </si>
  <si>
    <r>
      <t>l</t>
    </r>
    <r>
      <rPr>
        <sz val="10"/>
        <rFont val="Arial"/>
        <family val="2"/>
      </rPr>
      <t>max =</t>
    </r>
  </si>
  <si>
    <t>Em =</t>
  </si>
  <si>
    <t>Fym =</t>
  </si>
  <si>
    <t>Fy + c1 * Fyr * ( Ar / As ) + c2 * fcu * ( Ac / As ) =</t>
  </si>
  <si>
    <r>
      <t xml:space="preserve">a </t>
    </r>
    <r>
      <rPr>
        <sz val="10"/>
        <rFont val="Arial"/>
        <family val="2"/>
      </rPr>
      <t>=</t>
    </r>
  </si>
  <si>
    <t>Es + c3 * Ec * ( Ac / As )                                  =</t>
  </si>
  <si>
    <r>
      <t>( 0.58 * 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* Fym - 3.57 * Em ) / ( 10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* Fym 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=</t>
    </r>
  </si>
  <si>
    <t>Fc =</t>
  </si>
  <si>
    <t>fca =</t>
  </si>
  <si>
    <t>N / As =</t>
  </si>
  <si>
    <t xml:space="preserve">  fca / Fc + ( fbx / 0.72 * Fy ) * A1 + ( fby / 0.72 * Fy ) * A2 =</t>
  </si>
  <si>
    <t>Interaction Equation :</t>
  </si>
  <si>
    <t>Zx =</t>
  </si>
  <si>
    <t>Zy =</t>
  </si>
  <si>
    <t>Reinforcement</t>
  </si>
  <si>
    <t>Steel Section</t>
  </si>
  <si>
    <t>( c )</t>
  </si>
  <si>
    <t>( b )</t>
  </si>
  <si>
    <t>( a )</t>
  </si>
  <si>
    <t xml:space="preserve">Composite section case = </t>
  </si>
  <si>
    <t>Fym = Modified yield stress (t/cm2)</t>
  </si>
  <si>
    <t>Fy = Yield stress of steel section (t/cm2)</t>
  </si>
  <si>
    <t>Em = Modified Young's modulus (t/cm2) &gt;= Es</t>
  </si>
  <si>
    <t>Es = Young's modulus of steel (t/cm2)</t>
  </si>
  <si>
    <t>Fc = Allowable compressivestress for composite section (t/cm2)</t>
  </si>
  <si>
    <t>fca = Allowable compressivestress due to axial force computed on steel section only (t/cm2)</t>
  </si>
  <si>
    <t>neglecting composite action (t/cm2)</t>
  </si>
  <si>
    <t>femx,femy = Modified elastic buckling stress for buckling in X and Y directions respectively (t/cm2)</t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</si>
  <si>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</si>
  <si>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</si>
  <si>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</si>
  <si>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kg/cm</t>
    </r>
    <r>
      <rPr>
        <vertAlign val="superscript"/>
        <sz val="11"/>
        <rFont val="Times New Roman"/>
        <family val="1"/>
      </rPr>
      <t>2</t>
    </r>
  </si>
  <si>
    <t>1- Appreviations :</t>
  </si>
  <si>
    <t>2- Requirements :</t>
  </si>
  <si>
    <t>a- The total cross-sectional area of steel section shall not be less than four percent (4%) of the gross column area.</t>
  </si>
  <si>
    <t xml:space="preserve">b- The characteristic 28-day cube strength of concrete, fcu, shall not be less than 250 kg/cm2, nor greater than 500 kg/cm2. </t>
  </si>
  <si>
    <t xml:space="preserve">c- Multiple steel shapes in the same cross-section shall be interconnected with lacing, tie plates, or batten plates to prevent </t>
  </si>
  <si>
    <t xml:space="preserve">   buckling of individual shapes before hardening of concrete.</t>
  </si>
  <si>
    <t>d- For concrete encasement, the spacing of lateral ties shall not exceed two thirds of the least dimension of the composite</t>
  </si>
  <si>
    <t xml:space="preserve">   section, or 30 cm, whichever is samller. Concrete cover over lateral ties shall not be less than 4 cm.</t>
  </si>
  <si>
    <t xml:space="preserve">f- To avoid local buckling, the minimum wall thickness of steel rectangular tubing filled shall be taken as b(Fy/3Es)^1/2 </t>
  </si>
  <si>
    <t xml:space="preserve">   and for circular section shall be taken as D(Fy/8Es)^1/2.</t>
  </si>
  <si>
    <t>t</t>
  </si>
  <si>
    <t>m.t</t>
  </si>
  <si>
    <t xml:space="preserve">D of long bars = </t>
  </si>
  <si>
    <t xml:space="preserve">No of long bars = </t>
  </si>
  <si>
    <t>3- Input Data :</t>
  </si>
  <si>
    <t>4- Straining Action :</t>
  </si>
  <si>
    <t>5- Check Stresses :</t>
  </si>
  <si>
    <t>As min =</t>
  </si>
  <si>
    <r>
      <t>N/mm</t>
    </r>
    <r>
      <rPr>
        <vertAlign val="superscript"/>
        <sz val="11"/>
        <rFont val="Times New Roman"/>
        <family val="1"/>
      </rPr>
      <t>2</t>
    </r>
  </si>
  <si>
    <t>Ec = Young's modulus of concrete (N/mm2)</t>
  </si>
  <si>
    <t>fcu = 28-days cube strength of concrete (N/mm2)</t>
  </si>
  <si>
    <t>Femx</t>
  </si>
  <si>
    <t>fca / Fc</t>
  </si>
  <si>
    <t>fbx</t>
  </si>
  <si>
    <t>fby</t>
  </si>
  <si>
    <t>A1</t>
  </si>
  <si>
    <t>A2</t>
  </si>
  <si>
    <t>=</t>
  </si>
  <si>
    <t>Femy</t>
  </si>
  <si>
    <t>Cmx</t>
  </si>
  <si>
    <t>Cmy</t>
  </si>
  <si>
    <t>Case Lodaing</t>
  </si>
  <si>
    <t>I</t>
  </si>
  <si>
    <t>II</t>
  </si>
  <si>
    <t>per Clause 2.6.7.1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</si>
</sst>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0000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  <numFmt numFmtId="179" formatCode="0.00000000"/>
    <numFmt numFmtId="180" formatCode="0.000000000"/>
  </numFmts>
  <fonts count="31">
    <font>
      <sz val="10"/>
      <name val="Arial"/>
      <family val="0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0"/>
      <color indexed="12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center"/>
    </xf>
    <xf numFmtId="2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left" vertical="center"/>
      <protection/>
    </xf>
    <xf numFmtId="2" fontId="8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/>
    </xf>
    <xf numFmtId="0" fontId="8" fillId="0" borderId="0" xfId="0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/>
    </xf>
    <xf numFmtId="2" fontId="7" fillId="17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left"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1"/>
  <sheetViews>
    <sheetView tabSelected="1" zoomScalePageLayoutView="0" workbookViewId="0" topLeftCell="A82">
      <selection activeCell="G104" sqref="G104"/>
    </sheetView>
  </sheetViews>
  <sheetFormatPr defaultColWidth="9.140625" defaultRowHeight="12.75"/>
  <cols>
    <col min="1" max="2" width="9.140625" style="2" customWidth="1"/>
    <col min="3" max="3" width="9.421875" style="2" bestFit="1" customWidth="1"/>
    <col min="4" max="4" width="10.421875" style="2" customWidth="1"/>
    <col min="5" max="6" width="9.140625" style="2" customWidth="1"/>
    <col min="7" max="7" width="14.00390625" style="2" bestFit="1" customWidth="1"/>
    <col min="8" max="10" width="9.140625" style="2" customWidth="1"/>
    <col min="11" max="11" width="12.00390625" style="2" bestFit="1" customWidth="1"/>
    <col min="12" max="16384" width="9.140625" style="2" customWidth="1"/>
  </cols>
  <sheetData>
    <row r="2" ht="12.75">
      <c r="R2" s="2" t="s">
        <v>60</v>
      </c>
    </row>
    <row r="3" spans="6:18" ht="15.75">
      <c r="F3" s="1" t="s">
        <v>0</v>
      </c>
      <c r="R3" s="2" t="s">
        <v>59</v>
      </c>
    </row>
    <row r="4" spans="6:18" ht="15.75">
      <c r="F4" s="1" t="s">
        <v>1</v>
      </c>
      <c r="R4" s="2" t="s">
        <v>58</v>
      </c>
    </row>
    <row r="5" ht="12.75">
      <c r="F5" s="2" t="s">
        <v>2</v>
      </c>
    </row>
    <row r="6" ht="12.75">
      <c r="R6" s="2" t="s">
        <v>106</v>
      </c>
    </row>
    <row r="7" ht="12.75">
      <c r="R7" s="2" t="s">
        <v>107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4.25">
      <c r="A23" s="22" t="s">
        <v>74</v>
      </c>
    </row>
    <row r="25" ht="12.75">
      <c r="A25" s="4" t="s">
        <v>94</v>
      </c>
    </row>
    <row r="26" ht="12.75">
      <c r="A26" s="5" t="s">
        <v>3</v>
      </c>
    </row>
    <row r="27" ht="12.75">
      <c r="A27" s="4" t="s">
        <v>4</v>
      </c>
    </row>
    <row r="28" ht="12.75">
      <c r="A28" s="4" t="s">
        <v>62</v>
      </c>
    </row>
    <row r="29" ht="12.75">
      <c r="A29" s="4" t="s">
        <v>63</v>
      </c>
    </row>
    <row r="30" ht="12.75">
      <c r="A30" s="4" t="s">
        <v>5</v>
      </c>
    </row>
    <row r="31" ht="12.75">
      <c r="A31" s="4" t="s">
        <v>64</v>
      </c>
    </row>
    <row r="32" ht="12.75">
      <c r="A32" s="4" t="s">
        <v>65</v>
      </c>
    </row>
    <row r="33" ht="12.75">
      <c r="A33" s="4" t="s">
        <v>93</v>
      </c>
    </row>
    <row r="34" ht="12.75">
      <c r="A34" s="4" t="s">
        <v>6</v>
      </c>
    </row>
    <row r="35" ht="12.75">
      <c r="A35" s="4" t="s">
        <v>7</v>
      </c>
    </row>
    <row r="36" ht="12.75">
      <c r="A36" s="4" t="s">
        <v>8</v>
      </c>
    </row>
    <row r="37" ht="12.75">
      <c r="A37" s="4" t="s">
        <v>9</v>
      </c>
    </row>
    <row r="38" ht="12.75">
      <c r="A38" s="4" t="s">
        <v>66</v>
      </c>
    </row>
    <row r="39" ht="12.75">
      <c r="A39" s="4" t="s">
        <v>67</v>
      </c>
    </row>
    <row r="40" ht="12.75">
      <c r="A40" s="4" t="s">
        <v>10</v>
      </c>
    </row>
    <row r="41" ht="12.75">
      <c r="A41" s="4" t="s">
        <v>11</v>
      </c>
    </row>
    <row r="42" ht="12.75">
      <c r="B42" s="4" t="s">
        <v>68</v>
      </c>
    </row>
    <row r="43" ht="12.75">
      <c r="A43" s="4" t="s">
        <v>69</v>
      </c>
    </row>
    <row r="44" ht="12.75">
      <c r="A44" s="4"/>
    </row>
    <row r="45" ht="14.25">
      <c r="A45" s="22" t="s">
        <v>75</v>
      </c>
    </row>
    <row r="46" ht="12.75">
      <c r="A46" s="4"/>
    </row>
    <row r="47" ht="12.75">
      <c r="A47" s="4" t="s">
        <v>76</v>
      </c>
    </row>
    <row r="48" ht="12.75">
      <c r="A48" s="4" t="s">
        <v>77</v>
      </c>
    </row>
    <row r="49" ht="12.75">
      <c r="A49" s="4" t="s">
        <v>78</v>
      </c>
    </row>
    <row r="50" ht="12.75">
      <c r="A50" s="4" t="s">
        <v>79</v>
      </c>
    </row>
    <row r="51" ht="12.75">
      <c r="A51" s="4" t="s">
        <v>80</v>
      </c>
    </row>
    <row r="52" ht="12.75">
      <c r="A52" s="4" t="s">
        <v>81</v>
      </c>
    </row>
    <row r="53" ht="12.75">
      <c r="A53" s="4" t="s">
        <v>82</v>
      </c>
    </row>
    <row r="54" ht="12.75">
      <c r="A54" s="4" t="s">
        <v>83</v>
      </c>
    </row>
    <row r="55" ht="12.75">
      <c r="A55" s="4"/>
    </row>
    <row r="56" ht="14.25">
      <c r="A56" s="22" t="s">
        <v>88</v>
      </c>
    </row>
    <row r="58" spans="1:4" ht="12.75">
      <c r="A58" s="4" t="s">
        <v>61</v>
      </c>
      <c r="D58" s="18" t="s">
        <v>60</v>
      </c>
    </row>
    <row r="60" spans="1:11" ht="15.75">
      <c r="A60" s="8" t="s">
        <v>15</v>
      </c>
      <c r="B60" s="6"/>
      <c r="E60" s="8" t="s">
        <v>56</v>
      </c>
      <c r="F60" s="6"/>
      <c r="J60" s="8" t="s">
        <v>57</v>
      </c>
      <c r="K60" s="6"/>
    </row>
    <row r="61" spans="1:11" ht="15.75">
      <c r="A61" s="12"/>
      <c r="B61" s="13"/>
      <c r="E61" s="12"/>
      <c r="F61" s="13"/>
      <c r="J61" s="12"/>
      <c r="K61" s="13"/>
    </row>
    <row r="62" spans="1:12" ht="15" customHeight="1">
      <c r="A62" s="2" t="s">
        <v>13</v>
      </c>
      <c r="B62" s="18">
        <v>30</v>
      </c>
      <c r="C62" s="17" t="s">
        <v>92</v>
      </c>
      <c r="E62" s="2" t="s">
        <v>16</v>
      </c>
      <c r="G62" s="18">
        <v>400</v>
      </c>
      <c r="H62" s="17" t="s">
        <v>73</v>
      </c>
      <c r="J62" s="2" t="s">
        <v>19</v>
      </c>
      <c r="K62" s="19">
        <v>2100</v>
      </c>
      <c r="L62" s="17" t="s">
        <v>70</v>
      </c>
    </row>
    <row r="63" spans="1:12" ht="15" customHeight="1">
      <c r="A63" s="2" t="str">
        <f>IF(OR(D58="( a )",D58="( b )"),"b1 =","D1 =")</f>
        <v>b1 =</v>
      </c>
      <c r="B63" s="18">
        <v>50</v>
      </c>
      <c r="C63" s="2" t="s">
        <v>14</v>
      </c>
      <c r="E63" s="4" t="s">
        <v>86</v>
      </c>
      <c r="G63" s="18">
        <v>18</v>
      </c>
      <c r="H63" s="17" t="s">
        <v>18</v>
      </c>
      <c r="J63" s="2" t="s">
        <v>20</v>
      </c>
      <c r="K63" s="19">
        <v>2.4</v>
      </c>
      <c r="L63" s="17" t="s">
        <v>70</v>
      </c>
    </row>
    <row r="64" spans="1:15" ht="15" customHeight="1">
      <c r="A64" s="2" t="str">
        <f>IF(OR(D58="( a )",D58="( b )"),"b2 =","")</f>
        <v>b2 =</v>
      </c>
      <c r="B64" s="18">
        <v>50</v>
      </c>
      <c r="C64" s="2" t="str">
        <f>IF(OR(D58="( a )",D58="( b )"),"cm","")</f>
        <v>cm</v>
      </c>
      <c r="E64" s="4" t="s">
        <v>87</v>
      </c>
      <c r="G64" s="18">
        <v>10</v>
      </c>
      <c r="H64" s="17"/>
      <c r="J64" s="2" t="s">
        <v>21</v>
      </c>
      <c r="K64" s="19">
        <v>196</v>
      </c>
      <c r="L64" s="17" t="s">
        <v>71</v>
      </c>
      <c r="M64" s="2" t="s">
        <v>91</v>
      </c>
      <c r="N64" s="2">
        <f>4*B78/100</f>
        <v>100</v>
      </c>
      <c r="O64" s="17" t="s">
        <v>71</v>
      </c>
    </row>
    <row r="65" spans="1:12" ht="15" customHeight="1">
      <c r="A65" s="2" t="s">
        <v>12</v>
      </c>
      <c r="B65" s="2">
        <f>4400*(B62)^0.5</f>
        <v>24099.79253022731</v>
      </c>
      <c r="C65" s="17" t="s">
        <v>92</v>
      </c>
      <c r="E65" s="2" t="s">
        <v>17</v>
      </c>
      <c r="G65" s="21">
        <f>G64*((3.14*G63^2)/4)/100</f>
        <v>25.434</v>
      </c>
      <c r="H65" s="17" t="s">
        <v>71</v>
      </c>
      <c r="J65" s="2" t="s">
        <v>54</v>
      </c>
      <c r="K65" s="19">
        <v>3139</v>
      </c>
      <c r="L65" s="17" t="s">
        <v>72</v>
      </c>
    </row>
    <row r="66" spans="7:12" ht="15" customHeight="1">
      <c r="G66" s="18"/>
      <c r="H66" s="17"/>
      <c r="J66" s="2" t="s">
        <v>55</v>
      </c>
      <c r="K66" s="19">
        <v>3139</v>
      </c>
      <c r="L66" s="17" t="s">
        <v>72</v>
      </c>
    </row>
    <row r="67" spans="5:12" ht="15" customHeight="1">
      <c r="E67" s="14"/>
      <c r="F67" s="16"/>
      <c r="G67" s="15"/>
      <c r="H67" s="16"/>
      <c r="J67" s="2" t="s">
        <v>22</v>
      </c>
      <c r="K67" s="19">
        <v>20.01</v>
      </c>
      <c r="L67" s="2" t="s">
        <v>14</v>
      </c>
    </row>
    <row r="68" spans="5:12" ht="15" customHeight="1">
      <c r="E68" s="14"/>
      <c r="F68" s="16"/>
      <c r="G68" s="15"/>
      <c r="H68" s="16"/>
      <c r="J68" s="2" t="s">
        <v>23</v>
      </c>
      <c r="K68" s="19">
        <v>20.01</v>
      </c>
      <c r="L68" s="2" t="s">
        <v>14</v>
      </c>
    </row>
    <row r="69" spans="10:15" ht="15" customHeight="1">
      <c r="J69" s="2">
        <f>IF(D58="( a )","","t =")</f>
      </c>
      <c r="K69" s="19">
        <v>1</v>
      </c>
      <c r="L69" s="2">
        <f>IF(D58="( a )","","cm")</f>
      </c>
      <c r="M69" s="2">
        <f>IF(D58="( a )","","t min =")</f>
      </c>
      <c r="N69" s="9">
        <f>IF(D58="( a )","",IF(D58="( b )",(MAX(B63:B64)*(K63/(3*K62))^0.5),B63*((K63/(8*K62))^0.5)))</f>
      </c>
      <c r="O69" s="2">
        <f>IF(D58="( a )","","cm")</f>
      </c>
    </row>
    <row r="70" spans="1:11" ht="15" customHeight="1">
      <c r="A70" s="22" t="s">
        <v>89</v>
      </c>
      <c r="K70" s="19"/>
    </row>
    <row r="71" spans="1:11" ht="15" customHeight="1">
      <c r="A71" s="27" t="s">
        <v>105</v>
      </c>
      <c r="C71" s="28" t="s">
        <v>107</v>
      </c>
      <c r="K71" s="19"/>
    </row>
    <row r="72" spans="1:12" ht="15" customHeight="1">
      <c r="A72" s="2" t="s">
        <v>31</v>
      </c>
      <c r="B72" s="18">
        <v>120</v>
      </c>
      <c r="C72" s="2" t="s">
        <v>84</v>
      </c>
      <c r="E72" s="2" t="s">
        <v>32</v>
      </c>
      <c r="F72" s="18">
        <v>20</v>
      </c>
      <c r="G72" s="2" t="s">
        <v>85</v>
      </c>
      <c r="J72" s="2" t="s">
        <v>33</v>
      </c>
      <c r="K72" s="19">
        <v>10</v>
      </c>
      <c r="L72" s="2" t="s">
        <v>85</v>
      </c>
    </row>
    <row r="73" spans="5:12" ht="15" customHeight="1">
      <c r="E73" s="2" t="s">
        <v>34</v>
      </c>
      <c r="F73" s="19">
        <v>1000</v>
      </c>
      <c r="G73" s="2" t="s">
        <v>14</v>
      </c>
      <c r="J73" s="2" t="s">
        <v>35</v>
      </c>
      <c r="K73" s="19">
        <v>1000</v>
      </c>
      <c r="L73" s="2" t="s">
        <v>14</v>
      </c>
    </row>
    <row r="74" spans="5:11" ht="15" customHeight="1">
      <c r="E74" s="2" t="s">
        <v>36</v>
      </c>
      <c r="F74" s="18">
        <v>1.2</v>
      </c>
      <c r="J74" s="2" t="s">
        <v>37</v>
      </c>
      <c r="K74" s="19">
        <v>1.2</v>
      </c>
    </row>
    <row r="75" ht="15" customHeight="1"/>
    <row r="76" ht="15" customHeight="1">
      <c r="A76" s="22" t="s">
        <v>90</v>
      </c>
    </row>
    <row r="77" ht="15" customHeight="1"/>
    <row r="78" spans="1:11" ht="15" customHeight="1">
      <c r="A78" s="2" t="s">
        <v>24</v>
      </c>
      <c r="B78" s="20">
        <f>IF(OR(D58="( a )",D58="( b )"),B63*B64,(3.14*B63^2)/4)</f>
        <v>2500</v>
      </c>
      <c r="C78" s="17" t="s">
        <v>71</v>
      </c>
      <c r="D78" s="9"/>
      <c r="E78" s="9" t="s">
        <v>25</v>
      </c>
      <c r="F78" s="20">
        <f>B78-G65-K64</f>
        <v>2278.566</v>
      </c>
      <c r="G78" s="17" t="s">
        <v>71</v>
      </c>
      <c r="H78" s="9"/>
      <c r="I78" s="9"/>
      <c r="J78" s="9"/>
      <c r="K78" s="9"/>
    </row>
    <row r="79" spans="1:11" ht="15" customHeight="1">
      <c r="A79" s="2" t="s">
        <v>26</v>
      </c>
      <c r="B79" s="20">
        <f>IF(D58="( a )",0.7,1)</f>
        <v>0.7</v>
      </c>
      <c r="C79" s="9"/>
      <c r="D79" s="9"/>
      <c r="E79" s="9" t="s">
        <v>27</v>
      </c>
      <c r="F79" s="20">
        <f>IF(D58="( a )",0.48,0.68)</f>
        <v>0.48</v>
      </c>
      <c r="G79" s="9"/>
      <c r="H79" s="9"/>
      <c r="I79" s="9" t="s">
        <v>28</v>
      </c>
      <c r="J79" s="20">
        <f>IF(D58="( a )",0.2,0.4)</f>
        <v>0.2</v>
      </c>
      <c r="K79" s="9"/>
    </row>
    <row r="80" spans="1:11" ht="15" customHeight="1">
      <c r="A80" s="2" t="s">
        <v>29</v>
      </c>
      <c r="B80" s="20">
        <f>IF(D58="( a )",MAX(K67,0.3*B64),K67)</f>
        <v>20.01</v>
      </c>
      <c r="C80" s="17" t="s">
        <v>14</v>
      </c>
      <c r="D80" s="9"/>
      <c r="E80" s="9" t="s">
        <v>30</v>
      </c>
      <c r="F80" s="20">
        <f>IF(D58="( a )",MAX(K68,0.3*B63),K68)</f>
        <v>20.01</v>
      </c>
      <c r="G80" s="9" t="s">
        <v>14</v>
      </c>
      <c r="H80" s="9"/>
      <c r="I80" s="9"/>
      <c r="J80" s="9"/>
      <c r="K80" s="9"/>
    </row>
    <row r="81" spans="1:11" ht="15" customHeight="1">
      <c r="A81" s="7" t="s">
        <v>38</v>
      </c>
      <c r="B81" s="10" t="s">
        <v>40</v>
      </c>
      <c r="C81" s="9"/>
      <c r="D81" s="25">
        <f>F74*F73/B80</f>
        <v>59.97001499250374</v>
      </c>
      <c r="E81" s="10" t="str">
        <f>IF(D81&lt;=180,"&lt;=180","&gt;180")</f>
        <v>&lt;=180</v>
      </c>
      <c r="F81" s="24" t="str">
        <f>IF(D81&lt;=180,"safe","unsafe")</f>
        <v>safe</v>
      </c>
      <c r="G81" s="9"/>
      <c r="H81" s="9"/>
      <c r="I81" s="9"/>
      <c r="J81" s="9"/>
      <c r="K81" s="9"/>
    </row>
    <row r="82" spans="1:11" ht="15" customHeight="1">
      <c r="A82" s="7" t="s">
        <v>39</v>
      </c>
      <c r="B82" s="10" t="s">
        <v>41</v>
      </c>
      <c r="C82" s="9"/>
      <c r="D82" s="25">
        <f>K74*K73/F80</f>
        <v>59.97001499250374</v>
      </c>
      <c r="E82" s="10" t="str">
        <f>IF(D82&lt;=180,"&lt;=180","&gt;180")</f>
        <v>&lt;=180</v>
      </c>
      <c r="F82" s="24" t="str">
        <f>IF(D82&lt;=180,"safe","unsafe")</f>
        <v>safe</v>
      </c>
      <c r="G82" s="9"/>
      <c r="H82" s="9"/>
      <c r="I82" s="9"/>
      <c r="J82" s="9"/>
      <c r="K82" s="9"/>
    </row>
    <row r="83" spans="1:11" ht="15" customHeight="1">
      <c r="A83" s="7"/>
      <c r="B83" s="30" t="s">
        <v>42</v>
      </c>
      <c r="C83" s="31"/>
      <c r="D83" s="25">
        <f>MAX(D81,D82)</f>
        <v>59.97001499250374</v>
      </c>
      <c r="E83" s="10" t="str">
        <f>IF(D83&lt;=180,"&lt;=180","&gt;180")</f>
        <v>&lt;=180</v>
      </c>
      <c r="F83" s="24" t="str">
        <f>IF(D83&lt;=180,"safe","unsafe")</f>
        <v>safe</v>
      </c>
      <c r="G83" s="9" t="str">
        <f>IF(D83&lt;=100,"&lt;=100","&gt;100")</f>
        <v>&lt;=100</v>
      </c>
      <c r="H83" s="9"/>
      <c r="I83" s="9"/>
      <c r="J83" s="9"/>
      <c r="K83" s="9"/>
    </row>
    <row r="84" spans="1:11" ht="15" customHeight="1">
      <c r="A84" s="2" t="s">
        <v>44</v>
      </c>
      <c r="B84" s="10" t="s">
        <v>45</v>
      </c>
      <c r="C84" s="9"/>
      <c r="D84" s="9"/>
      <c r="E84" s="9"/>
      <c r="F84" s="9"/>
      <c r="G84" s="20">
        <f>K63+B79*(G62/1000)*(G65/K64)+F79*(B62/1000)*(F78/K64)</f>
        <v>2.6037391346938774</v>
      </c>
      <c r="H84" s="17" t="s">
        <v>70</v>
      </c>
      <c r="I84" s="9"/>
      <c r="J84" s="9"/>
      <c r="K84" s="9"/>
    </row>
    <row r="85" spans="1:11" ht="15" customHeight="1">
      <c r="A85" s="2" t="s">
        <v>43</v>
      </c>
      <c r="B85" s="10" t="s">
        <v>47</v>
      </c>
      <c r="C85" s="9"/>
      <c r="D85" s="9"/>
      <c r="E85" s="9"/>
      <c r="F85" s="9"/>
      <c r="G85" s="20">
        <f>MAX(K62+J79*(B65/100)*(F78/K64),K62)</f>
        <v>2660.336406800305</v>
      </c>
      <c r="H85" s="17" t="s">
        <v>70</v>
      </c>
      <c r="I85" s="9"/>
      <c r="J85" s="9"/>
      <c r="K85" s="9"/>
    </row>
    <row r="86" spans="1:11" ht="15" customHeight="1">
      <c r="A86" s="7" t="s">
        <v>46</v>
      </c>
      <c r="B86" s="10" t="s">
        <v>48</v>
      </c>
      <c r="C86" s="9"/>
      <c r="D86" s="9"/>
      <c r="E86" s="9"/>
      <c r="F86" s="9"/>
      <c r="G86" s="26">
        <f>(0.58*10^4*G84-3.57*G85)/(10^4*G84)^2</f>
        <v>8.266570037809732E-06</v>
      </c>
      <c r="H86" s="9"/>
      <c r="I86" s="9"/>
      <c r="J86" s="9"/>
      <c r="K86" s="9"/>
    </row>
    <row r="87" spans="1:11" ht="15" customHeight="1">
      <c r="A87" s="2" t="s">
        <v>49</v>
      </c>
      <c r="B87" s="10" t="str">
        <f>IF(D83&lt;=100,"( 0.58 - a * Fym * lmax2 ) * Fym                         =","3.57 * Em / lmax2                                             =")</f>
        <v>( 0.58 - a * Fym * lmax2 ) * Fym                         =</v>
      </c>
      <c r="C87" s="9"/>
      <c r="D87" s="9"/>
      <c r="E87" s="9"/>
      <c r="F87" s="9"/>
      <c r="G87" s="20">
        <f>IF(D83&lt;=100,(0.58-G86*G84*D83^2)*G84,3.57*G85/D83^2)</f>
        <v>1.3086160048817563</v>
      </c>
      <c r="H87" s="17" t="s">
        <v>70</v>
      </c>
      <c r="I87" s="9"/>
      <c r="J87" s="9"/>
      <c r="K87" s="9"/>
    </row>
    <row r="88" spans="2:11" ht="15" customHeight="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 customHeight="1">
      <c r="A89" s="2" t="s">
        <v>95</v>
      </c>
      <c r="B89" s="9" t="s">
        <v>101</v>
      </c>
      <c r="C89" s="20">
        <f>3.57*G85/(D81)^2</f>
        <v>2.6408057632221142</v>
      </c>
      <c r="D89" s="17" t="s">
        <v>70</v>
      </c>
      <c r="E89" s="9"/>
      <c r="F89" s="9"/>
      <c r="G89" s="9"/>
      <c r="H89" s="9"/>
      <c r="I89" s="9"/>
      <c r="J89" s="9"/>
      <c r="K89" s="9"/>
    </row>
    <row r="90" spans="1:11" ht="15" customHeight="1">
      <c r="A90" s="2" t="s">
        <v>102</v>
      </c>
      <c r="B90" s="9" t="s">
        <v>101</v>
      </c>
      <c r="C90" s="20">
        <f>3.57*G85/(D82)^2</f>
        <v>2.6408057632221142</v>
      </c>
      <c r="D90" s="17" t="s">
        <v>70</v>
      </c>
      <c r="E90" s="9"/>
      <c r="F90" s="9"/>
      <c r="G90" s="9"/>
      <c r="H90" s="9"/>
      <c r="I90" s="9"/>
      <c r="J90" s="9"/>
      <c r="K90" s="9"/>
    </row>
    <row r="91" spans="1:11" ht="15" customHeight="1">
      <c r="A91" s="2" t="s">
        <v>50</v>
      </c>
      <c r="B91" s="9" t="s">
        <v>51</v>
      </c>
      <c r="C91" s="20">
        <f>B72/K64</f>
        <v>0.6122448979591837</v>
      </c>
      <c r="D91" s="17" t="s">
        <v>70</v>
      </c>
      <c r="E91" s="9"/>
      <c r="F91" s="9"/>
      <c r="G91" s="9"/>
      <c r="H91" s="9"/>
      <c r="I91" s="9"/>
      <c r="J91" s="9"/>
      <c r="K91" s="9"/>
    </row>
    <row r="92" spans="1:11" ht="15" customHeight="1">
      <c r="A92" s="2" t="s">
        <v>96</v>
      </c>
      <c r="B92" s="9" t="s">
        <v>101</v>
      </c>
      <c r="C92" s="20">
        <f>C91/G87</f>
        <v>0.4678568011358724</v>
      </c>
      <c r="D92" s="9" t="str">
        <f>IF(C92&lt;0.15,"&lt; 0.15","&gt;= 0.15")</f>
        <v>&gt;= 0.15</v>
      </c>
      <c r="E92" s="9"/>
      <c r="F92" s="9"/>
      <c r="G92" s="9"/>
      <c r="H92" s="9"/>
      <c r="I92" s="9"/>
      <c r="J92" s="9"/>
      <c r="K92" s="9"/>
    </row>
    <row r="93" spans="1:11" ht="15" customHeight="1">
      <c r="A93" s="2" t="s">
        <v>97</v>
      </c>
      <c r="B93" s="9" t="s">
        <v>101</v>
      </c>
      <c r="C93" s="20">
        <f>F72*100/K65</f>
        <v>0.6371455877668047</v>
      </c>
      <c r="D93" s="17" t="s">
        <v>70</v>
      </c>
      <c r="E93" s="9"/>
      <c r="F93" s="9"/>
      <c r="G93" s="9"/>
      <c r="H93" s="9"/>
      <c r="I93" s="9"/>
      <c r="J93" s="9"/>
      <c r="K93" s="9"/>
    </row>
    <row r="94" spans="1:11" ht="15" customHeight="1">
      <c r="A94" s="2" t="s">
        <v>98</v>
      </c>
      <c r="B94" s="9" t="s">
        <v>101</v>
      </c>
      <c r="C94" s="20">
        <f>K72*100/K66</f>
        <v>0.31857279388340237</v>
      </c>
      <c r="D94" s="17" t="s">
        <v>70</v>
      </c>
      <c r="E94" s="9"/>
      <c r="F94" s="9"/>
      <c r="G94" s="9"/>
      <c r="H94" s="9"/>
      <c r="I94" s="9"/>
      <c r="J94" s="9"/>
      <c r="K94" s="9"/>
    </row>
    <row r="95" spans="1:11" ht="15" customHeight="1">
      <c r="A95" s="2" t="s">
        <v>103</v>
      </c>
      <c r="B95" s="9" t="s">
        <v>101</v>
      </c>
      <c r="C95" s="19">
        <v>1</v>
      </c>
      <c r="D95" s="4" t="s">
        <v>108</v>
      </c>
      <c r="E95" s="9"/>
      <c r="F95" s="9"/>
      <c r="G95" s="9"/>
      <c r="H95" s="9"/>
      <c r="I95" s="9"/>
      <c r="J95" s="9"/>
      <c r="K95" s="9"/>
    </row>
    <row r="96" spans="1:11" ht="15" customHeight="1">
      <c r="A96" s="2" t="s">
        <v>104</v>
      </c>
      <c r="B96" s="9" t="s">
        <v>101</v>
      </c>
      <c r="C96" s="11">
        <v>1</v>
      </c>
      <c r="D96" s="4" t="s">
        <v>108</v>
      </c>
      <c r="E96" s="9"/>
      <c r="F96" s="9"/>
      <c r="G96" s="9"/>
      <c r="H96" s="9"/>
      <c r="I96" s="9"/>
      <c r="J96" s="9"/>
      <c r="K96" s="9"/>
    </row>
    <row r="97" spans="1:11" ht="15" customHeight="1">
      <c r="A97" s="2" t="s">
        <v>99</v>
      </c>
      <c r="B97" s="9" t="s">
        <v>101</v>
      </c>
      <c r="C97" s="20">
        <f>IF(C92&lt;0.15,1,MAX((C95/(1-C91/C89)),1))</f>
        <v>1.301812436808411</v>
      </c>
      <c r="D97" s="9"/>
      <c r="E97" s="9"/>
      <c r="F97" s="9"/>
      <c r="G97" s="9"/>
      <c r="H97" s="9"/>
      <c r="I97" s="9"/>
      <c r="J97" s="9"/>
      <c r="K97" s="9"/>
    </row>
    <row r="98" spans="1:11" ht="15" customHeight="1">
      <c r="A98" s="2" t="s">
        <v>100</v>
      </c>
      <c r="B98" s="9" t="s">
        <v>101</v>
      </c>
      <c r="C98" s="20">
        <f>IF(C92&lt;0.15,1,MAX((C96/(1-C91/C90)),1))</f>
        <v>1.301812436808411</v>
      </c>
      <c r="D98" s="9"/>
      <c r="E98" s="9"/>
      <c r="F98" s="9"/>
      <c r="G98" s="9"/>
      <c r="H98" s="9"/>
      <c r="I98" s="9"/>
      <c r="J98" s="9"/>
      <c r="K98" s="9"/>
    </row>
    <row r="99" spans="1:11" ht="15" customHeight="1">
      <c r="A99" s="3" t="s">
        <v>53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ht="1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 customHeight="1">
      <c r="A101" s="4" t="s">
        <v>52</v>
      </c>
      <c r="B101" s="9"/>
      <c r="C101" s="9"/>
      <c r="D101" s="9"/>
      <c r="E101" s="9"/>
      <c r="F101" s="9"/>
      <c r="G101" s="20">
        <f>C92+C93/(0.72*K63)*C97+C94/(0.72*K63)*C98</f>
        <v>1.1878603169452746</v>
      </c>
      <c r="H101" s="29" t="str">
        <f>IF(G101&lt;I101,"&lt;","&gt;")</f>
        <v>&lt;</v>
      </c>
      <c r="I101" s="29">
        <f>IF(C71="I",1,1.2)</f>
        <v>1.2</v>
      </c>
      <c r="J101" s="23" t="str">
        <f>IF(G101&lt;=I101,"safe","unsafe")</f>
        <v>safe</v>
      </c>
      <c r="K101" s="9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1">
    <mergeCell ref="B83:C83"/>
  </mergeCells>
  <conditionalFormatting sqref="E81">
    <cfRule type="expression" priority="1" dxfId="0" stopIfTrue="1">
      <formula>$D$81&gt;180</formula>
    </cfRule>
  </conditionalFormatting>
  <conditionalFormatting sqref="E82">
    <cfRule type="expression" priority="2" dxfId="0" stopIfTrue="1">
      <formula>$D$82&gt;180</formula>
    </cfRule>
  </conditionalFormatting>
  <conditionalFormatting sqref="E83">
    <cfRule type="expression" priority="3" dxfId="0" stopIfTrue="1">
      <formula>$D$83&gt;180</formula>
    </cfRule>
  </conditionalFormatting>
  <conditionalFormatting sqref="F81:F83">
    <cfRule type="cellIs" priority="4" dxfId="3" operator="equal" stopIfTrue="1">
      <formula>"safe"</formula>
    </cfRule>
    <cfRule type="cellIs" priority="5" dxfId="4" operator="equal" stopIfTrue="1">
      <formula>"unsafe"</formula>
    </cfRule>
  </conditionalFormatting>
  <conditionalFormatting sqref="J101">
    <cfRule type="cellIs" priority="6" dxfId="3" operator="equal" stopIfTrue="1">
      <formula>"safe"</formula>
    </cfRule>
  </conditionalFormatting>
  <dataValidations count="2">
    <dataValidation type="list" allowBlank="1" showInputMessage="1" showErrorMessage="1" sqref="D58">
      <formula1>$R$2:$R$4</formula1>
    </dataValidation>
    <dataValidation type="list" allowBlank="1" showInputMessage="1" showErrorMessage="1" sqref="C71">
      <formula1>$R$6:$R$7</formula1>
    </dataValidation>
  </dataValidations>
  <printOptions/>
  <pageMargins left="0.75" right="0.75" top="1" bottom="1" header="0.5" footer="0.5"/>
  <pageSetup horizontalDpi="600" verticalDpi="600" orientation="portrait" paperSize="9" scale="79" r:id="rId3"/>
  <colBreaks count="1" manualBreakCount="1">
    <brk id="12" max="65535" man="1"/>
  </colBreaks>
  <legacyDrawing r:id="rId2"/>
  <oleObjects>
    <oleObject progId="AutoCAD.Drawing.17" shapeId="1503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HATEM AL-AASAR</dc:creator>
  <cp:keywords/>
  <dc:description/>
  <cp:lastModifiedBy>Mohamed_Nour</cp:lastModifiedBy>
  <cp:lastPrinted>2005-03-01T08:40:53Z</cp:lastPrinted>
  <dcterms:created xsi:type="dcterms:W3CDTF">2004-04-17T18:41:00Z</dcterms:created>
  <dcterms:modified xsi:type="dcterms:W3CDTF">2009-04-14T08:40:09Z</dcterms:modified>
  <cp:category/>
  <cp:version/>
  <cp:contentType/>
  <cp:contentStatus/>
</cp:coreProperties>
</file>