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555" tabRatio="607" firstSheet="2" activeTab="6"/>
  </bookViews>
  <sheets>
    <sheet name="1 C-BRACING" sheetId="1" r:id="rId1"/>
    <sheet name="2 C-BRACING" sheetId="2" r:id="rId2"/>
    <sheet name="BEAM ONE COLUMN" sheetId="3" r:id="rId3"/>
    <sheet name="BEAM TWO-COLUMN" sheetId="4" r:id="rId4"/>
    <sheet name="BEAM TWO-COLUMN+ AXIAL" sheetId="5" r:id="rId5"/>
    <sheet name="BEAM ONE ANGLE" sheetId="6" r:id="rId6"/>
    <sheet name="BEAM TWO ANGLES" sheetId="7" r:id="rId7"/>
    <sheet name="Torsion coeff1 " sheetId="8" r:id="rId8"/>
    <sheet name="Torsion coeff2" sheetId="9" r:id="rId9"/>
    <sheet name="ANGLE COMPRESSION" sheetId="10" r:id="rId10"/>
    <sheet name="steeldata" sheetId="11" r:id="rId11"/>
  </sheets>
  <definedNames>
    <definedName name="As" localSheetId="0">'1 C-BRACING'!#REF!</definedName>
    <definedName name="As" localSheetId="1">'2 C-BRACING'!#REF!</definedName>
    <definedName name="As" localSheetId="9">'ANGLE COMPRESSION'!#REF!</definedName>
    <definedName name="As" localSheetId="5">'BEAM ONE ANGLE'!#REF!</definedName>
    <definedName name="As" localSheetId="6">'BEAM TWO ANGLES'!#REF!</definedName>
    <definedName name="As" localSheetId="3">'BEAM TWO-COLUMN'!#REF!</definedName>
    <definedName name="As" localSheetId="4">'BEAM TWO-COLUMN+ AXIAL'!#REF!</definedName>
    <definedName name="As">'BEAM ONE COLUMN'!#REF!</definedName>
    <definedName name="Bf" localSheetId="0">'1 C-BRACING'!#REF!</definedName>
    <definedName name="Bf" localSheetId="1">'2 C-BRACING'!#REF!</definedName>
    <definedName name="Bf" localSheetId="9">'ANGLE COMPRESSION'!#REF!</definedName>
    <definedName name="Bf" localSheetId="5">'BEAM ONE ANGLE'!#REF!</definedName>
    <definedName name="Bf" localSheetId="6">'BEAM TWO ANGLES'!#REF!</definedName>
    <definedName name="Bf" localSheetId="3">'BEAM TWO-COLUMN'!#REF!</definedName>
    <definedName name="Bf" localSheetId="4">'BEAM TWO-COLUMN+ AXIAL'!#REF!</definedName>
    <definedName name="Bf">'BEAM ONE COLUMN'!#REF!</definedName>
    <definedName name="D" localSheetId="0">'1 C-BRACING'!#REF!</definedName>
    <definedName name="D" localSheetId="1">'2 C-BRACING'!#REF!</definedName>
    <definedName name="D" localSheetId="9">'ANGLE COMPRESSION'!#REF!</definedName>
    <definedName name="D" localSheetId="5">'BEAM ONE ANGLE'!#REF!</definedName>
    <definedName name="D" localSheetId="6">'BEAM TWO ANGLES'!#REF!</definedName>
    <definedName name="D" localSheetId="3">'BEAM TWO-COLUMN'!#REF!</definedName>
    <definedName name="D" localSheetId="4">'BEAM TWO-COLUMN+ AXIAL'!#REF!</definedName>
    <definedName name="D">'BEAM ONE COLUMN'!#REF!</definedName>
    <definedName name="ix" localSheetId="0">'1 C-BRACING'!#REF!</definedName>
    <definedName name="ix" localSheetId="1">'2 C-BRACING'!#REF!</definedName>
    <definedName name="ix" localSheetId="9">'ANGLE COMPRESSION'!#REF!</definedName>
    <definedName name="ix" localSheetId="5">'BEAM ONE ANGLE'!#REF!</definedName>
    <definedName name="ix" localSheetId="6">'BEAM TWO ANGLES'!#REF!</definedName>
    <definedName name="ix" localSheetId="3">'BEAM TWO-COLUMN'!#REF!</definedName>
    <definedName name="ix" localSheetId="4">'BEAM TWO-COLUMN+ AXIAL'!#REF!</definedName>
    <definedName name="ix">'BEAM ONE COLUMN'!#REF!</definedName>
    <definedName name="Iy" localSheetId="0">'1 C-BRACING'!#REF!</definedName>
    <definedName name="Iy" localSheetId="1">'2 C-BRACING'!#REF!</definedName>
    <definedName name="Iy" localSheetId="9">'ANGLE COMPRESSION'!#REF!</definedName>
    <definedName name="Iy" localSheetId="5">'BEAM ONE ANGLE'!#REF!</definedName>
    <definedName name="Iy" localSheetId="6">'BEAM TWO ANGLES'!#REF!</definedName>
    <definedName name="Iy" localSheetId="3">'BEAM TWO-COLUMN'!#REF!</definedName>
    <definedName name="Iy" localSheetId="4">'BEAM TWO-COLUMN+ AXIAL'!#REF!</definedName>
    <definedName name="Iy">'BEAM ONE COLUMN'!#REF!</definedName>
    <definedName name="rx" localSheetId="0">'1 C-BRACING'!#REF!</definedName>
    <definedName name="rx" localSheetId="1">'2 C-BRACING'!#REF!</definedName>
    <definedName name="rx" localSheetId="9">'ANGLE COMPRESSION'!#REF!</definedName>
    <definedName name="rx" localSheetId="5">'BEAM ONE ANGLE'!#REF!</definedName>
    <definedName name="rx" localSheetId="6">'BEAM TWO ANGLES'!#REF!</definedName>
    <definedName name="rx" localSheetId="3">'BEAM TWO-COLUMN'!#REF!</definedName>
    <definedName name="rx" localSheetId="4">'BEAM TWO-COLUMN+ AXIAL'!#REF!</definedName>
    <definedName name="rx">'BEAM ONE COLUMN'!#REF!</definedName>
    <definedName name="ry" localSheetId="0">'1 C-BRACING'!#REF!</definedName>
    <definedName name="ry" localSheetId="1">'2 C-BRACING'!#REF!</definedName>
    <definedName name="ry" localSheetId="9">'ANGLE COMPRESSION'!#REF!</definedName>
    <definedName name="ry" localSheetId="5">'BEAM ONE ANGLE'!#REF!</definedName>
    <definedName name="ry" localSheetId="6">'BEAM TWO ANGLES'!#REF!</definedName>
    <definedName name="ry" localSheetId="3">'BEAM TWO-COLUMN'!#REF!</definedName>
    <definedName name="ry" localSheetId="4">'BEAM TWO-COLUMN+ AXIAL'!#REF!</definedName>
    <definedName name="ry">'BEAM ONE COLUMN'!#REF!</definedName>
    <definedName name="st_name">'steeldata'!$G$2:$G$474</definedName>
    <definedName name="steel">'steeldata'!$A$2:$V$474</definedName>
    <definedName name="STNAME" localSheetId="0">'1 C-BRACING'!#REF!</definedName>
    <definedName name="STNAME" localSheetId="1">'2 C-BRACING'!#REF!</definedName>
    <definedName name="STNAME" localSheetId="9">'ANGLE COMPRESSION'!#REF!</definedName>
    <definedName name="STNAME" localSheetId="5">'BEAM ONE ANGLE'!#REF!</definedName>
    <definedName name="STNAME" localSheetId="6">'BEAM TWO ANGLES'!#REF!</definedName>
    <definedName name="STNAME" localSheetId="3">'BEAM TWO-COLUMN'!#REF!</definedName>
    <definedName name="STNAME" localSheetId="4">'BEAM TWO-COLUMN+ AXIAL'!#REF!</definedName>
    <definedName name="STNAME">'BEAM ONE COLUMN'!#REF!</definedName>
    <definedName name="tf" localSheetId="0">'1 C-BRACING'!#REF!</definedName>
    <definedName name="tf" localSheetId="1">'2 C-BRACING'!#REF!</definedName>
    <definedName name="tf" localSheetId="9">'ANGLE COMPRESSION'!#REF!</definedName>
    <definedName name="tf" localSheetId="5">'BEAM ONE ANGLE'!#REF!</definedName>
    <definedName name="tf" localSheetId="6">'BEAM TWO ANGLES'!#REF!</definedName>
    <definedName name="tf" localSheetId="3">'BEAM TWO-COLUMN'!#REF!</definedName>
    <definedName name="tf" localSheetId="4">'BEAM TWO-COLUMN+ AXIAL'!#REF!</definedName>
    <definedName name="tf">'BEAM ONE COLUMN'!#REF!</definedName>
    <definedName name="tw" localSheetId="0">'1 C-BRACING'!#REF!</definedName>
    <definedName name="tw" localSheetId="1">'2 C-BRACING'!#REF!</definedName>
    <definedName name="tw" localSheetId="9">'ANGLE COMPRESSION'!#REF!</definedName>
    <definedName name="tw" localSheetId="5">'BEAM ONE ANGLE'!#REF!</definedName>
    <definedName name="tw" localSheetId="6">'BEAM TWO ANGLES'!#REF!</definedName>
    <definedName name="tw" localSheetId="3">'BEAM TWO-COLUMN'!#REF!</definedName>
    <definedName name="tw" localSheetId="4">'BEAM TWO-COLUMN+ AXIAL'!#REF!</definedName>
    <definedName name="tw">'BEAM ONE COLUMN'!#REF!</definedName>
    <definedName name="Zx" localSheetId="0">'1 C-BRACING'!#REF!</definedName>
    <definedName name="Zx" localSheetId="1">'2 C-BRACING'!#REF!</definedName>
    <definedName name="Zx" localSheetId="9">'ANGLE COMPRESSION'!#REF!</definedName>
    <definedName name="Zx" localSheetId="5">'BEAM ONE ANGLE'!#REF!</definedName>
    <definedName name="Zx" localSheetId="6">'BEAM TWO ANGLES'!#REF!</definedName>
    <definedName name="Zx" localSheetId="3">'BEAM TWO-COLUMN'!#REF!</definedName>
    <definedName name="Zx" localSheetId="4">'BEAM TWO-COLUMN+ AXIAL'!#REF!</definedName>
    <definedName name="Zx">'BEAM ONE COLUMN'!#REF!</definedName>
    <definedName name="Zy" localSheetId="0">'1 C-BRACING'!#REF!</definedName>
    <definedName name="Zy" localSheetId="1">'2 C-BRACING'!#REF!</definedName>
    <definedName name="Zy" localSheetId="9">'ANGLE COMPRESSION'!#REF!</definedName>
    <definedName name="Zy" localSheetId="5">'BEAM ONE ANGLE'!#REF!</definedName>
    <definedName name="Zy" localSheetId="6">'BEAM TWO ANGLES'!#REF!</definedName>
    <definedName name="Zy" localSheetId="3">'BEAM TWO-COLUMN'!#REF!</definedName>
    <definedName name="Zy" localSheetId="4">'BEAM TWO-COLUMN+ AXIAL'!#REF!</definedName>
    <definedName name="Zy">'BEAM ONE COLUMN'!#REF!</definedName>
  </definedNames>
  <calcPr fullCalcOnLoad="1"/>
</workbook>
</file>

<file path=xl/sharedStrings.xml><?xml version="1.0" encoding="utf-8"?>
<sst xmlns="http://schemas.openxmlformats.org/spreadsheetml/2006/main" count="2857" uniqueCount="696">
  <si>
    <t>1.</t>
  </si>
  <si>
    <t>Depth of section,d</t>
  </si>
  <si>
    <t>=</t>
  </si>
  <si>
    <t>Flange Width,bf</t>
  </si>
  <si>
    <t>Section Area,As</t>
  </si>
  <si>
    <t>Yield Stress,Fy</t>
  </si>
  <si>
    <t>Radius of Gyration(min),rmin</t>
  </si>
  <si>
    <t>mm</t>
  </si>
  <si>
    <t>cm^2</t>
  </si>
  <si>
    <t>cm</t>
  </si>
  <si>
    <t>ksc</t>
  </si>
  <si>
    <t>m</t>
  </si>
  <si>
    <t>Flange thinkness,tf</t>
  </si>
  <si>
    <t>Web thinkness,tw</t>
  </si>
  <si>
    <t>Desig</t>
  </si>
  <si>
    <t>C 100x50x9.36 Kg/m</t>
  </si>
  <si>
    <t>TWeb</t>
  </si>
  <si>
    <t>TFlange</t>
  </si>
  <si>
    <t>Depth</t>
  </si>
  <si>
    <t>Width</t>
  </si>
  <si>
    <t>C 125x65x13.4 Kg/m</t>
  </si>
  <si>
    <t>C 150x75x18.6 Kg/m</t>
  </si>
  <si>
    <t>C 150x75x24 Kg/m</t>
  </si>
  <si>
    <t>C 180x75x21.4 Kg/m</t>
  </si>
  <si>
    <t>C 200x80x24.6 Kg/m</t>
  </si>
  <si>
    <t>C 200x90x30.3 Kg/m</t>
  </si>
  <si>
    <t>C 250x90x34.6 Kg/m</t>
  </si>
  <si>
    <t>C 250x90x40.2 Kg/m</t>
  </si>
  <si>
    <t>C 300x90x38.1 Kg/m</t>
  </si>
  <si>
    <t>C 300x90x43.8 Kg/m</t>
  </si>
  <si>
    <t>C 300x90x48.6 Kg/m</t>
  </si>
  <si>
    <t>C 380x100x54.5 Kg/m</t>
  </si>
  <si>
    <t>C 380x100x62 Kg/m</t>
  </si>
  <si>
    <t>C 380x100x67.3 Kg/m</t>
  </si>
  <si>
    <t>C 50x25x3.86 Kg/m</t>
  </si>
  <si>
    <t>C 75x40x6.92 Kg/m</t>
  </si>
  <si>
    <t>CCB 100x50x18.72 Kg/m</t>
  </si>
  <si>
    <t>CCB 125x65x26.8 Kg/m</t>
  </si>
  <si>
    <t>CCB 150x75x37.2 Kg/m</t>
  </si>
  <si>
    <t>CCB 150x75x48 Kg/m</t>
  </si>
  <si>
    <t>CCB 180x75x42.8 Kg/m</t>
  </si>
  <si>
    <t>CCB 200x80x49.2 Kg/m</t>
  </si>
  <si>
    <t>CCB 200x90x60.6 Kg/m</t>
  </si>
  <si>
    <t>CCB 250x90x69.2 Kg/m</t>
  </si>
  <si>
    <t>CCB 250x90x80.4 Kg/m</t>
  </si>
  <si>
    <t>CCB 300x90x76.2 Kg/m</t>
  </si>
  <si>
    <t>CCB 300x90x87.6 Kg/m</t>
  </si>
  <si>
    <t>CCB 300x90x97.2 Kg/m</t>
  </si>
  <si>
    <t>CCB 380x100x109 Kg/m</t>
  </si>
  <si>
    <t>CCB 380x100x124 Kg/m</t>
  </si>
  <si>
    <t>CCB 380x100x134.6 Kg/m</t>
  </si>
  <si>
    <t>CCB 50x25x7.72 Kg/m</t>
  </si>
  <si>
    <t>CCB 75x40x13.84 Kg/m</t>
  </si>
  <si>
    <t>CCI 100x50x18.72 Kg/m</t>
  </si>
  <si>
    <t>CCI 125x65x26.8 Kg/m</t>
  </si>
  <si>
    <t>CCI 150x75x37.2 Kg/m</t>
  </si>
  <si>
    <t>CCI 150x75x48 Kg/m</t>
  </si>
  <si>
    <t>CCI 180x75x42.8 Kg/m</t>
  </si>
  <si>
    <t>CCI 200x80x49.2 Kg/m</t>
  </si>
  <si>
    <t>CCI 200x90x60.6 Kg/m</t>
  </si>
  <si>
    <t>CCI 250x90x69.2 Kg/m</t>
  </si>
  <si>
    <t>CCI 250x90x80.4 Kg/m</t>
  </si>
  <si>
    <t>CCI 300x90x76.2 Kg/m</t>
  </si>
  <si>
    <t>CCI 300x90x87.6 Kg/m</t>
  </si>
  <si>
    <t>CCI 300x90x97.2 Kg/m</t>
  </si>
  <si>
    <t>CCI 380x100x109 Kg/m</t>
  </si>
  <si>
    <t>CCI 380x100x124 Kg/m</t>
  </si>
  <si>
    <t>CCI 380x100x134.6 Kg/m</t>
  </si>
  <si>
    <t>CCI 50x25x7.72 Kg/m</t>
  </si>
  <si>
    <t>CCI 75x40x13.84 Kg/m</t>
  </si>
  <si>
    <t>EL 100x100x10.7 Kg/m</t>
  </si>
  <si>
    <t>EL 100x100x14.9 Kg/m</t>
  </si>
  <si>
    <t>EL 100x100x19.1 Kg/m</t>
  </si>
  <si>
    <t>EL 120x120x14.7 Kg/m</t>
  </si>
  <si>
    <t>EL 130x130x17.9 Kg/m</t>
  </si>
  <si>
    <t>EL 130x130x23.4 Kg/m</t>
  </si>
  <si>
    <t>EL 130x130x28.8 Kg/m</t>
  </si>
  <si>
    <t>EL 150x150x27.3 Kg/m</t>
  </si>
  <si>
    <t>EL 150x150x33.6 Kg/m</t>
  </si>
  <si>
    <t>EL 150x150x41.9 Kg/m</t>
  </si>
  <si>
    <t>EL 175x175x31.8 Kg/m</t>
  </si>
  <si>
    <t>EL 175x175x39.4 Kg/m</t>
  </si>
  <si>
    <t>EL 200x200x45.3 Kg/m</t>
  </si>
  <si>
    <t>EL 200x200x59.7 Kg/m</t>
  </si>
  <si>
    <t>EL 200x200x73.6 Kg/m</t>
  </si>
  <si>
    <t>EL 250x250x128 Kg/m</t>
  </si>
  <si>
    <t>EL 250x250x93.7 Kg/m</t>
  </si>
  <si>
    <t>EL 25x25x1.12 Kg/m</t>
  </si>
  <si>
    <t>EL 30x30x1.36 Kg/m</t>
  </si>
  <si>
    <t>EL 40x40x1.83 Kg/m</t>
  </si>
  <si>
    <t>EL 40x40x2.95 Kg/m</t>
  </si>
  <si>
    <t>EL 45x45x2.74 Kg/m</t>
  </si>
  <si>
    <t>EL 45x45x3.38 Kg/m</t>
  </si>
  <si>
    <t>EL 50x50x3.06 Kg/m</t>
  </si>
  <si>
    <t>EL 50x50x3.77 Kg/m</t>
  </si>
  <si>
    <t>EL 50x50x4.43 Kg/m</t>
  </si>
  <si>
    <t>EL 60x60x3.68 Kg/m</t>
  </si>
  <si>
    <t>EL 60x60x4.55 Kg/m</t>
  </si>
  <si>
    <t>EL 65x65x5 Kg/m</t>
  </si>
  <si>
    <t>EL 65x65x5.91 Kg/m</t>
  </si>
  <si>
    <t>EL 65x65x7.66 Kg/m</t>
  </si>
  <si>
    <t>EL 70x70x6.38 Kg/m</t>
  </si>
  <si>
    <t>EL 75x75x13 Kg/m</t>
  </si>
  <si>
    <t>EL 75x75x6.85 Kg/m</t>
  </si>
  <si>
    <t>EL 75x75x9.96 Kg/m</t>
  </si>
  <si>
    <t>EL 80x80x7.32 Kg/m</t>
  </si>
  <si>
    <t>EL 90x90x13.3 Kg/m</t>
  </si>
  <si>
    <t>EL 90x90x17 Kg/m</t>
  </si>
  <si>
    <t>EL 90x90x8.28 Kg/m</t>
  </si>
  <si>
    <t>EL 90x90x9.59 Kg/m</t>
  </si>
  <si>
    <t>ELL 100x100x21.4 Kg/m</t>
  </si>
  <si>
    <t>ELL 100x100x29.8 Kg/m</t>
  </si>
  <si>
    <t>ELL 100x100x35.6 Kg/m</t>
  </si>
  <si>
    <t>ELL 100x100x38.2 Kg/m</t>
  </si>
  <si>
    <t>ELL 120x120x29.4 Kg/m</t>
  </si>
  <si>
    <t>ELL 130x130x35.8 Kg/m</t>
  </si>
  <si>
    <t>ELL 130x130x46.8 Kg/m</t>
  </si>
  <si>
    <t>ELL 130x130x57.6 Kg/m</t>
  </si>
  <si>
    <t>ELL 150x150x54.6 Kg/m</t>
  </si>
  <si>
    <t>ELL 150x150x67.2 Kg/m</t>
  </si>
  <si>
    <t>ELL 150x150x83.8 Kg/m</t>
  </si>
  <si>
    <t>ELL 175x175x63.6 Kg/m</t>
  </si>
  <si>
    <t>ELL 175x175x78.8 Kg/m</t>
  </si>
  <si>
    <t>ELL 200x200x119.4 Kg/m</t>
  </si>
  <si>
    <t>ELL 200x200x147.2 Kg/m</t>
  </si>
  <si>
    <t>ELL 200x200x90.6 Kg/m</t>
  </si>
  <si>
    <t>ELL 250x250x187.4 Kg/m</t>
  </si>
  <si>
    <t>ELL 250x250x256 Kg/m</t>
  </si>
  <si>
    <t>ELL 25x25x2.24 Kg/m</t>
  </si>
  <si>
    <t>ELL 25x25x3.54 Kg/m</t>
  </si>
  <si>
    <t>ELL 30x30x2.72 Kg/m</t>
  </si>
  <si>
    <t>ELL 30x30x4.36 Kg/m</t>
  </si>
  <si>
    <t>ELL 40x40x3.66 Kg/m</t>
  </si>
  <si>
    <t>ELL 40x40x4.84 Kg/m</t>
  </si>
  <si>
    <t>ELL 40x40x5.9 Kg/m</t>
  </si>
  <si>
    <t>ELL 40x40x7.04 Kg/m</t>
  </si>
  <si>
    <t>ELL 45x45x5.48 Kg/m</t>
  </si>
  <si>
    <t>ELL 45x45x6.76 Kg/m</t>
  </si>
  <si>
    <t>ELL 50x50x4.66 Kg/m</t>
  </si>
  <si>
    <t>ELL 50x50x6.12 Kg/m</t>
  </si>
  <si>
    <t>ELL 50x50x7.54 Kg/m</t>
  </si>
  <si>
    <t>ELL 50x50x8.86 Kg/m</t>
  </si>
  <si>
    <t>ELL 60x60x7.36 Kg/m</t>
  </si>
  <si>
    <t>ELL 60x60x9.1 Kg/m</t>
  </si>
  <si>
    <t>ELL 65x65x10 Kg/m</t>
  </si>
  <si>
    <t>ELL 65x65x11.82 Kg/m</t>
  </si>
  <si>
    <t>ELL 65x65x15.32 Kg/m</t>
  </si>
  <si>
    <t>ELL 70x70x12.76 Kg/m</t>
  </si>
  <si>
    <t>ELL 75x75x13.7 Kg/m</t>
  </si>
  <si>
    <t>ELL 75x75x19.92 Kg/m</t>
  </si>
  <si>
    <t>ELL 75x75x26 Kg/m</t>
  </si>
  <si>
    <t>ELL 80x80x14.64 Kg/m</t>
  </si>
  <si>
    <t>ELL 90x90x16.56 Kg/m</t>
  </si>
  <si>
    <t>ELL 90x90x19.18 Kg/m</t>
  </si>
  <si>
    <t>ELL 90x90x26.6 Kg/m</t>
  </si>
  <si>
    <t>ELL 90x90x31.8 Kg/m</t>
  </si>
  <si>
    <t>ELL 90x90x34 Kg/m</t>
  </si>
  <si>
    <t>H 100x100x17.2 Kg/m</t>
  </si>
  <si>
    <t>H 100x50x9.3 Kg/m</t>
  </si>
  <si>
    <t>H 125x125x23.8 Kg/m</t>
  </si>
  <si>
    <t>H 125x60x13.2 Kg/m</t>
  </si>
  <si>
    <t>H 148x100x21.1 Kg/m</t>
  </si>
  <si>
    <t>H 150x150x31.5 Kg/m</t>
  </si>
  <si>
    <t>H 150x75x14 Kg/m</t>
  </si>
  <si>
    <t>H 175x175x40.2 Kg/m</t>
  </si>
  <si>
    <t>H 175x90x18.1 Kg/m</t>
  </si>
  <si>
    <t>H 194x150x30.6 Kg/m</t>
  </si>
  <si>
    <t>H 198x99x18.2 Kg/m</t>
  </si>
  <si>
    <t>H 200x100x21.3 Kg/m</t>
  </si>
  <si>
    <t>H 200x200x49.9 Kg/m</t>
  </si>
  <si>
    <t>H 200x204x56.2 Kg/m</t>
  </si>
  <si>
    <t>H 208x202x65.7 Kg/m</t>
  </si>
  <si>
    <t>H 244x175x44.1 Kg/m</t>
  </si>
  <si>
    <t>H 244x252x64.4 Kg/m</t>
  </si>
  <si>
    <t>H 248x124x25.7 Kg/m</t>
  </si>
  <si>
    <t>H 248x249x66.5 Kg/m</t>
  </si>
  <si>
    <t>H 250x125x29.6 Kg/m</t>
  </si>
  <si>
    <t>H 250x250x72.4 Kg/m</t>
  </si>
  <si>
    <t>H 250x255x82.2 Kg/m</t>
  </si>
  <si>
    <t>H 294x200x56.8 Kg/m</t>
  </si>
  <si>
    <t>H 294x302x84.5 Kg/m</t>
  </si>
  <si>
    <t>H 298x149x32 Kg/m</t>
  </si>
  <si>
    <t>H 298x201x65.4 Kg/m</t>
  </si>
  <si>
    <t>H 298x299x87 Kg/m</t>
  </si>
  <si>
    <t>H 300x150x36.7 Kg/m</t>
  </si>
  <si>
    <t>H 300x300x94 Kg/m</t>
  </si>
  <si>
    <t>H 300x305x106 Kg/m</t>
  </si>
  <si>
    <t>H 304x301x106 Kg/m</t>
  </si>
  <si>
    <t>H 336x249x69.2 Kg/m</t>
  </si>
  <si>
    <t>H 338x351x106 Kg/m</t>
  </si>
  <si>
    <t>H 340x250x79.7 Kg/m</t>
  </si>
  <si>
    <t>H 344x348x115 Kg/m</t>
  </si>
  <si>
    <t>H 344x354x131 Kg/m</t>
  </si>
  <si>
    <t>H 346x174x41.4 Kg/m</t>
  </si>
  <si>
    <t>H 350x175x49.6 Kg/m</t>
  </si>
  <si>
    <t>H 350x350x137 Kg/m</t>
  </si>
  <si>
    <t>H 350x357x156 Kg/m</t>
  </si>
  <si>
    <t>H 354x176x57.8 Kg/m</t>
  </si>
  <si>
    <t>H 386x299x94.3 Kg/m</t>
  </si>
  <si>
    <t>H 388x402x140 Kg/m</t>
  </si>
  <si>
    <t>H 390x300x107 Kg/m</t>
  </si>
  <si>
    <t>H 394x398x147 Kg/m</t>
  </si>
  <si>
    <t>H 396x199x56.6 Kg/m</t>
  </si>
  <si>
    <t>H 400x200x66 Kg/m</t>
  </si>
  <si>
    <t>H 400x400x172 Kg/m</t>
  </si>
  <si>
    <t>H 400x408x197 Kg/m</t>
  </si>
  <si>
    <t>H 404x201x75.5 Kg/m</t>
  </si>
  <si>
    <t>H 414x405x232 Kg/m</t>
  </si>
  <si>
    <t>H 428x407x283 Kg/m</t>
  </si>
  <si>
    <t>H 434x299x106 Kg/m</t>
  </si>
  <si>
    <t>H 440x300x124 Kg/m</t>
  </si>
  <si>
    <t>H 446x199x66.2 Kg/m</t>
  </si>
  <si>
    <t>H 446x302x145 Kg/m</t>
  </si>
  <si>
    <t>H 450x200x76 Kg/m</t>
  </si>
  <si>
    <t>H 456x201x88.9 Kg/m</t>
  </si>
  <si>
    <t>H 458x417x415 Kg/m</t>
  </si>
  <si>
    <t>H 482x300x114 Kg/m</t>
  </si>
  <si>
    <t>H 488x300x128 Kg/m</t>
  </si>
  <si>
    <t>H 494x302x150 Kg/m</t>
  </si>
  <si>
    <t>H 496x199x79.5 Kg/m</t>
  </si>
  <si>
    <t>H 498x432x605 Kg/m</t>
  </si>
  <si>
    <t>H 500x200x89.6 Kg/m</t>
  </si>
  <si>
    <t>H 506x201x103 Kg/m</t>
  </si>
  <si>
    <t>H 582x300x137 Kg/m</t>
  </si>
  <si>
    <t>H 588x300x151 Kg/m</t>
  </si>
  <si>
    <t>H 594x302x175 Kg/m</t>
  </si>
  <si>
    <t>H 596x199x94.6 Kg/m</t>
  </si>
  <si>
    <t>H 600x200x106 Kg/m</t>
  </si>
  <si>
    <t>H 606x201x120 Kg/m</t>
  </si>
  <si>
    <t>H 612x202x134 Kg/m</t>
  </si>
  <si>
    <t>H 692x300x166 Kg/m</t>
  </si>
  <si>
    <t>H 700x300x185 Kg/m</t>
  </si>
  <si>
    <t>H 792x300x191 Kg/m</t>
  </si>
  <si>
    <t>H 800x300x210 Kg/m</t>
  </si>
  <si>
    <t>H 890x299x213 Kg/m</t>
  </si>
  <si>
    <t>H 900x300x243 Kg/m</t>
  </si>
  <si>
    <t>H 912x302x286 Kg/m</t>
  </si>
  <si>
    <t>I  100x75x12.9 Kg/m</t>
  </si>
  <si>
    <t>I  125x75x16.1 Kg/m</t>
  </si>
  <si>
    <t>I  150x125x36.2 Kg/m</t>
  </si>
  <si>
    <t>I  150x75x17.1 Kg/m</t>
  </si>
  <si>
    <t>I  180x100x23.6 Kg/m</t>
  </si>
  <si>
    <t>I  200x100x26 Kg/m</t>
  </si>
  <si>
    <t>I  200x150x50.4 Kg/m</t>
  </si>
  <si>
    <t>I  250x125x38.3 Kg/m</t>
  </si>
  <si>
    <t>I  250x125x55.5 Kg/m</t>
  </si>
  <si>
    <t>I  300x150x48.3 Kg/m</t>
  </si>
  <si>
    <t>I  300x150x65.5 Kg/m</t>
  </si>
  <si>
    <t>I  300x150x76.8 Kg/m</t>
  </si>
  <si>
    <t>I  350x150x58.5 Kg/m</t>
  </si>
  <si>
    <t>I  350x150x87.2 Kg/m</t>
  </si>
  <si>
    <t>I  400x150x72 Kg/m</t>
  </si>
  <si>
    <t>I  400x150x95.8 Kg/m</t>
  </si>
  <si>
    <t>I  450x175x115 Kg/m</t>
  </si>
  <si>
    <t>I  450x175x91.7 Kg/m</t>
  </si>
  <si>
    <t>I  600x190x133 Kg/m</t>
  </si>
  <si>
    <t>I  600x190x176 Kg/m</t>
  </si>
  <si>
    <t>T 100x100x10.7 Kg/m</t>
  </si>
  <si>
    <t>T 100x200x24.9 Kg/m</t>
  </si>
  <si>
    <t>T 100x204x28.1 Kg/m</t>
  </si>
  <si>
    <t>T 104x202x32.8 Kg/m</t>
  </si>
  <si>
    <t>T 122x175x22.1 Kg/m</t>
  </si>
  <si>
    <t>T 122x252x32.2 Kg/m</t>
  </si>
  <si>
    <t>T 124x124x12.8 Kg/m</t>
  </si>
  <si>
    <t>T 124x249x33.2 Kg/m</t>
  </si>
  <si>
    <t>T 125x125x14.8 Kg/m</t>
  </si>
  <si>
    <t>T 125x250x36.2 Kg/m</t>
  </si>
  <si>
    <t>T 125x255x41.1 Kg/m</t>
  </si>
  <si>
    <t>T 147x200x28.4 Kg/m</t>
  </si>
  <si>
    <t>T 147x302x42.3 Kg/m</t>
  </si>
  <si>
    <t>T 149x149x16 Kg/m</t>
  </si>
  <si>
    <t>T 149x201x32.7 Kg/m</t>
  </si>
  <si>
    <t>T 149x299x43.5 Kg/m</t>
  </si>
  <si>
    <t>T 150x150x18.4 Kg/m</t>
  </si>
  <si>
    <t>T 150x300x47 Kg/m</t>
  </si>
  <si>
    <t>T 150x305x52.9 Kg/m</t>
  </si>
  <si>
    <t>T 152x301x52.9 Kg/m</t>
  </si>
  <si>
    <t>T 168x249x34.6 Kg/m</t>
  </si>
  <si>
    <t>T 169x351x53.1 Kg/m</t>
  </si>
  <si>
    <t>T 170x250x39.8 Kg/m</t>
  </si>
  <si>
    <t>T 172x348x57.3 Kg/m</t>
  </si>
  <si>
    <t>T 172x354x65.4 Kg/m</t>
  </si>
  <si>
    <t>T 173x174x20.7 Kg/m</t>
  </si>
  <si>
    <t>T 175x175x24.8 Kg/m</t>
  </si>
  <si>
    <t>T 175x350x68.2 Kg/m</t>
  </si>
  <si>
    <t>T 175x357x77.9 Kg/m</t>
  </si>
  <si>
    <t>T 193x299x47.1 Kg/m</t>
  </si>
  <si>
    <t>T 194x402x70 Kg/m</t>
  </si>
  <si>
    <t>T 195x300x53.4 Kg/m</t>
  </si>
  <si>
    <t>T 197x398x73.3 Kg/m</t>
  </si>
  <si>
    <t>T 197x405x84.1 Kg/m</t>
  </si>
  <si>
    <t>T 198x199x28.3 Kg/m</t>
  </si>
  <si>
    <t>T 200x200x33 Kg/m</t>
  </si>
  <si>
    <t>T 200x400x85.8 Kg/m</t>
  </si>
  <si>
    <t>T 200x408x98.4 Kg/m</t>
  </si>
  <si>
    <t>T 207x405x116 Kg/m</t>
  </si>
  <si>
    <t>T 217x300x53 Kg/m</t>
  </si>
  <si>
    <t>T 220x300x61.8 Kg/m</t>
  </si>
  <si>
    <t>T 223x199x33.1 Kg/m</t>
  </si>
  <si>
    <t>T 225x200x38 Kg/m</t>
  </si>
  <si>
    <t>T 241x300x57.1 Kg/m</t>
  </si>
  <si>
    <t>T 244x300x64.2 Kg/m</t>
  </si>
  <si>
    <t>T 248x199x39.7 Kg/m</t>
  </si>
  <si>
    <t>T 250x200x44.8 Kg/m</t>
  </si>
  <si>
    <t>T 253x201x51.5 Kg/m</t>
  </si>
  <si>
    <t>T 291x300x68.5 Kg/m</t>
  </si>
  <si>
    <t>T 294x300x75.6 Kg/m</t>
  </si>
  <si>
    <t>T 297x302x87.3 Kg/m</t>
  </si>
  <si>
    <t>T 298x199x47.3 Kg/m</t>
  </si>
  <si>
    <t>T 300x200x52.8 Kg/m</t>
  </si>
  <si>
    <t>T 303x201x59.8 Kg/m</t>
  </si>
  <si>
    <t>T 306x202x67 Kg/m</t>
  </si>
  <si>
    <t>T 346x300x83 Kg/m</t>
  </si>
  <si>
    <t>T 350x300x92.4 Kg/m</t>
  </si>
  <si>
    <t>T 396x300x95.6 Kg/m</t>
  </si>
  <si>
    <t>T 400x300x105 Kg/m</t>
  </si>
  <si>
    <t>T 50x100x8.6 Kg/m</t>
  </si>
  <si>
    <t>T 62.5x125x11.9 Kg/m</t>
  </si>
  <si>
    <t>T 74x100x10.5 Kg/m</t>
  </si>
  <si>
    <t>T 75x150x15.8 Kg/m</t>
  </si>
  <si>
    <t>T 87.5x175x20.1 Kg/m</t>
  </si>
  <si>
    <t>T 97x150x15.3 Kg/m</t>
  </si>
  <si>
    <t>T 99x99x9.1 Kg/m</t>
  </si>
  <si>
    <t>UL 100x75x13 Kg/m</t>
  </si>
  <si>
    <t>UL 100x75x9.32 Kg/m</t>
  </si>
  <si>
    <t>UL 125x75x10.7 Kg/m</t>
  </si>
  <si>
    <t>UL 125x75x14.9 Kg/m</t>
  </si>
  <si>
    <t>UL 125x75x19.1 Kg/m</t>
  </si>
  <si>
    <t>UL 125x90x16.1 Kg/m</t>
  </si>
  <si>
    <t>UL 125x90x20.6 Kg/m</t>
  </si>
  <si>
    <t>UL 150x100x17.1 Kg/m</t>
  </si>
  <si>
    <t>UL 150x100x22.4 Kg/m</t>
  </si>
  <si>
    <t>UL 150x100x27.7 Kg/m</t>
  </si>
  <si>
    <t>UL 150x90x16.4 Kg/m</t>
  </si>
  <si>
    <t>UL 150x90x21.5 Kg/m</t>
  </si>
  <si>
    <t>UL 90x75x11 Kg/m</t>
  </si>
  <si>
    <t>ULLL 100x75x18.64 Kg/m</t>
  </si>
  <si>
    <t>ULLL 100x75x26 Kg/m</t>
  </si>
  <si>
    <t>ULLL 125x75x21.4 Kg/m</t>
  </si>
  <si>
    <t>ULLL 125x75x29.8 Kg/m</t>
  </si>
  <si>
    <t>ULLL 125x75x38.2 Kg/m</t>
  </si>
  <si>
    <t>ULLL 125x90x32.2 Kg/m</t>
  </si>
  <si>
    <t>ULLL 125x90x41.2 Kg/m</t>
  </si>
  <si>
    <t>ULLL 150x100x34.2 Kg/m</t>
  </si>
  <si>
    <t>ULLL 150x100x44.8 Kg/m</t>
  </si>
  <si>
    <t>ULLL 150x100x55.4 Kg/m</t>
  </si>
  <si>
    <t>ULLL 150x90x32.8 Kg/m</t>
  </si>
  <si>
    <t>ULLL 150x90x43 Kg/m</t>
  </si>
  <si>
    <t>ULLL 90x75x22 Kg/m</t>
  </si>
  <si>
    <t>ULLS 100x150x34.2 Kg/m</t>
  </si>
  <si>
    <t>ULLS 100x150x44.8 Kg/m</t>
  </si>
  <si>
    <t>ULLS 100x150x55.4 Kg/m</t>
  </si>
  <si>
    <t>ULLS 75x100x18.64 Kg/m</t>
  </si>
  <si>
    <t>ULLS 75x100x26 Kg/m</t>
  </si>
  <si>
    <t>ULLS 75x125x21.4 Kg/m</t>
  </si>
  <si>
    <t>ULLS 75x125x29.8 Kg/m</t>
  </si>
  <si>
    <t>ULLS 75x125x38.2 Kg/m</t>
  </si>
  <si>
    <t>ULLS 75x90x22 Kg/m</t>
  </si>
  <si>
    <t>ULLS 90x125x32.2 Kg/m</t>
  </si>
  <si>
    <t>ULLS 90x125x41.2 Kg/m</t>
  </si>
  <si>
    <t>ULLS 90x150x32.8 Kg/m</t>
  </si>
  <si>
    <t>ULLS 90x150x43 Kg/m</t>
  </si>
  <si>
    <t>SrNo</t>
  </si>
  <si>
    <t>PriShape</t>
  </si>
  <si>
    <t>Sh</t>
  </si>
  <si>
    <t>Wght</t>
  </si>
  <si>
    <t>Available</t>
  </si>
  <si>
    <t>XSArea</t>
  </si>
  <si>
    <t>MomIx</t>
  </si>
  <si>
    <t>MomIy</t>
  </si>
  <si>
    <t>RadRx</t>
  </si>
  <si>
    <t>RadRy</t>
  </si>
  <si>
    <t>ModSx</t>
  </si>
  <si>
    <t>ModSy</t>
  </si>
  <si>
    <t>RadJ</t>
  </si>
  <si>
    <t>RadE</t>
  </si>
  <si>
    <t>Cx</t>
  </si>
  <si>
    <t>Cy</t>
  </si>
  <si>
    <t>C</t>
  </si>
  <si>
    <t xml:space="preserve">I </t>
  </si>
  <si>
    <t>H</t>
  </si>
  <si>
    <t>T</t>
  </si>
  <si>
    <t>TH</t>
  </si>
  <si>
    <t>L</t>
  </si>
  <si>
    <t>EL</t>
  </si>
  <si>
    <t>UL</t>
  </si>
  <si>
    <t>LL</t>
  </si>
  <si>
    <t>ELL</t>
  </si>
  <si>
    <t>ULLL</t>
  </si>
  <si>
    <t>ULLS</t>
  </si>
  <si>
    <t>CCI</t>
  </si>
  <si>
    <t>CCB</t>
  </si>
  <si>
    <t>2-C 150x50x20x2.3 Kg/m</t>
  </si>
  <si>
    <t>2-C 150x75x25x3.2 Kg/m</t>
  </si>
  <si>
    <t>2-C 150x75x25x4.0 Kg/m</t>
  </si>
  <si>
    <t>C 200x75x20x3.2 Kg/m</t>
  </si>
  <si>
    <t>C 200x75x20x4.0 Kg/m</t>
  </si>
  <si>
    <t>C 125x50x20x2.3 Kg/m</t>
  </si>
  <si>
    <t>C 150x50x20x2.3 Kg/m</t>
  </si>
  <si>
    <t>2-C 125x50x20x2.3 Kg/m</t>
  </si>
  <si>
    <t>[]</t>
  </si>
  <si>
    <t>[] 150x150x4.5x20.2 Kg/m</t>
  </si>
  <si>
    <t>[] 100x100x3.2x9.52 Kg/m</t>
  </si>
  <si>
    <t>O</t>
  </si>
  <si>
    <t xml:space="preserve">PIP21.7X2.0    </t>
  </si>
  <si>
    <t xml:space="preserve">PIP27.2X2.0    </t>
  </si>
  <si>
    <t xml:space="preserve">PIP27.2X2.3    </t>
  </si>
  <si>
    <t xml:space="preserve">PIP34.0X2.3    </t>
  </si>
  <si>
    <t xml:space="preserve">PIP42.7X2.3    </t>
  </si>
  <si>
    <t xml:space="preserve">PIP42.7X2.5    </t>
  </si>
  <si>
    <t xml:space="preserve">PIP42.7X2.8    </t>
  </si>
  <si>
    <t xml:space="preserve">PIP48.6X2.3    </t>
  </si>
  <si>
    <t xml:space="preserve">PIP48.6X2.5    </t>
  </si>
  <si>
    <t xml:space="preserve">PIP48.6X2.8    </t>
  </si>
  <si>
    <t xml:space="preserve">PIP48.6X3.2    </t>
  </si>
  <si>
    <t xml:space="preserve">PIP60.5X2.3    </t>
  </si>
  <si>
    <t xml:space="preserve">PIP60.5X3.2    </t>
  </si>
  <si>
    <t xml:space="preserve">PIP60.5X3.0    </t>
  </si>
  <si>
    <t xml:space="preserve">PIP76.3X2.8    </t>
  </si>
  <si>
    <t xml:space="preserve">PIP76.3X3.2    </t>
  </si>
  <si>
    <t xml:space="preserve">PIP76.3X4.0    </t>
  </si>
  <si>
    <t xml:space="preserve">PIP89.1X2.8    </t>
  </si>
  <si>
    <t xml:space="preserve">PIP89.1X3.2    </t>
  </si>
  <si>
    <t xml:space="preserve">PIP89.1X4.0    </t>
  </si>
  <si>
    <t xml:space="preserve">PIP101.6X3.2   </t>
  </si>
  <si>
    <t xml:space="preserve">PIP101.6X4.0   </t>
  </si>
  <si>
    <t xml:space="preserve">PIP101.6X5.0   </t>
  </si>
  <si>
    <t xml:space="preserve">PIP114.3X3.2   </t>
  </si>
  <si>
    <t xml:space="preserve">PIP114.3X3.6   </t>
  </si>
  <si>
    <t xml:space="preserve">PIP114.3X4.5   </t>
  </si>
  <si>
    <t xml:space="preserve">PIP114.3X5.6   </t>
  </si>
  <si>
    <t xml:space="preserve">PIP139.8X3.6   </t>
  </si>
  <si>
    <t xml:space="preserve">PIP139.8X4.0   </t>
  </si>
  <si>
    <t xml:space="preserve">PIP139.8X4.5   </t>
  </si>
  <si>
    <t xml:space="preserve">PIP139.8X6.0   </t>
  </si>
  <si>
    <t xml:space="preserve">PIP165.2X4.5   </t>
  </si>
  <si>
    <t xml:space="preserve">PIP165.2X5.0   </t>
  </si>
  <si>
    <t xml:space="preserve">PIP165.2X6.0   </t>
  </si>
  <si>
    <t xml:space="preserve">PIP165.2X7.0   </t>
  </si>
  <si>
    <t xml:space="preserve">PIP190.7X4.5   </t>
  </si>
  <si>
    <t xml:space="preserve">PIP190.7X5.0   </t>
  </si>
  <si>
    <t xml:space="preserve">PIP190.7X6.0   </t>
  </si>
  <si>
    <t xml:space="preserve">PIP190.7X7.0   </t>
  </si>
  <si>
    <t xml:space="preserve">PIP216.3X4.5   </t>
  </si>
  <si>
    <t xml:space="preserve">PIP216.3X6.0   </t>
  </si>
  <si>
    <t xml:space="preserve">PIP216.3X7.0   </t>
  </si>
  <si>
    <t xml:space="preserve">PIP216.3X8.0   </t>
  </si>
  <si>
    <t xml:space="preserve">PIP267.4X6.0   </t>
  </si>
  <si>
    <t xml:space="preserve">PIP267.4X7.0   </t>
  </si>
  <si>
    <t xml:space="preserve">PIP267.4X8.0   </t>
  </si>
  <si>
    <t xml:space="preserve">PIP267.4X9.0   </t>
  </si>
  <si>
    <t xml:space="preserve">PIP318.5X6.0   </t>
  </si>
  <si>
    <t xml:space="preserve">PIP318.5X7.0   </t>
  </si>
  <si>
    <t xml:space="preserve">PIP318.5X8.0   </t>
  </si>
  <si>
    <t xml:space="preserve">PIP318.5X9.0   </t>
  </si>
  <si>
    <t xml:space="preserve">PIP355.6X6.3   </t>
  </si>
  <si>
    <t xml:space="preserve">PIP355.6X8.0   </t>
  </si>
  <si>
    <t xml:space="preserve">PIP355.6X9.0   </t>
  </si>
  <si>
    <t xml:space="preserve">PIP355.6X12.0  </t>
  </si>
  <si>
    <t xml:space="preserve">PIP406.4X9.0   </t>
  </si>
  <si>
    <t xml:space="preserve">PIP406.4X12.0  </t>
  </si>
  <si>
    <t xml:space="preserve">PIP406.4X16.0  </t>
  </si>
  <si>
    <t xml:space="preserve">PIP406.4X19.0  </t>
  </si>
  <si>
    <t xml:space="preserve">PIP457.2X9.0   </t>
  </si>
  <si>
    <t xml:space="preserve">PIP457.2X12.0  </t>
  </si>
  <si>
    <t xml:space="preserve">PIP457.2X16.0  </t>
  </si>
  <si>
    <t xml:space="preserve">PIP457.2X19.0  </t>
  </si>
  <si>
    <t xml:space="preserve">PIP500.0X9.0   </t>
  </si>
  <si>
    <t xml:space="preserve">PIP500.0X12.0  </t>
  </si>
  <si>
    <t xml:space="preserve">PIP500.0X14.0  </t>
  </si>
  <si>
    <t xml:space="preserve">PIP508.0X9.0   </t>
  </si>
  <si>
    <t xml:space="preserve">PIP508.0X12.0  </t>
  </si>
  <si>
    <t xml:space="preserve">PIP508.0X14.0  </t>
  </si>
  <si>
    <t xml:space="preserve">PIP508.0X16.0  </t>
  </si>
  <si>
    <t xml:space="preserve">PIP508.0X19.0  </t>
  </si>
  <si>
    <t xml:space="preserve">PIP508.0X22.0  </t>
  </si>
  <si>
    <t xml:space="preserve">PIP558.8X9.0   </t>
  </si>
  <si>
    <t xml:space="preserve">PIP558.8X12.0  </t>
  </si>
  <si>
    <t xml:space="preserve">PIP558.8X16.0  </t>
  </si>
  <si>
    <t xml:space="preserve">PIP558.8X19.0  </t>
  </si>
  <si>
    <t xml:space="preserve">PIP558.8X22.0  </t>
  </si>
  <si>
    <t xml:space="preserve">PIP600.0X9.0   </t>
  </si>
  <si>
    <t xml:space="preserve">PIP600.0X12.0  </t>
  </si>
  <si>
    <t xml:space="preserve">PIP600.0X14.0  </t>
  </si>
  <si>
    <t xml:space="preserve">PIP600.0X16.0  </t>
  </si>
  <si>
    <t xml:space="preserve">PIP609.6X9.0   </t>
  </si>
  <si>
    <t xml:space="preserve">PIP609.6X12.0  </t>
  </si>
  <si>
    <t xml:space="preserve">PIP609.6X14.0  </t>
  </si>
  <si>
    <t xml:space="preserve">PIP609.6X16.0  </t>
  </si>
  <si>
    <t xml:space="preserve">PIP609.6X19.0  </t>
  </si>
  <si>
    <t xml:space="preserve">PIP609.6X22.0  </t>
  </si>
  <si>
    <t xml:space="preserve">PIP700X9.0     </t>
  </si>
  <si>
    <t xml:space="preserve">PIP700X12.0    </t>
  </si>
  <si>
    <t xml:space="preserve">PIP700X14.0    </t>
  </si>
  <si>
    <t xml:space="preserve">PIP700X16.0    </t>
  </si>
  <si>
    <t xml:space="preserve">PIP711.2X9.0   </t>
  </si>
  <si>
    <t xml:space="preserve">PIP711.2X12.0  </t>
  </si>
  <si>
    <t xml:space="preserve">PIP711.2X14.0  </t>
  </si>
  <si>
    <t xml:space="preserve">PIP711.2X16.0  </t>
  </si>
  <si>
    <t xml:space="preserve">PIP711.2X19.0  </t>
  </si>
  <si>
    <t xml:space="preserve">PIP711.2X22.0  </t>
  </si>
  <si>
    <t xml:space="preserve">PIP812.8X9.0   </t>
  </si>
  <si>
    <t xml:space="preserve">PIP812.8X12.0  </t>
  </si>
  <si>
    <t xml:space="preserve">PIP812.8X14.0  </t>
  </si>
  <si>
    <t xml:space="preserve">PIP812.8X16.0  </t>
  </si>
  <si>
    <t xml:space="preserve">PIP812.8X19.0  </t>
  </si>
  <si>
    <t xml:space="preserve">PIP812.8X22.0  </t>
  </si>
  <si>
    <t xml:space="preserve">PIP914.4X12.0  </t>
  </si>
  <si>
    <t xml:space="preserve">PIP914.4X14.0  </t>
  </si>
  <si>
    <t xml:space="preserve">PIP914.4X16.0  </t>
  </si>
  <si>
    <t xml:space="preserve">PIP914.4X19.0  </t>
  </si>
  <si>
    <t xml:space="preserve">PIP914.4X22.0  </t>
  </si>
  <si>
    <t xml:space="preserve">PIP1016.0X12.  </t>
  </si>
  <si>
    <t xml:space="preserve">PIP1016.0X14.  </t>
  </si>
  <si>
    <t xml:space="preserve">PIP1016.0X16.  </t>
  </si>
  <si>
    <t xml:space="preserve">PIP1016.0X19.  </t>
  </si>
  <si>
    <t xml:space="preserve">PIP1016.0X22.  </t>
  </si>
  <si>
    <t>[] 100x100x2.3x6.95 Kg/m</t>
  </si>
  <si>
    <t>[] 100x100x4.5x13.1 Kg/m</t>
  </si>
  <si>
    <t>[] 100x100x6.0x17.0 Kg/m</t>
  </si>
  <si>
    <t>[] 125x125x3.2x12.0 Kg/m</t>
  </si>
  <si>
    <t>[] 125x125x4.5x16.6 Kg/m</t>
  </si>
  <si>
    <t>[] 125x125x6.0x21.7 Kg/m</t>
  </si>
  <si>
    <t>[] 150x150x6.0x26.4 Kg/m</t>
  </si>
  <si>
    <t>Span</t>
  </si>
  <si>
    <t>SECTION PROPERTIES</t>
  </si>
  <si>
    <t>Sx</t>
  </si>
  <si>
    <t>cm^3</t>
  </si>
  <si>
    <t>Ton-m</t>
  </si>
  <si>
    <t>Maximum Moment (0.66Fy*Sx)</t>
  </si>
  <si>
    <t>Ton/m</t>
  </si>
  <si>
    <t>Maximum Uniform load</t>
  </si>
  <si>
    <t>Maximun Point load</t>
  </si>
  <si>
    <t>Ton</t>
  </si>
  <si>
    <t>Maximum Design Shear Load</t>
  </si>
  <si>
    <t>4.</t>
  </si>
  <si>
    <t>Bolt Arrangment</t>
  </si>
  <si>
    <t>Bolt dia.</t>
  </si>
  <si>
    <t>ASTM A325-N</t>
  </si>
  <si>
    <t>2.</t>
  </si>
  <si>
    <t>5.</t>
  </si>
  <si>
    <t>Lv</t>
  </si>
  <si>
    <t>Lh</t>
  </si>
  <si>
    <t>Bt =Fu*(0.3Lv+0.5Lh)*tpl</t>
  </si>
  <si>
    <t>Fin pl thk. (tpl)</t>
  </si>
  <si>
    <t>6.</t>
  </si>
  <si>
    <t>Maximum Bearing load on Fin Pl</t>
  </si>
  <si>
    <t>Maximum Block Shear on Fin Pl</t>
  </si>
  <si>
    <t>7</t>
  </si>
  <si>
    <t>Maximum Shear load on Fin Pl</t>
  </si>
  <si>
    <t>Sx of Fin Pl</t>
  </si>
  <si>
    <t>Maximum Reaction =M/e</t>
  </si>
  <si>
    <t>8</t>
  </si>
  <si>
    <t>7.1 Due to eccentric shear</t>
  </si>
  <si>
    <t>7.1 Due to Shear on base metal</t>
  </si>
  <si>
    <t>Maximum moment  0.75*Fy*Sx</t>
  </si>
  <si>
    <t>0.4*Fy*Ag</t>
  </si>
  <si>
    <t>0.3*0.707*Fu_w*a</t>
  </si>
  <si>
    <t>Fillet Weld size (both side) "a"</t>
  </si>
  <si>
    <t>Ton/cm</t>
  </si>
  <si>
    <t>Depth Dpl</t>
  </si>
  <si>
    <t>Maximun Reaction load  V</t>
  </si>
  <si>
    <t>Maximum beam web shear</t>
  </si>
  <si>
    <t>9.1 Gross area 0.4Fy*d*tw</t>
  </si>
  <si>
    <t>9.2 Net area 0.3Fu*Anv</t>
  </si>
  <si>
    <t>Maximum shear on Bolt</t>
  </si>
  <si>
    <t>Ton/bolt</t>
  </si>
  <si>
    <t>2 BOLTS</t>
  </si>
  <si>
    <t>3 BOLTS</t>
  </si>
  <si>
    <t>4 BOLTS</t>
  </si>
  <si>
    <t>V =Mt* (Y/Sum x2+Y2)</t>
  </si>
  <si>
    <t>(Y/Sum x2+Y2)</t>
  </si>
  <si>
    <t>Vertical shear due to Mt</t>
  </si>
  <si>
    <t>Torsional moment Mt</t>
  </si>
  <si>
    <t>Horizontal shear due to Mt</t>
  </si>
  <si>
    <t>Resultant shear</t>
  </si>
  <si>
    <t>Allowable shear load</t>
  </si>
  <si>
    <t>No. of row N</t>
  </si>
  <si>
    <t>Pitch P</t>
  </si>
  <si>
    <t>Edge distant  Ed</t>
  </si>
  <si>
    <t>Radius of Gyration(max),rmax</t>
  </si>
  <si>
    <t>Beam Size</t>
  </si>
  <si>
    <r>
      <t>Sum 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+Y</t>
    </r>
    <r>
      <rPr>
        <vertAlign val="superscript"/>
        <sz val="10"/>
        <rFont val="Times New Roman"/>
        <family val="1"/>
      </rPr>
      <t>2</t>
    </r>
  </si>
  <si>
    <t>7.</t>
  </si>
  <si>
    <t>Maximum Net Shear on Fin Pl</t>
  </si>
  <si>
    <t>0.3Fu*Anv</t>
  </si>
  <si>
    <t>9</t>
  </si>
  <si>
    <t>10</t>
  </si>
  <si>
    <t>11</t>
  </si>
  <si>
    <t>Bb = 1.2Fu*N*(D+0.2)*tpl</t>
  </si>
  <si>
    <t>Maximum welding load on Fin Pl</t>
  </si>
  <si>
    <t>5 BOLTS</t>
  </si>
  <si>
    <t>6 BOLTS</t>
  </si>
  <si>
    <t>(X/Sum x2+Y2)</t>
  </si>
  <si>
    <t>Bb = 1.2Fu*2*N*(D+0.2)*tpl</t>
  </si>
  <si>
    <t>DESIGN SIMPLE SHEAR CONNECTION(FIN PL) W/ NO AXIAL FORCE</t>
  </si>
  <si>
    <t>DESIGN SIMPLE SHEAR CONNECTION(FIN PL) W/ AXIAL FORCE</t>
  </si>
  <si>
    <t>Horizontal shear due to P = P/2N</t>
  </si>
  <si>
    <t>Axial load  P</t>
  </si>
  <si>
    <t>Maximum Net Tensile on Fin Pl</t>
  </si>
  <si>
    <t>0.5Fu*Ant</t>
  </si>
  <si>
    <t>12</t>
  </si>
  <si>
    <t xml:space="preserve"> Net area 0.5Fu*Ant</t>
  </si>
  <si>
    <t>8.</t>
  </si>
  <si>
    <t>11.1 Gross area 0.4Fy*d*tw</t>
  </si>
  <si>
    <t>11.2 Net area 0.3Fu*Anv</t>
  </si>
  <si>
    <t>Maximum beam web Tension</t>
  </si>
  <si>
    <t>13</t>
  </si>
  <si>
    <t>Maximum Design Tensile Load</t>
  </si>
  <si>
    <t>KxLx/rx</t>
  </si>
  <si>
    <t>KyLy/ry</t>
  </si>
  <si>
    <t>KL/r max</t>
  </si>
  <si>
    <t>KL/r max/Cc</t>
  </si>
  <si>
    <t>FS</t>
  </si>
  <si>
    <t>Fa</t>
  </si>
  <si>
    <t>Bb = 1.2Fu*(2*N)*(D+0.2)*tpl</t>
  </si>
  <si>
    <t>Net area 0.5Fu*Anv</t>
  </si>
  <si>
    <t>Gross area 0.6Fy*Ag</t>
  </si>
  <si>
    <t>0.3*0.707*Fu_w*a*d</t>
  </si>
  <si>
    <t>Maximum Compression due to eccentric of gusset Pl</t>
  </si>
  <si>
    <t>Ton-cm</t>
  </si>
  <si>
    <t>M max =0.75Fy*Sxpl</t>
  </si>
  <si>
    <t>Maximum Channel web shear</t>
  </si>
  <si>
    <t>Max C  load</t>
  </si>
  <si>
    <t>C max = M /(0.5tw+0.5*tpl)</t>
  </si>
  <si>
    <t>10.1 Gross area 0.6Fy*(0.75Ag)</t>
  </si>
  <si>
    <t>10.2 Net area 0.5Fu*(0.75Anv)</t>
  </si>
  <si>
    <t>Stitch spacing</t>
  </si>
  <si>
    <t>Stitch spacing check</t>
  </si>
  <si>
    <t>Overall 0.75KL/r</t>
  </si>
  <si>
    <t>Assume Bucking w/o shear in stitch, Kl/ri</t>
  </si>
  <si>
    <t>Lfg/tpl</t>
  </si>
  <si>
    <t>0.75 Sqrt(E/Fy)</t>
  </si>
  <si>
    <t>Bucking of edge of gusset Pl check</t>
  </si>
  <si>
    <t>Lfg/tpl &lt; 0.75 Sqrt(E/Fy), Astaneh-Asl 1991)</t>
  </si>
  <si>
    <t>Apl</t>
  </si>
  <si>
    <t>rx_pl</t>
  </si>
  <si>
    <t>ry_pl</t>
  </si>
  <si>
    <t>Lfg</t>
  </si>
  <si>
    <t>Cc</t>
  </si>
  <si>
    <t>Bucking of gusset Pl  base on  whitmore width</t>
  </si>
  <si>
    <t>Fs</t>
  </si>
  <si>
    <t>Fa &gt; fa</t>
  </si>
  <si>
    <t>Shear due to T = (T/2)/N</t>
  </si>
  <si>
    <t>Gauge g</t>
  </si>
  <si>
    <t>max K*L/r</t>
  </si>
  <si>
    <t>(K*L/r )/ Cc</t>
  </si>
  <si>
    <t>Section Area , As</t>
  </si>
  <si>
    <t>Maximum welding load on Fin Pl to column in case of tension load</t>
  </si>
  <si>
    <t>Assume Design bracing load 0.8C</t>
  </si>
  <si>
    <t>fa on Whitmore width, Thornton 1984</t>
  </si>
  <si>
    <r>
      <t>cm</t>
    </r>
    <r>
      <rPr>
        <vertAlign val="superscript"/>
        <sz val="22"/>
        <rFont val="Tahoma"/>
        <family val="2"/>
      </rPr>
      <t>2</t>
    </r>
  </si>
  <si>
    <r>
      <t>cm</t>
    </r>
    <r>
      <rPr>
        <vertAlign val="superscript"/>
        <sz val="22"/>
        <rFont val="Tahoma"/>
        <family val="2"/>
      </rPr>
      <t>3</t>
    </r>
  </si>
  <si>
    <t>Bb = 1.2Fu*(N)*(D+0.2)*tpl</t>
  </si>
  <si>
    <t>Shear due to T = (T)/N</t>
  </si>
  <si>
    <t>Assume Design bracing load 1.00C</t>
  </si>
  <si>
    <t>Bucking of gusset Pl  base on  Whitmore width</t>
  </si>
  <si>
    <t xml:space="preserve"> Kl/ri &lt; 0.75KL/r   , AISC 1997</t>
  </si>
  <si>
    <t xml:space="preserve"> Kl/ri &lt; 0.75KL/r   ,AISC 1997</t>
  </si>
  <si>
    <t>DESIGN BRACING CONNECTION(GUSSET PL)</t>
  </si>
  <si>
    <t>11.1 Gross area 0.6Fy*(0.75Ag)</t>
  </si>
  <si>
    <t>11.2 Net area 0.5Fu*(0.75Anv)</t>
  </si>
  <si>
    <r>
      <t>Sum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+Y</t>
    </r>
    <r>
      <rPr>
        <vertAlign val="superscript"/>
        <sz val="10"/>
        <rFont val="Arial"/>
        <family val="2"/>
      </rPr>
      <t>2</t>
    </r>
  </si>
  <si>
    <t>Fin pl thk. (tpl) &gt; bolt dia/2+2mm</t>
  </si>
  <si>
    <t>0.4Fy*Ag</t>
  </si>
  <si>
    <t>NET Maximun Reaction load  Vn</t>
  </si>
  <si>
    <t>Vertical shear due to V = Vn/N</t>
  </si>
  <si>
    <t>W</t>
  </si>
  <si>
    <t>7 BOLTS</t>
  </si>
  <si>
    <t>7BOLTS</t>
  </si>
  <si>
    <t>Vertical shear due to V = Vn/2N</t>
  </si>
  <si>
    <t>Torsional moment Mt Due to Vn</t>
  </si>
  <si>
    <r>
      <t>(Vn*(e+2)/(Dpl</t>
    </r>
    <r>
      <rPr>
        <vertAlign val="superscript"/>
        <sz val="26"/>
        <rFont val="Tahoma"/>
        <family val="2"/>
      </rPr>
      <t>2</t>
    </r>
    <r>
      <rPr>
        <sz val="26"/>
        <rFont val="Tahoma"/>
        <family val="2"/>
      </rPr>
      <t>/3))</t>
    </r>
    <r>
      <rPr>
        <vertAlign val="superscript"/>
        <sz val="26"/>
        <rFont val="Tahoma"/>
        <family val="2"/>
      </rPr>
      <t>2</t>
    </r>
    <r>
      <rPr>
        <sz val="26"/>
        <rFont val="Tahoma"/>
        <family val="2"/>
      </rPr>
      <t>+(V/2/Dpl)</t>
    </r>
    <r>
      <rPr>
        <vertAlign val="superscript"/>
        <sz val="26"/>
        <rFont val="Tahoma"/>
        <family val="2"/>
      </rPr>
      <t>2</t>
    </r>
    <r>
      <rPr>
        <sz val="26"/>
        <rFont val="Tahoma"/>
        <family val="2"/>
      </rPr>
      <t>+(P/2/Dpl)</t>
    </r>
    <r>
      <rPr>
        <vertAlign val="superscript"/>
        <sz val="26"/>
        <rFont val="Tahoma"/>
        <family val="2"/>
      </rPr>
      <t>2</t>
    </r>
  </si>
  <si>
    <r>
      <t>(Vn*(e+2)/(Dpl</t>
    </r>
    <r>
      <rPr>
        <vertAlign val="superscript"/>
        <sz val="22"/>
        <rFont val="Tahoma"/>
        <family val="2"/>
      </rPr>
      <t>2</t>
    </r>
    <r>
      <rPr>
        <sz val="22"/>
        <rFont val="Tahoma"/>
        <family val="2"/>
      </rPr>
      <t>/3))</t>
    </r>
    <r>
      <rPr>
        <vertAlign val="superscript"/>
        <sz val="22"/>
        <rFont val="Tahoma"/>
        <family val="2"/>
      </rPr>
      <t>2</t>
    </r>
    <r>
      <rPr>
        <sz val="22"/>
        <rFont val="Tahoma"/>
        <family val="2"/>
      </rPr>
      <t>+(V/2/Dpl)</t>
    </r>
    <r>
      <rPr>
        <vertAlign val="superscript"/>
        <sz val="22"/>
        <rFont val="Tahoma"/>
        <family val="2"/>
      </rPr>
      <t>2</t>
    </r>
  </si>
  <si>
    <r>
      <t>(Vn*(e+2)/(Dpl</t>
    </r>
    <r>
      <rPr>
        <vertAlign val="superscript"/>
        <sz val="22"/>
        <rFont val="Tahoma"/>
        <family val="2"/>
      </rPr>
      <t>2</t>
    </r>
    <r>
      <rPr>
        <sz val="22"/>
        <rFont val="Tahoma"/>
        <family val="2"/>
      </rPr>
      <t>/3))</t>
    </r>
    <r>
      <rPr>
        <vertAlign val="superscript"/>
        <sz val="22"/>
        <rFont val="Tahoma"/>
        <family val="2"/>
      </rPr>
      <t>2</t>
    </r>
    <r>
      <rPr>
        <sz val="22"/>
        <rFont val="Tahoma"/>
        <family val="2"/>
      </rPr>
      <t>+(V/2/Dpl)</t>
    </r>
    <r>
      <rPr>
        <vertAlign val="superscript"/>
        <sz val="22"/>
        <rFont val="Tahoma"/>
        <family val="2"/>
      </rPr>
      <t>2</t>
    </r>
  </si>
  <si>
    <t>Angle Thk.</t>
  </si>
  <si>
    <t>Allowable Reaction load  V</t>
  </si>
  <si>
    <t>8.1 Gross area 0.4Fy*d*tw</t>
  </si>
  <si>
    <t>8.2 Net area 0.3Fu*Anv</t>
  </si>
  <si>
    <t>DESIGN SIMPLE SHEAR CONNECTION( ONE ANGLE PL) W/ NO AXIAL FORCE</t>
  </si>
  <si>
    <t>Connected Beam Width</t>
  </si>
  <si>
    <t>Maximum Block Shear on Double  Angles</t>
  </si>
  <si>
    <t>Maximum Net Shear on Double  Angles</t>
  </si>
  <si>
    <t>Maximum Bearing load on Double  Angles Pl</t>
  </si>
  <si>
    <t>Maximum Block Shear on One Angle</t>
  </si>
  <si>
    <t>Maximum Net Shear on One Angle</t>
  </si>
  <si>
    <t>Maximum Bearing load on One Angle Pl</t>
  </si>
  <si>
    <t>Maximum Shear load on One Angle Pl</t>
  </si>
  <si>
    <t>Min R</t>
  </si>
  <si>
    <t>Minimum Radius of Gyration</t>
  </si>
  <si>
    <t>B/t</t>
  </si>
  <si>
    <t>76/sqrt(Fy)</t>
  </si>
  <si>
    <t>Maximum Design compression Load for compact section only</t>
  </si>
  <si>
    <t>DESIGN BRACING CONNECTION(GUSSET PL) ASD-89</t>
  </si>
  <si>
    <t>DESIGN SIMPLE SHEAR CONNECTION(FIN PL) W/ NO AXIAL FORCE ASD-89</t>
  </si>
  <si>
    <t>DESIGN SIMPLE SHEAR CONNECTION( TWO ANGLES PL) W/ NO AXIAL FORCE ASD-89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</si>
</sst>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0.0000000"/>
    <numFmt numFmtId="208" formatCode="_-* #,##0.0_-;\-* #,##0.0_-;_-* &quot;-&quot;?_-;_-@_-"/>
    <numFmt numFmtId="209" formatCode="_-* #,##0.000_-;\-* #,##0.000_-;_-* &quot;-&quot;???_-;_-@_-"/>
    <numFmt numFmtId="210" formatCode="_-* #,##0_-;\-* #,##0_-;_-* &quot;-&quot;?_-;_-@_-"/>
    <numFmt numFmtId="211" formatCode="_(* #,##0.0_);_(* \(#,##0.0\);_(* &quot;-&quot;?_);_(@_)"/>
    <numFmt numFmtId="212" formatCode="0.00000000"/>
    <numFmt numFmtId="213" formatCode="_(* #,##0.000_);_(* \(#,##0.000\);_(* &quot;-&quot;???_);_(@_)"/>
    <numFmt numFmtId="214" formatCode="_-* #,##0.0000_-;\-* #,##0.0000_-;_-* &quot;-&quot;??_-;_-@_-"/>
    <numFmt numFmtId="215" formatCode="_-* #,##0.0000_-;\-* #,##0.0000_-;_-* &quot;-&quot;????_-;_-@_-"/>
  </numFmts>
  <fonts count="63">
    <font>
      <sz val="14"/>
      <name val="Cordia New"/>
      <family val="0"/>
    </font>
    <font>
      <sz val="10"/>
      <color indexed="8"/>
      <name val="Tahoma"/>
      <family val="0"/>
    </font>
    <font>
      <sz val="12"/>
      <name val="Tahoma"/>
      <family val="2"/>
    </font>
    <font>
      <sz val="8"/>
      <name val="Tahoma"/>
      <family val="2"/>
    </font>
    <font>
      <sz val="8"/>
      <name val="Cordia New"/>
      <family val="0"/>
    </font>
    <font>
      <b/>
      <u val="single"/>
      <sz val="14"/>
      <color indexed="10"/>
      <name val="Cordia Ne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12"/>
      <name val="Tahoma"/>
      <family val="2"/>
    </font>
    <font>
      <b/>
      <u val="single"/>
      <sz val="12"/>
      <name val="Tahoma"/>
      <family val="2"/>
    </font>
    <font>
      <sz val="14"/>
      <color indexed="12"/>
      <name val="Cordia New"/>
      <family val="0"/>
    </font>
    <font>
      <sz val="14"/>
      <color indexed="14"/>
      <name val="Cordia New"/>
      <family val="0"/>
    </font>
    <font>
      <b/>
      <sz val="26"/>
      <name val="Cordia New"/>
      <family val="2"/>
    </font>
    <font>
      <b/>
      <sz val="16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26"/>
      <name val="Cordia New"/>
      <family val="2"/>
    </font>
    <font>
      <sz val="24"/>
      <name val="Cordia New"/>
      <family val="2"/>
    </font>
    <font>
      <sz val="22"/>
      <color indexed="10"/>
      <name val="Tahoma"/>
      <family val="2"/>
    </font>
    <font>
      <sz val="22"/>
      <name val="Tahoma"/>
      <family val="2"/>
    </font>
    <font>
      <sz val="22"/>
      <color indexed="12"/>
      <name val="Tahoma"/>
      <family val="2"/>
    </font>
    <font>
      <b/>
      <u val="single"/>
      <sz val="26"/>
      <name val="Tahoma"/>
      <family val="2"/>
    </font>
    <font>
      <b/>
      <sz val="18"/>
      <color indexed="10"/>
      <name val="Tahoma"/>
      <family val="2"/>
    </font>
    <font>
      <b/>
      <sz val="22"/>
      <color indexed="10"/>
      <name val="Tahoma"/>
      <family val="2"/>
    </font>
    <font>
      <b/>
      <sz val="22"/>
      <name val="Tahoma"/>
      <family val="2"/>
    </font>
    <font>
      <b/>
      <sz val="36"/>
      <name val="Cordia New"/>
      <family val="2"/>
    </font>
    <font>
      <sz val="11"/>
      <color indexed="12"/>
      <name val="Tahoma"/>
      <family val="2"/>
    </font>
    <font>
      <sz val="18"/>
      <color indexed="12"/>
      <name val="Tahoma"/>
      <family val="2"/>
    </font>
    <font>
      <b/>
      <sz val="28"/>
      <name val="Cordia New"/>
      <family val="2"/>
    </font>
    <font>
      <vertAlign val="superscript"/>
      <sz val="22"/>
      <name val="Tahoma"/>
      <family val="2"/>
    </font>
    <font>
      <b/>
      <u val="single"/>
      <sz val="2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26"/>
      <name val="Tahoma"/>
      <family val="2"/>
    </font>
    <font>
      <sz val="26"/>
      <color indexed="10"/>
      <name val="Tahoma"/>
      <family val="2"/>
    </font>
    <font>
      <b/>
      <sz val="26"/>
      <name val="Tahoma"/>
      <family val="2"/>
    </font>
    <font>
      <vertAlign val="superscript"/>
      <sz val="26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4"/>
      <color indexed="10"/>
      <name val="Cordia New"/>
      <family val="0"/>
    </font>
    <font>
      <sz val="28"/>
      <name val="Cordia New"/>
      <family val="2"/>
    </font>
    <font>
      <b/>
      <sz val="26"/>
      <color indexed="10"/>
      <name val="Tahoma"/>
      <family val="2"/>
    </font>
    <font>
      <sz val="24"/>
      <color indexed="10"/>
      <name val="Tahoma"/>
      <family val="2"/>
    </font>
    <font>
      <sz val="24"/>
      <name val="Tahoma"/>
      <family val="2"/>
    </font>
    <font>
      <b/>
      <sz val="24"/>
      <color indexed="12"/>
      <name val="Tahoma"/>
      <family val="2"/>
    </font>
    <font>
      <sz val="24"/>
      <color indexed="12"/>
      <name val="Tahoma"/>
      <family val="2"/>
    </font>
    <font>
      <b/>
      <sz val="24"/>
      <color indexed="10"/>
      <name val="Tahoma"/>
      <family val="2"/>
    </font>
    <font>
      <sz val="28"/>
      <color indexed="10"/>
      <name val="Tahoma"/>
      <family val="2"/>
    </font>
    <font>
      <b/>
      <sz val="28"/>
      <color indexed="12"/>
      <name val="Tahoma"/>
      <family val="2"/>
    </font>
    <font>
      <sz val="28"/>
      <name val="Tahoma"/>
      <family val="2"/>
    </font>
    <font>
      <b/>
      <sz val="28"/>
      <color indexed="10"/>
      <name val="Tahoma"/>
      <family val="2"/>
    </font>
    <font>
      <sz val="28"/>
      <color indexed="12"/>
      <name val="Tahoma"/>
      <family val="2"/>
    </font>
    <font>
      <b/>
      <sz val="28"/>
      <name val="Tahoma"/>
      <family val="2"/>
    </font>
    <font>
      <u val="single"/>
      <sz val="28"/>
      <name val="Tahoma"/>
      <family val="2"/>
    </font>
    <font>
      <u val="single"/>
      <sz val="22"/>
      <name val="Tahoma"/>
      <family val="2"/>
    </font>
    <font>
      <sz val="18"/>
      <color indexed="10"/>
      <name val="Tahoma"/>
      <family val="2"/>
    </font>
    <font>
      <b/>
      <sz val="22"/>
      <color indexed="8"/>
      <name val="Tahoma"/>
      <family val="2"/>
    </font>
    <font>
      <b/>
      <sz val="18"/>
      <color indexed="8"/>
      <name val="Tahoma"/>
      <family val="2"/>
    </font>
    <font>
      <b/>
      <sz val="24"/>
      <color indexed="8"/>
      <name val="Tahoma"/>
      <family val="2"/>
    </font>
    <font>
      <sz val="10"/>
      <name val="Tahoma"/>
      <family val="0"/>
    </font>
    <font>
      <b/>
      <i/>
      <sz val="18"/>
      <color indexed="10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2" xfId="19" applyFont="1" applyFill="1" applyBorder="1" applyAlignment="1">
      <alignment horizontal="right" vertical="center"/>
      <protection/>
    </xf>
    <xf numFmtId="0" fontId="1" fillId="0" borderId="2" xfId="19" applyFont="1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43" fontId="2" fillId="0" borderId="0" xfId="15" applyFont="1" applyAlignment="1">
      <alignment horizontal="center" vertical="center"/>
    </xf>
    <xf numFmtId="0" fontId="1" fillId="3" borderId="2" xfId="19" applyFont="1" applyFill="1" applyBorder="1" applyAlignment="1">
      <alignment horizontal="right" vertical="center"/>
      <protection/>
    </xf>
    <xf numFmtId="0" fontId="1" fillId="3" borderId="2" xfId="19" applyFont="1" applyFill="1" applyBorder="1" applyAlignment="1">
      <alignment horizontal="left" vertical="center"/>
      <protection/>
    </xf>
    <xf numFmtId="2" fontId="1" fillId="3" borderId="2" xfId="19" applyNumberFormat="1" applyFont="1" applyFill="1" applyBorder="1" applyAlignment="1">
      <alignment horizontal="right" vertical="center"/>
      <protection/>
    </xf>
    <xf numFmtId="0" fontId="0" fillId="4" borderId="0" xfId="0" applyFill="1" applyAlignment="1">
      <alignment vertical="center"/>
    </xf>
    <xf numFmtId="203" fontId="1" fillId="3" borderId="2" xfId="19" applyNumberFormat="1" applyFont="1" applyFill="1" applyBorder="1" applyAlignment="1">
      <alignment horizontal="right" vertical="center"/>
      <protection/>
    </xf>
    <xf numFmtId="0" fontId="1" fillId="5" borderId="2" xfId="19" applyFont="1" applyFill="1" applyBorder="1" applyAlignment="1">
      <alignment horizontal="right" vertical="center"/>
      <protection/>
    </xf>
    <xf numFmtId="0" fontId="1" fillId="5" borderId="2" xfId="19" applyFont="1" applyFill="1" applyBorder="1" applyAlignment="1">
      <alignment horizontal="left" vertical="center"/>
      <protection/>
    </xf>
    <xf numFmtId="2" fontId="1" fillId="5" borderId="2" xfId="19" applyNumberFormat="1" applyFont="1" applyFill="1" applyBorder="1" applyAlignment="1">
      <alignment horizontal="right" vertical="center"/>
      <protection/>
    </xf>
    <xf numFmtId="0" fontId="0" fillId="6" borderId="0" xfId="0" applyFill="1" applyAlignment="1">
      <alignment vertical="center"/>
    </xf>
    <xf numFmtId="0" fontId="1" fillId="7" borderId="2" xfId="19" applyFont="1" applyFill="1" applyBorder="1" applyAlignment="1">
      <alignment horizontal="right" vertical="center"/>
      <protection/>
    </xf>
    <xf numFmtId="0" fontId="1" fillId="7" borderId="2" xfId="19" applyFont="1" applyFill="1" applyBorder="1" applyAlignment="1">
      <alignment horizontal="left" vertical="center"/>
      <protection/>
    </xf>
    <xf numFmtId="2" fontId="1" fillId="7" borderId="2" xfId="19" applyNumberFormat="1" applyFont="1" applyFill="1" applyBorder="1" applyAlignment="1">
      <alignment horizontal="right" vertical="center"/>
      <protection/>
    </xf>
    <xf numFmtId="0" fontId="0" fillId="8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5" applyFont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/>
      <protection/>
    </xf>
    <xf numFmtId="2" fontId="1" fillId="0" borderId="2" xfId="19" applyNumberFormat="1" applyFont="1" applyFill="1" applyBorder="1" applyAlignment="1">
      <alignment horizontal="right" vertical="center"/>
      <protection/>
    </xf>
    <xf numFmtId="0" fontId="1" fillId="0" borderId="2" xfId="19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9" borderId="1" xfId="19" applyFont="1" applyFill="1" applyBorder="1" applyAlignment="1">
      <alignment horizontal="center" vertical="center"/>
      <protection/>
    </xf>
    <xf numFmtId="0" fontId="0" fillId="9" borderId="0" xfId="0" applyFill="1" applyAlignment="1">
      <alignment vertical="center"/>
    </xf>
    <xf numFmtId="0" fontId="1" fillId="10" borderId="2" xfId="19" applyFont="1" applyFill="1" applyBorder="1" applyAlignment="1">
      <alignment horizontal="right" vertical="center"/>
      <protection/>
    </xf>
    <xf numFmtId="0" fontId="0" fillId="9" borderId="0" xfId="0" applyFill="1" applyAlignment="1">
      <alignment/>
    </xf>
    <xf numFmtId="2" fontId="1" fillId="10" borderId="2" xfId="1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59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15" applyFont="1" applyBorder="1" applyAlignment="1">
      <alignment horizontal="center" vertical="center"/>
    </xf>
    <xf numFmtId="206" fontId="9" fillId="0" borderId="0" xfId="15" applyNumberFormat="1" applyFont="1" applyBorder="1" applyAlignment="1">
      <alignment horizontal="left" vertical="center"/>
    </xf>
    <xf numFmtId="43" fontId="10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8" fillId="0" borderId="0" xfId="15" applyFont="1" applyBorder="1" applyAlignment="1">
      <alignment horizontal="center" vertical="center"/>
    </xf>
    <xf numFmtId="43" fontId="9" fillId="0" borderId="0" xfId="15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11" borderId="0" xfId="0" applyFont="1" applyFill="1" applyBorder="1" applyAlignment="1" quotePrefix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43" fontId="16" fillId="0" borderId="0" xfId="15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6" fontId="16" fillId="0" borderId="0" xfId="15" applyNumberFormat="1" applyFont="1" applyBorder="1" applyAlignment="1">
      <alignment horizontal="left" vertical="center"/>
    </xf>
    <xf numFmtId="43" fontId="16" fillId="0" borderId="0" xfId="1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>
      <alignment vertical="center"/>
    </xf>
    <xf numFmtId="205" fontId="16" fillId="0" borderId="0" xfId="15" applyNumberFormat="1" applyFont="1" applyBorder="1" applyAlignment="1">
      <alignment vertical="center"/>
    </xf>
    <xf numFmtId="0" fontId="17" fillId="12" borderId="0" xfId="0" applyFont="1" applyFill="1" applyBorder="1" applyAlignment="1" quotePrefix="1">
      <alignment vertical="center"/>
    </xf>
    <xf numFmtId="0" fontId="17" fillId="12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206" fontId="16" fillId="0" borderId="0" xfId="15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8" borderId="0" xfId="0" applyFont="1" applyFill="1" applyBorder="1" applyAlignment="1" quotePrefix="1">
      <alignment vertical="center"/>
    </xf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7" fillId="13" borderId="0" xfId="0" applyFont="1" applyFill="1" applyBorder="1" applyAlignment="1" quotePrefix="1">
      <alignment vertical="center"/>
    </xf>
    <xf numFmtId="0" fontId="17" fillId="13" borderId="0" xfId="0" applyFont="1" applyFill="1" applyBorder="1" applyAlignment="1">
      <alignment vertical="center"/>
    </xf>
    <xf numFmtId="43" fontId="16" fillId="13" borderId="0" xfId="15" applyFont="1" applyFill="1" applyBorder="1" applyAlignment="1">
      <alignment horizontal="center" vertical="center"/>
    </xf>
    <xf numFmtId="206" fontId="16" fillId="13" borderId="0" xfId="15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11" borderId="0" xfId="0" applyFont="1" applyFill="1" applyBorder="1" applyAlignment="1" quotePrefix="1">
      <alignment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6" fontId="20" fillId="0" borderId="0" xfId="15" applyNumberFormat="1" applyFont="1" applyBorder="1" applyAlignment="1">
      <alignment horizontal="right" vertical="center"/>
    </xf>
    <xf numFmtId="43" fontId="20" fillId="0" borderId="0" xfId="15" applyNumberFormat="1" applyFont="1" applyBorder="1" applyAlignment="1">
      <alignment horizontal="right" vertical="center"/>
    </xf>
    <xf numFmtId="43" fontId="21" fillId="0" borderId="0" xfId="15" applyFont="1" applyFill="1" applyBorder="1" applyAlignment="1">
      <alignment horizontal="right" vertical="center"/>
    </xf>
    <xf numFmtId="205" fontId="20" fillId="0" borderId="0" xfId="15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43" fontId="21" fillId="0" borderId="0" xfId="15" applyFont="1" applyBorder="1" applyAlignment="1">
      <alignment horizontal="right" vertical="center"/>
    </xf>
    <xf numFmtId="43" fontId="22" fillId="0" borderId="0" xfId="15" applyFont="1" applyBorder="1" applyAlignment="1">
      <alignment horizontal="right" vertical="center"/>
    </xf>
    <xf numFmtId="43" fontId="21" fillId="12" borderId="0" xfId="15" applyFont="1" applyFill="1" applyBorder="1" applyAlignment="1">
      <alignment horizontal="right" vertical="center"/>
    </xf>
    <xf numFmtId="0" fontId="21" fillId="12" borderId="0" xfId="0" applyFont="1" applyFill="1" applyBorder="1" applyAlignment="1">
      <alignment vertical="center"/>
    </xf>
    <xf numFmtId="43" fontId="22" fillId="0" borderId="0" xfId="1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right" vertical="center"/>
    </xf>
    <xf numFmtId="43" fontId="21" fillId="8" borderId="0" xfId="15" applyFont="1" applyFill="1" applyBorder="1" applyAlignment="1">
      <alignment horizontal="center" vertical="center"/>
    </xf>
    <xf numFmtId="43" fontId="22" fillId="0" borderId="0" xfId="15" applyFont="1" applyBorder="1" applyAlignment="1">
      <alignment horizontal="center" vertical="center"/>
    </xf>
    <xf numFmtId="43" fontId="21" fillId="13" borderId="0" xfId="15" applyFont="1" applyFill="1" applyBorder="1" applyAlignment="1">
      <alignment horizontal="center" vertical="center"/>
    </xf>
    <xf numFmtId="43" fontId="21" fillId="0" borderId="0" xfId="15" applyFont="1" applyBorder="1" applyAlignment="1">
      <alignment horizontal="center" vertical="center"/>
    </xf>
    <xf numFmtId="43" fontId="21" fillId="0" borderId="0" xfId="1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204" fontId="21" fillId="0" borderId="0" xfId="15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quotePrefix="1">
      <alignment vertical="center"/>
    </xf>
    <xf numFmtId="43" fontId="16" fillId="12" borderId="0" xfId="1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3" fontId="24" fillId="0" borderId="0" xfId="15" applyFont="1" applyBorder="1" applyAlignment="1">
      <alignment horizontal="center" vertical="center"/>
    </xf>
    <xf numFmtId="206" fontId="24" fillId="0" borderId="0" xfId="15" applyNumberFormat="1" applyFont="1" applyBorder="1" applyAlignment="1">
      <alignment horizontal="left" vertical="center"/>
    </xf>
    <xf numFmtId="43" fontId="16" fillId="0" borderId="0" xfId="15" applyFont="1" applyBorder="1" applyAlignment="1">
      <alignment horizontal="center" vertical="center"/>
    </xf>
    <xf numFmtId="206" fontId="16" fillId="0" borderId="0" xfId="15" applyNumberFormat="1" applyFont="1" applyBorder="1" applyAlignment="1">
      <alignment horizontal="left" vertical="center"/>
    </xf>
    <xf numFmtId="0" fontId="17" fillId="12" borderId="0" xfId="0" applyFont="1" applyFill="1" applyBorder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43" fontId="17" fillId="0" borderId="0" xfId="15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3" fontId="26" fillId="0" borderId="0" xfId="15" applyFont="1" applyBorder="1" applyAlignment="1">
      <alignment horizontal="right" vertical="center"/>
    </xf>
    <xf numFmtId="206" fontId="16" fillId="12" borderId="0" xfId="15" applyNumberFormat="1" applyFont="1" applyFill="1" applyBorder="1" applyAlignment="1">
      <alignment horizontal="left" vertical="center"/>
    </xf>
    <xf numFmtId="0" fontId="1" fillId="14" borderId="2" xfId="19" applyFont="1" applyFill="1" applyBorder="1" applyAlignment="1">
      <alignment horizontal="right" vertical="center"/>
      <protection/>
    </xf>
    <xf numFmtId="0" fontId="1" fillId="14" borderId="2" xfId="19" applyFont="1" applyFill="1" applyBorder="1" applyAlignment="1">
      <alignment horizontal="left" vertical="center"/>
      <protection/>
    </xf>
    <xf numFmtId="0" fontId="1" fillId="12" borderId="2" xfId="19" applyFont="1" applyFill="1" applyBorder="1" applyAlignment="1">
      <alignment horizontal="right" vertical="center"/>
      <protection/>
    </xf>
    <xf numFmtId="2" fontId="1" fillId="14" borderId="2" xfId="19" applyNumberFormat="1" applyFont="1" applyFill="1" applyBorder="1" applyAlignment="1">
      <alignment horizontal="right" vertical="center"/>
      <protection/>
    </xf>
    <xf numFmtId="0" fontId="0" fillId="12" borderId="0" xfId="0" applyFill="1" applyAlignment="1">
      <alignment vertical="center"/>
    </xf>
    <xf numFmtId="0" fontId="9" fillId="13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205" fontId="22" fillId="0" borderId="0" xfId="15" applyNumberFormat="1" applyFont="1" applyBorder="1" applyAlignment="1">
      <alignment horizontal="right" vertical="center"/>
    </xf>
    <xf numFmtId="43" fontId="21" fillId="0" borderId="0" xfId="15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13" borderId="0" xfId="0" applyFont="1" applyFill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25" fillId="0" borderId="0" xfId="15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quotePrefix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 quotePrefix="1">
      <alignment vertical="center"/>
    </xf>
    <xf numFmtId="0" fontId="34" fillId="12" borderId="0" xfId="0" applyFont="1" applyFill="1" applyBorder="1" applyAlignment="1" quotePrefix="1">
      <alignment vertical="center"/>
    </xf>
    <xf numFmtId="0" fontId="34" fillId="8" borderId="0" xfId="0" applyFont="1" applyFill="1" applyBorder="1" applyAlignment="1" quotePrefix="1">
      <alignment vertical="center"/>
    </xf>
    <xf numFmtId="0" fontId="34" fillId="13" borderId="0" xfId="0" applyFont="1" applyFill="1" applyBorder="1" applyAlignment="1" quotePrefix="1">
      <alignment vertical="center"/>
    </xf>
    <xf numFmtId="0" fontId="35" fillId="0" borderId="0" xfId="0" applyFont="1" applyBorder="1" applyAlignment="1">
      <alignment vertical="center"/>
    </xf>
    <xf numFmtId="43" fontId="35" fillId="0" borderId="0" xfId="15" applyFont="1" applyBorder="1" applyAlignment="1">
      <alignment horizontal="center" vertical="center"/>
    </xf>
    <xf numFmtId="206" fontId="35" fillId="0" borderId="0" xfId="15" applyNumberFormat="1" applyFont="1" applyBorder="1" applyAlignment="1">
      <alignment horizontal="left" vertical="center"/>
    </xf>
    <xf numFmtId="43" fontId="35" fillId="0" borderId="0" xfId="15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3" fontId="35" fillId="0" borderId="0" xfId="15" applyFont="1" applyFill="1" applyBorder="1" applyAlignment="1">
      <alignment horizontal="right" vertical="center"/>
    </xf>
    <xf numFmtId="205" fontId="35" fillId="0" borderId="0" xfId="15" applyNumberFormat="1" applyFont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5" fillId="12" borderId="0" xfId="0" applyFont="1" applyFill="1" applyBorder="1" applyAlignment="1">
      <alignment vertical="center"/>
    </xf>
    <xf numFmtId="206" fontId="35" fillId="0" borderId="0" xfId="15" applyNumberFormat="1" applyFont="1" applyFill="1" applyBorder="1" applyAlignment="1">
      <alignment horizontal="left" vertical="center"/>
    </xf>
    <xf numFmtId="0" fontId="35" fillId="8" borderId="0" xfId="0" applyFont="1" applyFill="1" applyBorder="1" applyAlignment="1">
      <alignment vertical="center"/>
    </xf>
    <xf numFmtId="43" fontId="35" fillId="13" borderId="0" xfId="15" applyFont="1" applyFill="1" applyBorder="1" applyAlignment="1">
      <alignment horizontal="center" vertical="center"/>
    </xf>
    <xf numFmtId="206" fontId="35" fillId="13" borderId="0" xfId="15" applyNumberFormat="1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24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Border="1" applyAlignment="1">
      <alignment vertical="center"/>
    </xf>
    <xf numFmtId="43" fontId="43" fillId="0" borderId="0" xfId="15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3" fontId="35" fillId="0" borderId="0" xfId="15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Fill="1" applyBorder="1" applyAlignment="1" quotePrefix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43" fontId="24" fillId="0" borderId="0" xfId="15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206" fontId="44" fillId="0" borderId="0" xfId="15" applyNumberFormat="1" applyFont="1" applyBorder="1" applyAlignment="1">
      <alignment horizontal="right" vertical="center"/>
    </xf>
    <xf numFmtId="43" fontId="44" fillId="0" borderId="0" xfId="15" applyNumberFormat="1" applyFont="1" applyBorder="1" applyAlignment="1">
      <alignment horizontal="right" vertical="center"/>
    </xf>
    <xf numFmtId="43" fontId="45" fillId="0" borderId="0" xfId="15" applyNumberFormat="1" applyFont="1" applyBorder="1" applyAlignment="1">
      <alignment horizontal="right" vertical="center"/>
    </xf>
    <xf numFmtId="43" fontId="45" fillId="0" borderId="0" xfId="15" applyFont="1" applyFill="1" applyBorder="1" applyAlignment="1">
      <alignment horizontal="right" vertical="center"/>
    </xf>
    <xf numFmtId="205" fontId="44" fillId="0" borderId="0" xfId="15" applyNumberFormat="1" applyFont="1" applyBorder="1" applyAlignment="1">
      <alignment horizontal="right" vertical="center"/>
    </xf>
    <xf numFmtId="205" fontId="46" fillId="0" borderId="0" xfId="15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43" fontId="45" fillId="0" borderId="0" xfId="15" applyFont="1" applyBorder="1" applyAlignment="1">
      <alignment horizontal="right" vertical="center"/>
    </xf>
    <xf numFmtId="43" fontId="47" fillId="0" borderId="0" xfId="15" applyFont="1" applyBorder="1" applyAlignment="1">
      <alignment horizontal="right" vertical="center"/>
    </xf>
    <xf numFmtId="43" fontId="48" fillId="0" borderId="0" xfId="15" applyFont="1" applyBorder="1" applyAlignment="1">
      <alignment horizontal="right" vertical="center"/>
    </xf>
    <xf numFmtId="43" fontId="45" fillId="12" borderId="0" xfId="15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vertical="center"/>
    </xf>
    <xf numFmtId="43" fontId="47" fillId="0" borderId="0" xfId="15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/>
    </xf>
    <xf numFmtId="43" fontId="45" fillId="8" borderId="0" xfId="15" applyFont="1" applyFill="1" applyBorder="1" applyAlignment="1">
      <alignment horizontal="center" vertical="center"/>
    </xf>
    <xf numFmtId="43" fontId="47" fillId="0" borderId="0" xfId="15" applyFont="1" applyBorder="1" applyAlignment="1">
      <alignment horizontal="center" vertical="center"/>
    </xf>
    <xf numFmtId="43" fontId="47" fillId="0" borderId="0" xfId="15" applyFont="1" applyFill="1" applyBorder="1" applyAlignment="1">
      <alignment horizontal="center" vertical="center"/>
    </xf>
    <xf numFmtId="43" fontId="45" fillId="13" borderId="0" xfId="15" applyFont="1" applyFill="1" applyBorder="1" applyAlignment="1">
      <alignment horizontal="center" vertical="center"/>
    </xf>
    <xf numFmtId="43" fontId="45" fillId="0" borderId="0" xfId="15" applyFont="1" applyBorder="1" applyAlignment="1">
      <alignment horizontal="center" vertical="center"/>
    </xf>
    <xf numFmtId="2" fontId="48" fillId="0" borderId="0" xfId="0" applyNumberFormat="1" applyFont="1" applyBorder="1" applyAlignment="1">
      <alignment vertical="center"/>
    </xf>
    <xf numFmtId="206" fontId="45" fillId="0" borderId="0" xfId="15" applyNumberFormat="1" applyFont="1" applyBorder="1" applyAlignment="1">
      <alignment horizontal="right" vertical="center"/>
    </xf>
    <xf numFmtId="205" fontId="45" fillId="0" borderId="0" xfId="15" applyNumberFormat="1" applyFont="1" applyBorder="1" applyAlignment="1">
      <alignment horizontal="right" vertical="center"/>
    </xf>
    <xf numFmtId="2" fontId="47" fillId="0" borderId="0" xfId="0" applyNumberFormat="1" applyFont="1" applyBorder="1" applyAlignment="1">
      <alignment vertical="center"/>
    </xf>
    <xf numFmtId="206" fontId="49" fillId="0" borderId="0" xfId="15" applyNumberFormat="1" applyFont="1" applyBorder="1" applyAlignment="1">
      <alignment horizontal="center" vertical="center"/>
    </xf>
    <xf numFmtId="43" fontId="49" fillId="0" borderId="0" xfId="15" applyNumberFormat="1" applyFont="1" applyBorder="1" applyAlignment="1">
      <alignment horizontal="center" vertical="center"/>
    </xf>
    <xf numFmtId="43" fontId="50" fillId="0" borderId="0" xfId="15" applyNumberFormat="1" applyFont="1" applyBorder="1" applyAlignment="1">
      <alignment horizontal="center" vertical="center"/>
    </xf>
    <xf numFmtId="43" fontId="51" fillId="0" borderId="0" xfId="15" applyFont="1" applyFill="1" applyBorder="1" applyAlignment="1">
      <alignment horizontal="right" vertical="center"/>
    </xf>
    <xf numFmtId="205" fontId="49" fillId="0" borderId="0" xfId="15" applyNumberFormat="1" applyFont="1" applyBorder="1" applyAlignment="1">
      <alignment horizontal="center" vertical="center"/>
    </xf>
    <xf numFmtId="205" fontId="50" fillId="0" borderId="0" xfId="15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3" fontId="51" fillId="0" borderId="0" xfId="15" applyFont="1" applyBorder="1" applyAlignment="1">
      <alignment horizontal="center" vertical="center"/>
    </xf>
    <xf numFmtId="43" fontId="51" fillId="0" borderId="0" xfId="15" applyFont="1" applyFill="1" applyBorder="1" applyAlignment="1">
      <alignment horizontal="center" vertical="center"/>
    </xf>
    <xf numFmtId="43" fontId="52" fillId="0" borderId="0" xfId="15" applyFont="1" applyBorder="1" applyAlignment="1">
      <alignment horizontal="right" vertical="center"/>
    </xf>
    <xf numFmtId="43" fontId="52" fillId="0" borderId="0" xfId="15" applyFont="1" applyBorder="1" applyAlignment="1">
      <alignment horizontal="center" vertical="center"/>
    </xf>
    <xf numFmtId="43" fontId="51" fillId="12" borderId="0" xfId="15" applyFont="1" applyFill="1" applyBorder="1" applyAlignment="1">
      <alignment horizontal="center" vertical="center"/>
    </xf>
    <xf numFmtId="43" fontId="53" fillId="0" borderId="0" xfId="15" applyFont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43" fontId="53" fillId="0" borderId="0" xfId="15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right" vertical="center"/>
    </xf>
    <xf numFmtId="43" fontId="51" fillId="8" borderId="0" xfId="15" applyFont="1" applyFill="1" applyBorder="1" applyAlignment="1">
      <alignment horizontal="center" vertical="center"/>
    </xf>
    <xf numFmtId="43" fontId="51" fillId="13" borderId="0" xfId="15" applyFont="1" applyFill="1" applyBorder="1" applyAlignment="1">
      <alignment horizontal="center" vertical="center"/>
    </xf>
    <xf numFmtId="43" fontId="51" fillId="0" borderId="0" xfId="15" applyFont="1" applyBorder="1" applyAlignment="1">
      <alignment vertical="center"/>
    </xf>
    <xf numFmtId="2" fontId="51" fillId="0" borderId="0" xfId="0" applyNumberFormat="1" applyFont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12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 quotePrefix="1">
      <alignment vertical="center"/>
    </xf>
    <xf numFmtId="0" fontId="54" fillId="8" borderId="0" xfId="0" applyFont="1" applyFill="1" applyBorder="1" applyAlignment="1">
      <alignment vertical="center"/>
    </xf>
    <xf numFmtId="0" fontId="54" fillId="1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12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1" fillId="0" borderId="0" xfId="0" applyFont="1" applyBorder="1" applyAlignment="1" quotePrefix="1">
      <alignment vertical="center"/>
    </xf>
    <xf numFmtId="0" fontId="26" fillId="8" borderId="0" xfId="0" applyFont="1" applyFill="1" applyBorder="1" applyAlignment="1">
      <alignment vertical="center"/>
    </xf>
    <xf numFmtId="0" fontId="26" fillId="13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12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 quotePrefix="1">
      <alignment vertical="center"/>
    </xf>
    <xf numFmtId="0" fontId="26" fillId="8" borderId="0" xfId="0" applyFont="1" applyFill="1" applyBorder="1" applyAlignment="1">
      <alignment vertical="center"/>
    </xf>
    <xf numFmtId="0" fontId="26" fillId="13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3" fontId="57" fillId="0" borderId="0" xfId="15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3" fontId="44" fillId="0" borderId="0" xfId="15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2" fontId="44" fillId="0" borderId="0" xfId="0" applyNumberFormat="1" applyFont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43" fontId="16" fillId="11" borderId="0" xfId="15" applyFont="1" applyFill="1" applyBorder="1" applyAlignment="1">
      <alignment horizontal="center" vertical="center"/>
    </xf>
    <xf numFmtId="205" fontId="16" fillId="11" borderId="0" xfId="15" applyNumberFormat="1" applyFont="1" applyFill="1" applyBorder="1" applyAlignment="1">
      <alignment vertical="center"/>
    </xf>
    <xf numFmtId="205" fontId="45" fillId="11" borderId="0" xfId="15" applyNumberFormat="1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43" fontId="16" fillId="8" borderId="0" xfId="15" applyFont="1" applyFill="1" applyBorder="1" applyAlignment="1">
      <alignment horizontal="center" vertical="center"/>
    </xf>
    <xf numFmtId="205" fontId="16" fillId="8" borderId="0" xfId="15" applyNumberFormat="1" applyFont="1" applyFill="1" applyBorder="1" applyAlignment="1">
      <alignment vertical="center"/>
    </xf>
    <xf numFmtId="205" fontId="45" fillId="8" borderId="0" xfId="15" applyNumberFormat="1" applyFont="1" applyFill="1" applyBorder="1" applyAlignment="1">
      <alignment horizontal="right" vertical="center"/>
    </xf>
    <xf numFmtId="0" fontId="58" fillId="8" borderId="0" xfId="0" applyFont="1" applyFill="1" applyBorder="1" applyAlignment="1">
      <alignment vertical="center"/>
    </xf>
    <xf numFmtId="43" fontId="59" fillId="8" borderId="0" xfId="15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43" fontId="60" fillId="8" borderId="0" xfId="15" applyFont="1" applyFill="1" applyBorder="1" applyAlignment="1">
      <alignment horizontal="right" vertical="center"/>
    </xf>
    <xf numFmtId="0" fontId="61" fillId="3" borderId="2" xfId="19" applyFont="1" applyFill="1" applyBorder="1" applyAlignment="1">
      <alignment horizontal="right" vertical="center"/>
      <protection/>
    </xf>
    <xf numFmtId="0" fontId="61" fillId="3" borderId="2" xfId="19" applyFont="1" applyFill="1" applyBorder="1" applyAlignment="1">
      <alignment horizontal="left" vertical="center"/>
      <protection/>
    </xf>
    <xf numFmtId="0" fontId="61" fillId="4" borderId="2" xfId="19" applyFont="1" applyFill="1" applyBorder="1" applyAlignment="1">
      <alignment horizontal="right" vertical="center"/>
      <protection/>
    </xf>
    <xf numFmtId="2" fontId="61" fillId="3" borderId="2" xfId="19" applyNumberFormat="1" applyFont="1" applyFill="1" applyBorder="1" applyAlignment="1">
      <alignment horizontal="right" vertical="center"/>
      <protection/>
    </xf>
    <xf numFmtId="0" fontId="0" fillId="4" borderId="0" xfId="0" applyFont="1" applyFill="1" applyAlignment="1">
      <alignment vertical="center"/>
    </xf>
    <xf numFmtId="0" fontId="61" fillId="14" borderId="2" xfId="19" applyFont="1" applyFill="1" applyBorder="1" applyAlignment="1">
      <alignment horizontal="right" vertical="center"/>
      <protection/>
    </xf>
    <xf numFmtId="0" fontId="61" fillId="14" borderId="2" xfId="19" applyFont="1" applyFill="1" applyBorder="1" applyAlignment="1">
      <alignment horizontal="left" vertical="center"/>
      <protection/>
    </xf>
    <xf numFmtId="202" fontId="61" fillId="14" borderId="2" xfId="19" applyNumberFormat="1" applyFont="1" applyFill="1" applyBorder="1" applyAlignment="1">
      <alignment horizontal="right" vertical="center"/>
      <protection/>
    </xf>
    <xf numFmtId="202" fontId="61" fillId="12" borderId="2" xfId="19" applyNumberFormat="1" applyFont="1" applyFill="1" applyBorder="1" applyAlignment="1">
      <alignment horizontal="right" vertical="center"/>
      <protection/>
    </xf>
    <xf numFmtId="2" fontId="61" fillId="14" borderId="2" xfId="19" applyNumberFormat="1" applyFont="1" applyFill="1" applyBorder="1" applyAlignment="1">
      <alignment horizontal="right" vertical="center"/>
      <protection/>
    </xf>
    <xf numFmtId="0" fontId="0" fillId="12" borderId="0" xfId="0" applyFont="1" applyFill="1" applyAlignment="1">
      <alignment vertical="center"/>
    </xf>
    <xf numFmtId="0" fontId="17" fillId="11" borderId="0" xfId="0" applyFont="1" applyFill="1" applyBorder="1" applyAlignment="1" applyProtection="1">
      <alignment horizontal="center" vertical="center"/>
      <protection locked="0"/>
    </xf>
    <xf numFmtId="206" fontId="16" fillId="0" borderId="0" xfId="15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1" fillId="5" borderId="2" xfId="19" applyFont="1" applyFill="1" applyBorder="1" applyAlignment="1">
      <alignment horizontal="right" vertical="center"/>
      <protection/>
    </xf>
    <xf numFmtId="0" fontId="61" fillId="5" borderId="2" xfId="19" applyFont="1" applyFill="1" applyBorder="1" applyAlignment="1">
      <alignment horizontal="left" vertical="center"/>
      <protection/>
    </xf>
    <xf numFmtId="0" fontId="61" fillId="6" borderId="2" xfId="19" applyFont="1" applyFill="1" applyBorder="1" applyAlignment="1">
      <alignment horizontal="right" vertical="center"/>
      <protection/>
    </xf>
    <xf numFmtId="2" fontId="61" fillId="5" borderId="2" xfId="19" applyNumberFormat="1" applyFont="1" applyFill="1" applyBorder="1" applyAlignment="1">
      <alignment horizontal="right" vertical="center"/>
      <protection/>
    </xf>
    <xf numFmtId="0" fontId="0" fillId="6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1143000</xdr:colOff>
      <xdr:row>0</xdr:row>
      <xdr:rowOff>0</xdr:rowOff>
    </xdr:from>
    <xdr:to>
      <xdr:col>15</xdr:col>
      <xdr:colOff>990600</xdr:colOff>
      <xdr:row>17</xdr:row>
      <xdr:rowOff>285750</xdr:rowOff>
    </xdr:to>
    <xdr:grpSp>
      <xdr:nvGrpSpPr>
        <xdr:cNvPr id="1" name="Group 7"/>
        <xdr:cNvGrpSpPr>
          <a:grpSpLocks/>
        </xdr:cNvGrpSpPr>
      </xdr:nvGrpSpPr>
      <xdr:grpSpPr>
        <a:xfrm>
          <a:off x="29422725" y="0"/>
          <a:ext cx="7219950" cy="7467600"/>
          <a:chOff x="1946" y="170"/>
          <a:chExt cx="573" cy="604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2190" y="390"/>
            <a:ext cx="197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latin typeface="Cordia New"/>
                <a:ea typeface="Cordia New"/>
                <a:cs typeface="Cordia New"/>
              </a:rPr>
              <a:t>1 C SHAPE MEMBER</a:t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 flipH="1">
            <a:off x="1948" y="520"/>
            <a:ext cx="48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>
          <a:xfrm>
            <a:off x="1946" y="170"/>
            <a:ext cx="573" cy="604"/>
            <a:chOff x="1946" y="170"/>
            <a:chExt cx="573" cy="604"/>
          </a:xfrm>
          <a:solidFill>
            <a:srgbClr val="FFFFFF"/>
          </a:solidFill>
        </xdr:grpSpPr>
        <xdr:grpSp>
          <xdr:nvGrpSpPr>
            <xdr:cNvPr id="5" name="Group 11"/>
            <xdr:cNvGrpSpPr>
              <a:grpSpLocks/>
            </xdr:cNvGrpSpPr>
          </xdr:nvGrpSpPr>
          <xdr:grpSpPr>
            <a:xfrm>
              <a:off x="1946" y="170"/>
              <a:ext cx="573" cy="604"/>
              <a:chOff x="3206" y="247"/>
              <a:chExt cx="674" cy="680"/>
            </a:xfrm>
            <a:solidFill>
              <a:srgbClr val="FFFFFF"/>
            </a:solidFill>
          </xdr:grpSpPr>
          <xdr:sp>
            <xdr:nvSpPr>
              <xdr:cNvPr id="6" name="Line 12"/>
              <xdr:cNvSpPr>
                <a:spLocks/>
              </xdr:cNvSpPr>
            </xdr:nvSpPr>
            <xdr:spPr>
              <a:xfrm>
                <a:off x="3432" y="493"/>
                <a:ext cx="182" cy="19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grpSp>
            <xdr:nvGrpSpPr>
              <xdr:cNvPr id="7" name="Group 13"/>
              <xdr:cNvGrpSpPr>
                <a:grpSpLocks/>
              </xdr:cNvGrpSpPr>
            </xdr:nvGrpSpPr>
            <xdr:grpSpPr>
              <a:xfrm>
                <a:off x="3206" y="247"/>
                <a:ext cx="674" cy="680"/>
                <a:chOff x="3152" y="247"/>
                <a:chExt cx="674" cy="680"/>
              </a:xfrm>
              <a:solidFill>
                <a:srgbClr val="FFFFFF"/>
              </a:solidFill>
            </xdr:grpSpPr>
            <xdr:grpSp>
              <xdr:nvGrpSpPr>
                <xdr:cNvPr id="8" name="Group 14"/>
                <xdr:cNvGrpSpPr>
                  <a:grpSpLocks/>
                </xdr:cNvGrpSpPr>
              </xdr:nvGrpSpPr>
              <xdr:grpSpPr>
                <a:xfrm>
                  <a:off x="3192" y="247"/>
                  <a:ext cx="634" cy="564"/>
                  <a:chOff x="3192" y="247"/>
                  <a:chExt cx="634" cy="564"/>
                </a:xfrm>
                <a:solidFill>
                  <a:srgbClr val="FFFFFF"/>
                </a:solidFill>
              </xdr:grpSpPr>
              <xdr:grpSp>
                <xdr:nvGrpSpPr>
                  <xdr:cNvPr id="9" name="Group 15"/>
                  <xdr:cNvGrpSpPr>
                    <a:grpSpLocks/>
                  </xdr:cNvGrpSpPr>
                </xdr:nvGrpSpPr>
                <xdr:grpSpPr>
                  <a:xfrm>
                    <a:off x="3192" y="347"/>
                    <a:ext cx="572" cy="464"/>
                    <a:chOff x="3260" y="837"/>
                    <a:chExt cx="570" cy="488"/>
                  </a:xfrm>
                  <a:solidFill>
                    <a:srgbClr val="FFFFFF"/>
                  </a:solidFill>
                </xdr:grpSpPr>
                <xdr:grpSp>
                  <xdr:nvGrpSpPr>
                    <xdr:cNvPr id="10" name="Group 16"/>
                    <xdr:cNvGrpSpPr>
                      <a:grpSpLocks/>
                    </xdr:cNvGrpSpPr>
                  </xdr:nvGrpSpPr>
                  <xdr:grpSpPr>
                    <a:xfrm>
                      <a:off x="3276" y="837"/>
                      <a:ext cx="554" cy="486"/>
                      <a:chOff x="3504" y="723"/>
                      <a:chExt cx="554" cy="48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1" name="Line 17"/>
                      <xdr:cNvSpPr>
                        <a:spLocks/>
                      </xdr:cNvSpPr>
                    </xdr:nvSpPr>
                    <xdr:spPr>
                      <a:xfrm>
                        <a:off x="3504" y="1033"/>
                        <a:ext cx="148" cy="176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" name="Line 18"/>
                      <xdr:cNvSpPr>
                        <a:spLocks/>
                      </xdr:cNvSpPr>
                    </xdr:nvSpPr>
                    <xdr:spPr>
                      <a:xfrm flipH="1">
                        <a:off x="3948" y="805"/>
                        <a:ext cx="8" cy="4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13" name="Group 19"/>
                      <xdr:cNvGrpSpPr>
                        <a:grpSpLocks/>
                      </xdr:cNvGrpSpPr>
                    </xdr:nvGrpSpPr>
                    <xdr:grpSpPr>
                      <a:xfrm>
                        <a:off x="3506" y="723"/>
                        <a:ext cx="552" cy="486"/>
                        <a:chOff x="3506" y="723"/>
                        <a:chExt cx="552" cy="48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4" name="Line 20"/>
                        <xdr:cNvSpPr>
                          <a:spLocks/>
                        </xdr:cNvSpPr>
                      </xdr:nvSpPr>
                      <xdr:spPr>
                        <a:xfrm flipH="1">
                          <a:off x="3506" y="737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5" name="Line 21"/>
                        <xdr:cNvSpPr>
                          <a:spLocks/>
                        </xdr:cNvSpPr>
                      </xdr:nvSpPr>
                      <xdr:spPr>
                        <a:xfrm flipH="1">
                          <a:off x="3652" y="913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Line 22"/>
                        <xdr:cNvSpPr>
                          <a:spLocks/>
                        </xdr:cNvSpPr>
                      </xdr:nvSpPr>
                      <xdr:spPr>
                        <a:xfrm flipH="1">
                          <a:off x="3514" y="74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7" name="Line 23"/>
                        <xdr:cNvSpPr>
                          <a:spLocks/>
                        </xdr:cNvSpPr>
                      </xdr:nvSpPr>
                      <xdr:spPr>
                        <a:xfrm flipH="1">
                          <a:off x="3644" y="90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8" name="Line 24"/>
                        <xdr:cNvSpPr>
                          <a:spLocks/>
                        </xdr:cNvSpPr>
                      </xdr:nvSpPr>
                      <xdr:spPr>
                        <a:xfrm>
                          <a:off x="3876" y="72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9" name="Line 25"/>
                        <xdr:cNvSpPr>
                          <a:spLocks/>
                        </xdr:cNvSpPr>
                      </xdr:nvSpPr>
                      <xdr:spPr>
                        <a:xfrm flipV="1">
                          <a:off x="3946" y="797"/>
                          <a:ext cx="50" cy="5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0" name="Line 26"/>
                        <xdr:cNvSpPr>
                          <a:spLocks/>
                        </xdr:cNvSpPr>
                      </xdr:nvSpPr>
                      <xdr:spPr>
                        <a:xfrm flipH="1">
                          <a:off x="3980" y="795"/>
                          <a:ext cx="18" cy="6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1" name="Line 27"/>
                        <xdr:cNvSpPr>
                          <a:spLocks/>
                        </xdr:cNvSpPr>
                      </xdr:nvSpPr>
                      <xdr:spPr>
                        <a:xfrm>
                          <a:off x="3980" y="86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sp>
                  <xdr:nvSpPr>
                    <xdr:cNvPr id="22" name="Line 28"/>
                    <xdr:cNvSpPr>
                      <a:spLocks/>
                    </xdr:cNvSpPr>
                  </xdr:nvSpPr>
                  <xdr:spPr>
                    <a:xfrm>
                      <a:off x="3296" y="107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Line 29"/>
                    <xdr:cNvSpPr>
                      <a:spLocks/>
                    </xdr:cNvSpPr>
                  </xdr:nvSpPr>
                  <xdr:spPr>
                    <a:xfrm>
                      <a:off x="3376" y="1009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30"/>
                    <xdr:cNvSpPr>
                      <a:spLocks/>
                    </xdr:cNvSpPr>
                  </xdr:nvSpPr>
                  <xdr:spPr>
                    <a:xfrm>
                      <a:off x="3426" y="96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31"/>
                    <xdr:cNvSpPr>
                      <a:spLocks/>
                    </xdr:cNvSpPr>
                  </xdr:nvSpPr>
                  <xdr:spPr>
                    <a:xfrm flipV="1">
                      <a:off x="3260" y="967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32"/>
                    <xdr:cNvSpPr>
                      <a:spLocks/>
                    </xdr:cNvSpPr>
                  </xdr:nvSpPr>
                  <xdr:spPr>
                    <a:xfrm flipV="1">
                      <a:off x="3330" y="1053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Oval 33"/>
                    <xdr:cNvSpPr>
                      <a:spLocks/>
                    </xdr:cNvSpPr>
                  </xdr:nvSpPr>
                  <xdr:spPr>
                    <a:xfrm>
                      <a:off x="3348" y="114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Oval 34"/>
                    <xdr:cNvSpPr>
                      <a:spLocks/>
                    </xdr:cNvSpPr>
                  </xdr:nvSpPr>
                  <xdr:spPr>
                    <a:xfrm>
                      <a:off x="3420" y="122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Oval 35"/>
                    <xdr:cNvSpPr>
                      <a:spLocks/>
                    </xdr:cNvSpPr>
                  </xdr:nvSpPr>
                  <xdr:spPr>
                    <a:xfrm>
                      <a:off x="3502" y="1157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Oval 36"/>
                    <xdr:cNvSpPr>
                      <a:spLocks/>
                    </xdr:cNvSpPr>
                  </xdr:nvSpPr>
                  <xdr:spPr>
                    <a:xfrm>
                      <a:off x="3432" y="1075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37"/>
                  <xdr:cNvGrpSpPr>
                    <a:grpSpLocks/>
                  </xdr:cNvGrpSpPr>
                </xdr:nvGrpSpPr>
                <xdr:grpSpPr>
                  <a:xfrm>
                    <a:off x="3688" y="247"/>
                    <a:ext cx="138" cy="146"/>
                    <a:chOff x="3688" y="247"/>
                    <a:chExt cx="138" cy="146"/>
                  </a:xfrm>
                  <a:solidFill>
                    <a:srgbClr val="FFFFFF"/>
                  </a:solidFill>
                </xdr:grpSpPr>
                <xdr:sp>
                  <xdr:nvSpPr>
                    <xdr:cNvPr id="32" name="Line 38"/>
                    <xdr:cNvSpPr>
                      <a:spLocks/>
                    </xdr:cNvSpPr>
                  </xdr:nvSpPr>
                  <xdr:spPr>
                    <a:xfrm flipV="1">
                      <a:off x="3688" y="305"/>
                      <a:ext cx="112" cy="88"/>
                    </a:xfrm>
                    <a:prstGeom prst="line">
                      <a:avLst/>
                    </a:prstGeom>
                    <a:noFill/>
                    <a:ln w="76200" cmpd="sng">
                      <a:solidFill>
                        <a:srgbClr val="000000"/>
                      </a:solidFill>
                      <a:headEnd type="triangl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TextBox 39"/>
                    <xdr:cNvSpPr txBox="1">
                      <a:spLocks noChangeArrowheads="1"/>
                    </xdr:cNvSpPr>
                  </xdr:nvSpPr>
                  <xdr:spPr>
                    <a:xfrm>
                      <a:off x="3774" y="247"/>
                      <a:ext cx="52" cy="6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3600" b="1" i="0" u="none" baseline="0">
                          <a:latin typeface="Cordia New"/>
                          <a:ea typeface="Cordia New"/>
                          <a:cs typeface="Cordia New"/>
                        </a:rPr>
                        <a:t>C</a:t>
                      </a:r>
                    </a:p>
                  </xdr:txBody>
                </xdr:sp>
              </xdr:grpSp>
            </xdr:grpSp>
            <xdr:sp>
              <xdr:nvSpPr>
                <xdr:cNvPr id="34" name="Line 40"/>
                <xdr:cNvSpPr>
                  <a:spLocks/>
                </xdr:cNvSpPr>
              </xdr:nvSpPr>
              <xdr:spPr>
                <a:xfrm>
                  <a:off x="3154" y="481"/>
                  <a:ext cx="0" cy="44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5" name="Line 41"/>
                <xdr:cNvSpPr>
                  <a:spLocks/>
                </xdr:cNvSpPr>
              </xdr:nvSpPr>
              <xdr:spPr>
                <a:xfrm>
                  <a:off x="3152" y="925"/>
                  <a:ext cx="43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6" name="Line 42"/>
                <xdr:cNvSpPr>
                  <a:spLocks/>
                </xdr:cNvSpPr>
              </xdr:nvSpPr>
              <xdr:spPr>
                <a:xfrm flipH="1">
                  <a:off x="3432" y="683"/>
                  <a:ext cx="126" cy="24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7" name="Line 43"/>
                <xdr:cNvSpPr>
                  <a:spLocks/>
                </xdr:cNvSpPr>
              </xdr:nvSpPr>
              <xdr:spPr>
                <a:xfrm flipH="1">
                  <a:off x="3154" y="489"/>
                  <a:ext cx="220" cy="1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</xdr:grpSp>
        </xdr:grpSp>
        <xdr:sp>
          <xdr:nvSpPr>
            <xdr:cNvPr id="38" name="Line 44"/>
            <xdr:cNvSpPr>
              <a:spLocks/>
            </xdr:cNvSpPr>
          </xdr:nvSpPr>
          <xdr:spPr>
            <a:xfrm flipH="1">
              <a:off x="2166" y="540"/>
              <a:ext cx="37" cy="89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9" name="Line 45"/>
            <xdr:cNvSpPr>
              <a:spLocks/>
            </xdr:cNvSpPr>
          </xdr:nvSpPr>
          <xdr:spPr>
            <a:xfrm flipH="1">
              <a:off x="2038" y="468"/>
              <a:ext cx="100" cy="2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Line 46"/>
            <xdr:cNvSpPr>
              <a:spLocks/>
            </xdr:cNvSpPr>
          </xdr:nvSpPr>
          <xdr:spPr>
            <a:xfrm>
              <a:off x="1952" y="554"/>
              <a:ext cx="172" cy="1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1" name="TextBox 47"/>
            <xdr:cNvSpPr txBox="1">
              <a:spLocks noChangeArrowheads="1"/>
            </xdr:cNvSpPr>
          </xdr:nvSpPr>
          <xdr:spPr>
            <a:xfrm>
              <a:off x="1961" y="472"/>
              <a:ext cx="48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3600" b="1" i="0" u="none" baseline="0">
                  <a:latin typeface="Cordia New"/>
                  <a:ea typeface="Cordia New"/>
                  <a:cs typeface="Cordia New"/>
                </a:rPr>
                <a:t>Lfg</a:t>
              </a:r>
            </a:p>
          </xdr:txBody>
        </xdr:sp>
        <xdr:sp>
          <xdr:nvSpPr>
            <xdr:cNvPr id="42" name="Line 48"/>
            <xdr:cNvSpPr>
              <a:spLocks/>
            </xdr:cNvSpPr>
          </xdr:nvSpPr>
          <xdr:spPr>
            <a:xfrm>
              <a:off x="2038" y="496"/>
              <a:ext cx="116" cy="1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1143000</xdr:colOff>
      <xdr:row>0</xdr:row>
      <xdr:rowOff>0</xdr:rowOff>
    </xdr:from>
    <xdr:to>
      <xdr:col>15</xdr:col>
      <xdr:colOff>990600</xdr:colOff>
      <xdr:row>17</xdr:row>
      <xdr:rowOff>285750</xdr:rowOff>
    </xdr:to>
    <xdr:grpSp>
      <xdr:nvGrpSpPr>
        <xdr:cNvPr id="1" name="Group 7"/>
        <xdr:cNvGrpSpPr>
          <a:grpSpLocks/>
        </xdr:cNvGrpSpPr>
      </xdr:nvGrpSpPr>
      <xdr:grpSpPr>
        <a:xfrm>
          <a:off x="29422725" y="0"/>
          <a:ext cx="7219950" cy="7467600"/>
          <a:chOff x="1946" y="170"/>
          <a:chExt cx="573" cy="604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2190" y="397"/>
            <a:ext cx="195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latin typeface="Cordia New"/>
                <a:ea typeface="Cordia New"/>
                <a:cs typeface="Cordia New"/>
              </a:rPr>
              <a:t>1 C SHAPE MEMBER</a:t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 flipH="1">
            <a:off x="1948" y="520"/>
            <a:ext cx="48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>
          <a:xfrm>
            <a:off x="1946" y="170"/>
            <a:ext cx="573" cy="604"/>
            <a:chOff x="1946" y="170"/>
            <a:chExt cx="573" cy="604"/>
          </a:xfrm>
          <a:solidFill>
            <a:srgbClr val="FFFFFF"/>
          </a:solidFill>
        </xdr:grpSpPr>
        <xdr:grpSp>
          <xdr:nvGrpSpPr>
            <xdr:cNvPr id="5" name="Group 11"/>
            <xdr:cNvGrpSpPr>
              <a:grpSpLocks/>
            </xdr:cNvGrpSpPr>
          </xdr:nvGrpSpPr>
          <xdr:grpSpPr>
            <a:xfrm>
              <a:off x="1946" y="170"/>
              <a:ext cx="573" cy="604"/>
              <a:chOff x="3206" y="247"/>
              <a:chExt cx="674" cy="680"/>
            </a:xfrm>
            <a:solidFill>
              <a:srgbClr val="FFFFFF"/>
            </a:solidFill>
          </xdr:grpSpPr>
          <xdr:sp>
            <xdr:nvSpPr>
              <xdr:cNvPr id="6" name="Line 12"/>
              <xdr:cNvSpPr>
                <a:spLocks/>
              </xdr:cNvSpPr>
            </xdr:nvSpPr>
            <xdr:spPr>
              <a:xfrm>
                <a:off x="3432" y="493"/>
                <a:ext cx="182" cy="19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grpSp>
            <xdr:nvGrpSpPr>
              <xdr:cNvPr id="7" name="Group 13"/>
              <xdr:cNvGrpSpPr>
                <a:grpSpLocks/>
              </xdr:cNvGrpSpPr>
            </xdr:nvGrpSpPr>
            <xdr:grpSpPr>
              <a:xfrm>
                <a:off x="3206" y="247"/>
                <a:ext cx="674" cy="680"/>
                <a:chOff x="3152" y="247"/>
                <a:chExt cx="674" cy="680"/>
              </a:xfrm>
              <a:solidFill>
                <a:srgbClr val="FFFFFF"/>
              </a:solidFill>
            </xdr:grpSpPr>
            <xdr:grpSp>
              <xdr:nvGrpSpPr>
                <xdr:cNvPr id="8" name="Group 14"/>
                <xdr:cNvGrpSpPr>
                  <a:grpSpLocks/>
                </xdr:cNvGrpSpPr>
              </xdr:nvGrpSpPr>
              <xdr:grpSpPr>
                <a:xfrm>
                  <a:off x="3192" y="247"/>
                  <a:ext cx="634" cy="564"/>
                  <a:chOff x="3192" y="247"/>
                  <a:chExt cx="634" cy="564"/>
                </a:xfrm>
                <a:solidFill>
                  <a:srgbClr val="FFFFFF"/>
                </a:solidFill>
              </xdr:grpSpPr>
              <xdr:grpSp>
                <xdr:nvGrpSpPr>
                  <xdr:cNvPr id="9" name="Group 15"/>
                  <xdr:cNvGrpSpPr>
                    <a:grpSpLocks/>
                  </xdr:cNvGrpSpPr>
                </xdr:nvGrpSpPr>
                <xdr:grpSpPr>
                  <a:xfrm>
                    <a:off x="3192" y="347"/>
                    <a:ext cx="572" cy="464"/>
                    <a:chOff x="3260" y="837"/>
                    <a:chExt cx="570" cy="488"/>
                  </a:xfrm>
                  <a:solidFill>
                    <a:srgbClr val="FFFFFF"/>
                  </a:solidFill>
                </xdr:grpSpPr>
                <xdr:grpSp>
                  <xdr:nvGrpSpPr>
                    <xdr:cNvPr id="10" name="Group 16"/>
                    <xdr:cNvGrpSpPr>
                      <a:grpSpLocks/>
                    </xdr:cNvGrpSpPr>
                  </xdr:nvGrpSpPr>
                  <xdr:grpSpPr>
                    <a:xfrm>
                      <a:off x="3276" y="837"/>
                      <a:ext cx="554" cy="486"/>
                      <a:chOff x="3504" y="723"/>
                      <a:chExt cx="554" cy="48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1" name="Line 17"/>
                      <xdr:cNvSpPr>
                        <a:spLocks/>
                      </xdr:cNvSpPr>
                    </xdr:nvSpPr>
                    <xdr:spPr>
                      <a:xfrm>
                        <a:off x="3504" y="1033"/>
                        <a:ext cx="148" cy="176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" name="Line 18"/>
                      <xdr:cNvSpPr>
                        <a:spLocks/>
                      </xdr:cNvSpPr>
                    </xdr:nvSpPr>
                    <xdr:spPr>
                      <a:xfrm flipH="1">
                        <a:off x="3948" y="805"/>
                        <a:ext cx="8" cy="4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13" name="Group 19"/>
                      <xdr:cNvGrpSpPr>
                        <a:grpSpLocks/>
                      </xdr:cNvGrpSpPr>
                    </xdr:nvGrpSpPr>
                    <xdr:grpSpPr>
                      <a:xfrm>
                        <a:off x="3506" y="723"/>
                        <a:ext cx="552" cy="486"/>
                        <a:chOff x="3506" y="723"/>
                        <a:chExt cx="552" cy="48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4" name="Line 20"/>
                        <xdr:cNvSpPr>
                          <a:spLocks/>
                        </xdr:cNvSpPr>
                      </xdr:nvSpPr>
                      <xdr:spPr>
                        <a:xfrm flipH="1">
                          <a:off x="3506" y="737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5" name="Line 21"/>
                        <xdr:cNvSpPr>
                          <a:spLocks/>
                        </xdr:cNvSpPr>
                      </xdr:nvSpPr>
                      <xdr:spPr>
                        <a:xfrm flipH="1">
                          <a:off x="3652" y="913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Line 22"/>
                        <xdr:cNvSpPr>
                          <a:spLocks/>
                        </xdr:cNvSpPr>
                      </xdr:nvSpPr>
                      <xdr:spPr>
                        <a:xfrm flipH="1">
                          <a:off x="3514" y="74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7" name="Line 23"/>
                        <xdr:cNvSpPr>
                          <a:spLocks/>
                        </xdr:cNvSpPr>
                      </xdr:nvSpPr>
                      <xdr:spPr>
                        <a:xfrm flipH="1">
                          <a:off x="3644" y="90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8" name="Line 24"/>
                        <xdr:cNvSpPr>
                          <a:spLocks/>
                        </xdr:cNvSpPr>
                      </xdr:nvSpPr>
                      <xdr:spPr>
                        <a:xfrm>
                          <a:off x="3876" y="72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9" name="Line 25"/>
                        <xdr:cNvSpPr>
                          <a:spLocks/>
                        </xdr:cNvSpPr>
                      </xdr:nvSpPr>
                      <xdr:spPr>
                        <a:xfrm flipV="1">
                          <a:off x="3946" y="797"/>
                          <a:ext cx="50" cy="5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0" name="Line 26"/>
                        <xdr:cNvSpPr>
                          <a:spLocks/>
                        </xdr:cNvSpPr>
                      </xdr:nvSpPr>
                      <xdr:spPr>
                        <a:xfrm flipH="1">
                          <a:off x="3980" y="795"/>
                          <a:ext cx="18" cy="6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1" name="Line 27"/>
                        <xdr:cNvSpPr>
                          <a:spLocks/>
                        </xdr:cNvSpPr>
                      </xdr:nvSpPr>
                      <xdr:spPr>
                        <a:xfrm>
                          <a:off x="3980" y="86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sp>
                  <xdr:nvSpPr>
                    <xdr:cNvPr id="22" name="Line 28"/>
                    <xdr:cNvSpPr>
                      <a:spLocks/>
                    </xdr:cNvSpPr>
                  </xdr:nvSpPr>
                  <xdr:spPr>
                    <a:xfrm>
                      <a:off x="3296" y="107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Line 29"/>
                    <xdr:cNvSpPr>
                      <a:spLocks/>
                    </xdr:cNvSpPr>
                  </xdr:nvSpPr>
                  <xdr:spPr>
                    <a:xfrm>
                      <a:off x="3376" y="1009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30"/>
                    <xdr:cNvSpPr>
                      <a:spLocks/>
                    </xdr:cNvSpPr>
                  </xdr:nvSpPr>
                  <xdr:spPr>
                    <a:xfrm>
                      <a:off x="3426" y="96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31"/>
                    <xdr:cNvSpPr>
                      <a:spLocks/>
                    </xdr:cNvSpPr>
                  </xdr:nvSpPr>
                  <xdr:spPr>
                    <a:xfrm flipV="1">
                      <a:off x="3260" y="967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32"/>
                    <xdr:cNvSpPr>
                      <a:spLocks/>
                    </xdr:cNvSpPr>
                  </xdr:nvSpPr>
                  <xdr:spPr>
                    <a:xfrm flipV="1">
                      <a:off x="3330" y="1053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Oval 33"/>
                    <xdr:cNvSpPr>
                      <a:spLocks/>
                    </xdr:cNvSpPr>
                  </xdr:nvSpPr>
                  <xdr:spPr>
                    <a:xfrm>
                      <a:off x="3348" y="114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Oval 34"/>
                    <xdr:cNvSpPr>
                      <a:spLocks/>
                    </xdr:cNvSpPr>
                  </xdr:nvSpPr>
                  <xdr:spPr>
                    <a:xfrm>
                      <a:off x="3420" y="122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Oval 35"/>
                    <xdr:cNvSpPr>
                      <a:spLocks/>
                    </xdr:cNvSpPr>
                  </xdr:nvSpPr>
                  <xdr:spPr>
                    <a:xfrm>
                      <a:off x="3502" y="1157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Oval 36"/>
                    <xdr:cNvSpPr>
                      <a:spLocks/>
                    </xdr:cNvSpPr>
                  </xdr:nvSpPr>
                  <xdr:spPr>
                    <a:xfrm>
                      <a:off x="3432" y="1075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37"/>
                  <xdr:cNvGrpSpPr>
                    <a:grpSpLocks/>
                  </xdr:cNvGrpSpPr>
                </xdr:nvGrpSpPr>
                <xdr:grpSpPr>
                  <a:xfrm>
                    <a:off x="3688" y="247"/>
                    <a:ext cx="138" cy="146"/>
                    <a:chOff x="3688" y="247"/>
                    <a:chExt cx="138" cy="146"/>
                  </a:xfrm>
                  <a:solidFill>
                    <a:srgbClr val="FFFFFF"/>
                  </a:solidFill>
                </xdr:grpSpPr>
                <xdr:sp>
                  <xdr:nvSpPr>
                    <xdr:cNvPr id="32" name="Line 38"/>
                    <xdr:cNvSpPr>
                      <a:spLocks/>
                    </xdr:cNvSpPr>
                  </xdr:nvSpPr>
                  <xdr:spPr>
                    <a:xfrm flipV="1">
                      <a:off x="3688" y="305"/>
                      <a:ext cx="112" cy="88"/>
                    </a:xfrm>
                    <a:prstGeom prst="line">
                      <a:avLst/>
                    </a:prstGeom>
                    <a:noFill/>
                    <a:ln w="76200" cmpd="sng">
                      <a:solidFill>
                        <a:srgbClr val="000000"/>
                      </a:solidFill>
                      <a:headEnd type="triangl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TextBox 39"/>
                    <xdr:cNvSpPr txBox="1">
                      <a:spLocks noChangeArrowheads="1"/>
                    </xdr:cNvSpPr>
                  </xdr:nvSpPr>
                  <xdr:spPr>
                    <a:xfrm>
                      <a:off x="3774" y="247"/>
                      <a:ext cx="52" cy="6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3600" b="1" i="0" u="none" baseline="0">
                          <a:latin typeface="Cordia New"/>
                          <a:ea typeface="Cordia New"/>
                          <a:cs typeface="Cordia New"/>
                        </a:rPr>
                        <a:t>C</a:t>
                      </a:r>
                    </a:p>
                  </xdr:txBody>
                </xdr:sp>
              </xdr:grpSp>
            </xdr:grpSp>
            <xdr:sp>
              <xdr:nvSpPr>
                <xdr:cNvPr id="34" name="Line 40"/>
                <xdr:cNvSpPr>
                  <a:spLocks/>
                </xdr:cNvSpPr>
              </xdr:nvSpPr>
              <xdr:spPr>
                <a:xfrm>
                  <a:off x="3154" y="481"/>
                  <a:ext cx="0" cy="44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5" name="Line 41"/>
                <xdr:cNvSpPr>
                  <a:spLocks/>
                </xdr:cNvSpPr>
              </xdr:nvSpPr>
              <xdr:spPr>
                <a:xfrm>
                  <a:off x="3152" y="925"/>
                  <a:ext cx="43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6" name="Line 42"/>
                <xdr:cNvSpPr>
                  <a:spLocks/>
                </xdr:cNvSpPr>
              </xdr:nvSpPr>
              <xdr:spPr>
                <a:xfrm flipH="1">
                  <a:off x="3432" y="683"/>
                  <a:ext cx="126" cy="24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7" name="Line 43"/>
                <xdr:cNvSpPr>
                  <a:spLocks/>
                </xdr:cNvSpPr>
              </xdr:nvSpPr>
              <xdr:spPr>
                <a:xfrm flipH="1">
                  <a:off x="3154" y="489"/>
                  <a:ext cx="220" cy="1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</xdr:grpSp>
        </xdr:grpSp>
        <xdr:sp>
          <xdr:nvSpPr>
            <xdr:cNvPr id="38" name="Line 44"/>
            <xdr:cNvSpPr>
              <a:spLocks/>
            </xdr:cNvSpPr>
          </xdr:nvSpPr>
          <xdr:spPr>
            <a:xfrm flipH="1">
              <a:off x="2166" y="540"/>
              <a:ext cx="37" cy="89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9" name="Line 45"/>
            <xdr:cNvSpPr>
              <a:spLocks/>
            </xdr:cNvSpPr>
          </xdr:nvSpPr>
          <xdr:spPr>
            <a:xfrm flipH="1">
              <a:off x="2038" y="468"/>
              <a:ext cx="100" cy="2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Line 46"/>
            <xdr:cNvSpPr>
              <a:spLocks/>
            </xdr:cNvSpPr>
          </xdr:nvSpPr>
          <xdr:spPr>
            <a:xfrm>
              <a:off x="1952" y="554"/>
              <a:ext cx="172" cy="1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1" name="TextBox 47"/>
            <xdr:cNvSpPr txBox="1">
              <a:spLocks noChangeArrowheads="1"/>
            </xdr:cNvSpPr>
          </xdr:nvSpPr>
          <xdr:spPr>
            <a:xfrm>
              <a:off x="1961" y="474"/>
              <a:ext cx="48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3600" b="1" i="0" u="none" baseline="0">
                  <a:latin typeface="Cordia New"/>
                  <a:ea typeface="Cordia New"/>
                  <a:cs typeface="Cordia New"/>
                </a:rPr>
                <a:t>Lfg</a:t>
              </a:r>
            </a:p>
          </xdr:txBody>
        </xdr:sp>
        <xdr:sp>
          <xdr:nvSpPr>
            <xdr:cNvPr id="42" name="Line 48"/>
            <xdr:cNvSpPr>
              <a:spLocks/>
            </xdr:cNvSpPr>
          </xdr:nvSpPr>
          <xdr:spPr>
            <a:xfrm>
              <a:off x="2038" y="496"/>
              <a:ext cx="116" cy="1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0</xdr:rowOff>
    </xdr:from>
    <xdr:to>
      <xdr:col>16</xdr:col>
      <xdr:colOff>1104900</xdr:colOff>
      <xdr:row>18</xdr:row>
      <xdr:rowOff>285750</xdr:rowOff>
    </xdr:to>
    <xdr:grpSp>
      <xdr:nvGrpSpPr>
        <xdr:cNvPr id="1" name="Group 52"/>
        <xdr:cNvGrpSpPr>
          <a:grpSpLocks/>
        </xdr:cNvGrpSpPr>
      </xdr:nvGrpSpPr>
      <xdr:grpSpPr>
        <a:xfrm>
          <a:off x="27908250" y="0"/>
          <a:ext cx="7743825" cy="7867650"/>
          <a:chOff x="1946" y="170"/>
          <a:chExt cx="573" cy="604"/>
        </a:xfrm>
        <a:solidFill>
          <a:srgbClr val="FFFFFF"/>
        </a:solidFill>
      </xdr:grpSpPr>
      <xdr:sp>
        <xdr:nvSpPr>
          <xdr:cNvPr id="2" name="TextBox 42"/>
          <xdr:cNvSpPr txBox="1">
            <a:spLocks noChangeArrowheads="1"/>
          </xdr:cNvSpPr>
        </xdr:nvSpPr>
        <xdr:spPr>
          <a:xfrm>
            <a:off x="2190" y="386"/>
            <a:ext cx="183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latin typeface="Cordia New"/>
                <a:ea typeface="Cordia New"/>
                <a:cs typeface="Cordia New"/>
              </a:rPr>
              <a:t>2 C SHAPE MEMBER</a:t>
            </a:r>
          </a:p>
        </xdr:txBody>
      </xdr:sp>
      <xdr:sp>
        <xdr:nvSpPr>
          <xdr:cNvPr id="3" name="Line 47"/>
          <xdr:cNvSpPr>
            <a:spLocks/>
          </xdr:cNvSpPr>
        </xdr:nvSpPr>
        <xdr:spPr>
          <a:xfrm flipH="1">
            <a:off x="1948" y="520"/>
            <a:ext cx="48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grpSp>
        <xdr:nvGrpSpPr>
          <xdr:cNvPr id="4" name="Group 51"/>
          <xdr:cNvGrpSpPr>
            <a:grpSpLocks/>
          </xdr:cNvGrpSpPr>
        </xdr:nvGrpSpPr>
        <xdr:grpSpPr>
          <a:xfrm>
            <a:off x="1946" y="170"/>
            <a:ext cx="573" cy="604"/>
            <a:chOff x="1946" y="170"/>
            <a:chExt cx="573" cy="604"/>
          </a:xfrm>
          <a:solidFill>
            <a:srgbClr val="FFFFFF"/>
          </a:solidFill>
        </xdr:grpSpPr>
        <xdr:grpSp>
          <xdr:nvGrpSpPr>
            <xdr:cNvPr id="5" name="Group 7"/>
            <xdr:cNvGrpSpPr>
              <a:grpSpLocks/>
            </xdr:cNvGrpSpPr>
          </xdr:nvGrpSpPr>
          <xdr:grpSpPr>
            <a:xfrm>
              <a:off x="1946" y="170"/>
              <a:ext cx="573" cy="604"/>
              <a:chOff x="3206" y="247"/>
              <a:chExt cx="674" cy="680"/>
            </a:xfrm>
            <a:solidFill>
              <a:srgbClr val="FFFFFF"/>
            </a:solidFill>
          </xdr:grpSpPr>
          <xdr:sp>
            <xdr:nvSpPr>
              <xdr:cNvPr id="6" name="Line 8"/>
              <xdr:cNvSpPr>
                <a:spLocks/>
              </xdr:cNvSpPr>
            </xdr:nvSpPr>
            <xdr:spPr>
              <a:xfrm>
                <a:off x="3432" y="493"/>
                <a:ext cx="182" cy="19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grpSp>
            <xdr:nvGrpSpPr>
              <xdr:cNvPr id="7" name="Group 9"/>
              <xdr:cNvGrpSpPr>
                <a:grpSpLocks/>
              </xdr:cNvGrpSpPr>
            </xdr:nvGrpSpPr>
            <xdr:grpSpPr>
              <a:xfrm>
                <a:off x="3206" y="247"/>
                <a:ext cx="674" cy="680"/>
                <a:chOff x="3152" y="247"/>
                <a:chExt cx="674" cy="680"/>
              </a:xfrm>
              <a:solidFill>
                <a:srgbClr val="FFFFFF"/>
              </a:solidFill>
            </xdr:grpSpPr>
            <xdr:grpSp>
              <xdr:nvGrpSpPr>
                <xdr:cNvPr id="8" name="Group 10"/>
                <xdr:cNvGrpSpPr>
                  <a:grpSpLocks/>
                </xdr:cNvGrpSpPr>
              </xdr:nvGrpSpPr>
              <xdr:grpSpPr>
                <a:xfrm>
                  <a:off x="3192" y="247"/>
                  <a:ext cx="634" cy="564"/>
                  <a:chOff x="3192" y="247"/>
                  <a:chExt cx="634" cy="564"/>
                </a:xfrm>
                <a:solidFill>
                  <a:srgbClr val="FFFFFF"/>
                </a:solidFill>
              </xdr:grpSpPr>
              <xdr:grpSp>
                <xdr:nvGrpSpPr>
                  <xdr:cNvPr id="9" name="Group 11"/>
                  <xdr:cNvGrpSpPr>
                    <a:grpSpLocks/>
                  </xdr:cNvGrpSpPr>
                </xdr:nvGrpSpPr>
                <xdr:grpSpPr>
                  <a:xfrm>
                    <a:off x="3192" y="347"/>
                    <a:ext cx="572" cy="464"/>
                    <a:chOff x="3260" y="837"/>
                    <a:chExt cx="570" cy="488"/>
                  </a:xfrm>
                  <a:solidFill>
                    <a:srgbClr val="FFFFFF"/>
                  </a:solidFill>
                </xdr:grpSpPr>
                <xdr:grpSp>
                  <xdr:nvGrpSpPr>
                    <xdr:cNvPr id="10" name="Group 12"/>
                    <xdr:cNvGrpSpPr>
                      <a:grpSpLocks/>
                    </xdr:cNvGrpSpPr>
                  </xdr:nvGrpSpPr>
                  <xdr:grpSpPr>
                    <a:xfrm>
                      <a:off x="3276" y="837"/>
                      <a:ext cx="554" cy="486"/>
                      <a:chOff x="3504" y="723"/>
                      <a:chExt cx="554" cy="48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1" name="Line 13"/>
                      <xdr:cNvSpPr>
                        <a:spLocks/>
                      </xdr:cNvSpPr>
                    </xdr:nvSpPr>
                    <xdr:spPr>
                      <a:xfrm>
                        <a:off x="3504" y="1033"/>
                        <a:ext cx="148" cy="176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" name="Line 14"/>
                      <xdr:cNvSpPr>
                        <a:spLocks/>
                      </xdr:cNvSpPr>
                    </xdr:nvSpPr>
                    <xdr:spPr>
                      <a:xfrm flipH="1">
                        <a:off x="3948" y="805"/>
                        <a:ext cx="8" cy="4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13" name="Group 15"/>
                      <xdr:cNvGrpSpPr>
                        <a:grpSpLocks/>
                      </xdr:cNvGrpSpPr>
                    </xdr:nvGrpSpPr>
                    <xdr:grpSpPr>
                      <a:xfrm>
                        <a:off x="3506" y="723"/>
                        <a:ext cx="552" cy="486"/>
                        <a:chOff x="3506" y="723"/>
                        <a:chExt cx="552" cy="48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4" name="Line 16"/>
                        <xdr:cNvSpPr>
                          <a:spLocks/>
                        </xdr:cNvSpPr>
                      </xdr:nvSpPr>
                      <xdr:spPr>
                        <a:xfrm flipH="1">
                          <a:off x="3506" y="737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5" name="Line 17"/>
                        <xdr:cNvSpPr>
                          <a:spLocks/>
                        </xdr:cNvSpPr>
                      </xdr:nvSpPr>
                      <xdr:spPr>
                        <a:xfrm flipH="1">
                          <a:off x="3652" y="913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Line 18"/>
                        <xdr:cNvSpPr>
                          <a:spLocks/>
                        </xdr:cNvSpPr>
                      </xdr:nvSpPr>
                      <xdr:spPr>
                        <a:xfrm flipH="1">
                          <a:off x="3514" y="74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7" name="Line 19"/>
                        <xdr:cNvSpPr>
                          <a:spLocks/>
                        </xdr:cNvSpPr>
                      </xdr:nvSpPr>
                      <xdr:spPr>
                        <a:xfrm flipH="1">
                          <a:off x="3644" y="905"/>
                          <a:ext cx="378" cy="2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8" name="Line 20"/>
                        <xdr:cNvSpPr>
                          <a:spLocks/>
                        </xdr:cNvSpPr>
                      </xdr:nvSpPr>
                      <xdr:spPr>
                        <a:xfrm>
                          <a:off x="3876" y="72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9" name="Line 21"/>
                        <xdr:cNvSpPr>
                          <a:spLocks/>
                        </xdr:cNvSpPr>
                      </xdr:nvSpPr>
                      <xdr:spPr>
                        <a:xfrm flipV="1">
                          <a:off x="3946" y="797"/>
                          <a:ext cx="50" cy="5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0" name="Line 22"/>
                        <xdr:cNvSpPr>
                          <a:spLocks/>
                        </xdr:cNvSpPr>
                      </xdr:nvSpPr>
                      <xdr:spPr>
                        <a:xfrm flipH="1">
                          <a:off x="3980" y="795"/>
                          <a:ext cx="18" cy="6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1" name="Line 23"/>
                        <xdr:cNvSpPr>
                          <a:spLocks/>
                        </xdr:cNvSpPr>
                      </xdr:nvSpPr>
                      <xdr:spPr>
                        <a:xfrm>
                          <a:off x="3980" y="863"/>
                          <a:ext cx="78" cy="8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Cordia New"/>
                              <a:ea typeface="Cordia New"/>
                              <a:cs typeface="Cordia New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sp>
                  <xdr:nvSpPr>
                    <xdr:cNvPr id="22" name="Line 24"/>
                    <xdr:cNvSpPr>
                      <a:spLocks/>
                    </xdr:cNvSpPr>
                  </xdr:nvSpPr>
                  <xdr:spPr>
                    <a:xfrm>
                      <a:off x="3296" y="107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Line 25"/>
                    <xdr:cNvSpPr>
                      <a:spLocks/>
                    </xdr:cNvSpPr>
                  </xdr:nvSpPr>
                  <xdr:spPr>
                    <a:xfrm>
                      <a:off x="3376" y="1009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26"/>
                    <xdr:cNvSpPr>
                      <a:spLocks/>
                    </xdr:cNvSpPr>
                  </xdr:nvSpPr>
                  <xdr:spPr>
                    <a:xfrm>
                      <a:off x="3426" y="967"/>
                      <a:ext cx="220" cy="24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27"/>
                    <xdr:cNvSpPr>
                      <a:spLocks/>
                    </xdr:cNvSpPr>
                  </xdr:nvSpPr>
                  <xdr:spPr>
                    <a:xfrm flipV="1">
                      <a:off x="3260" y="967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28"/>
                    <xdr:cNvSpPr>
                      <a:spLocks/>
                    </xdr:cNvSpPr>
                  </xdr:nvSpPr>
                  <xdr:spPr>
                    <a:xfrm flipV="1">
                      <a:off x="3330" y="1053"/>
                      <a:ext cx="342" cy="27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Oval 29"/>
                    <xdr:cNvSpPr>
                      <a:spLocks/>
                    </xdr:cNvSpPr>
                  </xdr:nvSpPr>
                  <xdr:spPr>
                    <a:xfrm>
                      <a:off x="3348" y="114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Oval 30"/>
                    <xdr:cNvSpPr>
                      <a:spLocks/>
                    </xdr:cNvSpPr>
                  </xdr:nvSpPr>
                  <xdr:spPr>
                    <a:xfrm>
                      <a:off x="3420" y="1221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Oval 31"/>
                    <xdr:cNvSpPr>
                      <a:spLocks/>
                    </xdr:cNvSpPr>
                  </xdr:nvSpPr>
                  <xdr:spPr>
                    <a:xfrm>
                      <a:off x="3502" y="1157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Oval 32"/>
                    <xdr:cNvSpPr>
                      <a:spLocks/>
                    </xdr:cNvSpPr>
                  </xdr:nvSpPr>
                  <xdr:spPr>
                    <a:xfrm>
                      <a:off x="3432" y="1075"/>
                      <a:ext cx="34" cy="32"/>
                    </a:xfrm>
                    <a:prstGeom prst="ellips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33"/>
                  <xdr:cNvGrpSpPr>
                    <a:grpSpLocks/>
                  </xdr:cNvGrpSpPr>
                </xdr:nvGrpSpPr>
                <xdr:grpSpPr>
                  <a:xfrm>
                    <a:off x="3688" y="247"/>
                    <a:ext cx="138" cy="146"/>
                    <a:chOff x="3688" y="247"/>
                    <a:chExt cx="138" cy="146"/>
                  </a:xfrm>
                  <a:solidFill>
                    <a:srgbClr val="FFFFFF"/>
                  </a:solidFill>
                </xdr:grpSpPr>
                <xdr:sp>
                  <xdr:nvSpPr>
                    <xdr:cNvPr id="32" name="Line 34"/>
                    <xdr:cNvSpPr>
                      <a:spLocks/>
                    </xdr:cNvSpPr>
                  </xdr:nvSpPr>
                  <xdr:spPr>
                    <a:xfrm flipV="1">
                      <a:off x="3688" y="305"/>
                      <a:ext cx="112" cy="88"/>
                    </a:xfrm>
                    <a:prstGeom prst="line">
                      <a:avLst/>
                    </a:prstGeom>
                    <a:noFill/>
                    <a:ln w="76200" cmpd="sng">
                      <a:solidFill>
                        <a:srgbClr val="000000"/>
                      </a:solidFill>
                      <a:headEnd type="triangl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TextBox 35"/>
                    <xdr:cNvSpPr txBox="1">
                      <a:spLocks noChangeArrowheads="1"/>
                    </xdr:cNvSpPr>
                  </xdr:nvSpPr>
                  <xdr:spPr>
                    <a:xfrm>
                      <a:off x="3774" y="247"/>
                      <a:ext cx="52" cy="6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3600" b="1" i="0" u="none" baseline="0">
                          <a:latin typeface="Cordia New"/>
                          <a:ea typeface="Cordia New"/>
                          <a:cs typeface="Cordia New"/>
                        </a:rPr>
                        <a:t>C</a:t>
                      </a:r>
                    </a:p>
                  </xdr:txBody>
                </xdr:sp>
              </xdr:grpSp>
            </xdr:grpSp>
            <xdr:sp>
              <xdr:nvSpPr>
                <xdr:cNvPr id="34" name="Line 36"/>
                <xdr:cNvSpPr>
                  <a:spLocks/>
                </xdr:cNvSpPr>
              </xdr:nvSpPr>
              <xdr:spPr>
                <a:xfrm>
                  <a:off x="3154" y="481"/>
                  <a:ext cx="0" cy="44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5" name="Line 37"/>
                <xdr:cNvSpPr>
                  <a:spLocks/>
                </xdr:cNvSpPr>
              </xdr:nvSpPr>
              <xdr:spPr>
                <a:xfrm>
                  <a:off x="3152" y="925"/>
                  <a:ext cx="43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6" name="Line 38"/>
                <xdr:cNvSpPr>
                  <a:spLocks/>
                </xdr:cNvSpPr>
              </xdr:nvSpPr>
              <xdr:spPr>
                <a:xfrm flipH="1">
                  <a:off x="3432" y="683"/>
                  <a:ext cx="126" cy="24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7" name="Line 39"/>
                <xdr:cNvSpPr>
                  <a:spLocks/>
                </xdr:cNvSpPr>
              </xdr:nvSpPr>
              <xdr:spPr>
                <a:xfrm flipH="1">
                  <a:off x="3154" y="489"/>
                  <a:ext cx="220" cy="1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</xdr:grpSp>
        </xdr:grpSp>
        <xdr:sp>
          <xdr:nvSpPr>
            <xdr:cNvPr id="38" name="Line 43"/>
            <xdr:cNvSpPr>
              <a:spLocks/>
            </xdr:cNvSpPr>
          </xdr:nvSpPr>
          <xdr:spPr>
            <a:xfrm flipH="1">
              <a:off x="2166" y="540"/>
              <a:ext cx="37" cy="89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9" name="Line 44"/>
            <xdr:cNvSpPr>
              <a:spLocks/>
            </xdr:cNvSpPr>
          </xdr:nvSpPr>
          <xdr:spPr>
            <a:xfrm flipH="1">
              <a:off x="2038" y="468"/>
              <a:ext cx="100" cy="2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Line 45"/>
            <xdr:cNvSpPr>
              <a:spLocks/>
            </xdr:cNvSpPr>
          </xdr:nvSpPr>
          <xdr:spPr>
            <a:xfrm>
              <a:off x="1952" y="554"/>
              <a:ext cx="172" cy="1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1" name="TextBox 48"/>
            <xdr:cNvSpPr txBox="1">
              <a:spLocks noChangeArrowheads="1"/>
            </xdr:cNvSpPr>
          </xdr:nvSpPr>
          <xdr:spPr>
            <a:xfrm>
              <a:off x="1962" y="468"/>
              <a:ext cx="45" cy="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3600" b="1" i="0" u="none" baseline="0">
                  <a:latin typeface="Cordia New"/>
                  <a:ea typeface="Cordia New"/>
                  <a:cs typeface="Cordia New"/>
                </a:rPr>
                <a:t>Lfg</a:t>
              </a:r>
            </a:p>
          </xdr:txBody>
        </xdr:sp>
        <xdr:sp>
          <xdr:nvSpPr>
            <xdr:cNvPr id="42" name="Line 50"/>
            <xdr:cNvSpPr>
              <a:spLocks/>
            </xdr:cNvSpPr>
          </xdr:nvSpPr>
          <xdr:spPr>
            <a:xfrm>
              <a:off x="2038" y="496"/>
              <a:ext cx="116" cy="1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51</xdr:row>
      <xdr:rowOff>28575</xdr:rowOff>
    </xdr:from>
    <xdr:to>
      <xdr:col>1</xdr:col>
      <xdr:colOff>4114800</xdr:colOff>
      <xdr:row>51</xdr:row>
      <xdr:rowOff>38100</xdr:rowOff>
    </xdr:to>
    <xdr:sp>
      <xdr:nvSpPr>
        <xdr:cNvPr id="1" name="Line 93"/>
        <xdr:cNvSpPr>
          <a:spLocks/>
        </xdr:cNvSpPr>
      </xdr:nvSpPr>
      <xdr:spPr>
        <a:xfrm>
          <a:off x="352425" y="24422100"/>
          <a:ext cx="407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51</xdr:row>
      <xdr:rowOff>28575</xdr:rowOff>
    </xdr:from>
    <xdr:to>
      <xdr:col>1</xdr:col>
      <xdr:colOff>28575</xdr:colOff>
      <xdr:row>52</xdr:row>
      <xdr:rowOff>28575</xdr:rowOff>
    </xdr:to>
    <xdr:sp>
      <xdr:nvSpPr>
        <xdr:cNvPr id="2" name="Line 94"/>
        <xdr:cNvSpPr>
          <a:spLocks/>
        </xdr:cNvSpPr>
      </xdr:nvSpPr>
      <xdr:spPr>
        <a:xfrm flipH="1">
          <a:off x="219075" y="24422100"/>
          <a:ext cx="123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51</xdr:row>
      <xdr:rowOff>171450</xdr:rowOff>
    </xdr:from>
    <xdr:to>
      <xdr:col>0</xdr:col>
      <xdr:colOff>209550</xdr:colOff>
      <xdr:row>52</xdr:row>
      <xdr:rowOff>9525</xdr:rowOff>
    </xdr:to>
    <xdr:sp>
      <xdr:nvSpPr>
        <xdr:cNvPr id="3" name="Line 95"/>
        <xdr:cNvSpPr>
          <a:spLocks/>
        </xdr:cNvSpPr>
      </xdr:nvSpPr>
      <xdr:spPr>
        <a:xfrm flipH="1" flipV="1">
          <a:off x="190500" y="24564975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685800</xdr:colOff>
      <xdr:row>13</xdr:row>
      <xdr:rowOff>457200</xdr:rowOff>
    </xdr:from>
    <xdr:to>
      <xdr:col>19</xdr:col>
      <xdr:colOff>171450</xdr:colOff>
      <xdr:row>28</xdr:row>
      <xdr:rowOff>57150</xdr:rowOff>
    </xdr:to>
    <xdr:grpSp>
      <xdr:nvGrpSpPr>
        <xdr:cNvPr id="4" name="Group 169"/>
        <xdr:cNvGrpSpPr>
          <a:grpSpLocks/>
        </xdr:cNvGrpSpPr>
      </xdr:nvGrpSpPr>
      <xdr:grpSpPr>
        <a:xfrm>
          <a:off x="38490525" y="6753225"/>
          <a:ext cx="6724650" cy="6743700"/>
          <a:chOff x="3310" y="313"/>
          <a:chExt cx="762" cy="848"/>
        </a:xfrm>
        <a:solidFill>
          <a:srgbClr val="FFFFFF"/>
        </a:solidFill>
      </xdr:grpSpPr>
      <xdr:grpSp>
        <xdr:nvGrpSpPr>
          <xdr:cNvPr id="5" name="Group 165"/>
          <xdr:cNvGrpSpPr>
            <a:grpSpLocks/>
          </xdr:cNvGrpSpPr>
        </xdr:nvGrpSpPr>
        <xdr:grpSpPr>
          <a:xfrm>
            <a:off x="3312" y="313"/>
            <a:ext cx="760" cy="848"/>
            <a:chOff x="3312" y="313"/>
            <a:chExt cx="760" cy="848"/>
          </a:xfrm>
          <a:solidFill>
            <a:srgbClr val="FFFFFF"/>
          </a:solidFill>
        </xdr:grpSpPr>
        <xdr:grpSp>
          <xdr:nvGrpSpPr>
            <xdr:cNvPr id="6" name="Group 164"/>
            <xdr:cNvGrpSpPr>
              <a:grpSpLocks/>
            </xdr:cNvGrpSpPr>
          </xdr:nvGrpSpPr>
          <xdr:grpSpPr>
            <a:xfrm>
              <a:off x="3312" y="313"/>
              <a:ext cx="760" cy="848"/>
              <a:chOff x="3312" y="313"/>
              <a:chExt cx="760" cy="848"/>
            </a:xfrm>
            <a:solidFill>
              <a:srgbClr val="FFFFFF"/>
            </a:solidFill>
          </xdr:grpSpPr>
          <xdr:grpSp>
            <xdr:nvGrpSpPr>
              <xdr:cNvPr id="7" name="Group 158"/>
              <xdr:cNvGrpSpPr>
                <a:grpSpLocks/>
              </xdr:cNvGrpSpPr>
            </xdr:nvGrpSpPr>
            <xdr:grpSpPr>
              <a:xfrm>
                <a:off x="3556" y="313"/>
                <a:ext cx="516" cy="744"/>
                <a:chOff x="3220" y="483"/>
                <a:chExt cx="516" cy="744"/>
              </a:xfrm>
              <a:solidFill>
                <a:srgbClr val="FFFFFF"/>
              </a:solidFill>
            </xdr:grpSpPr>
            <xdr:grpSp>
              <xdr:nvGrpSpPr>
                <xdr:cNvPr id="8" name="Group 150"/>
                <xdr:cNvGrpSpPr>
                  <a:grpSpLocks/>
                </xdr:cNvGrpSpPr>
              </xdr:nvGrpSpPr>
              <xdr:grpSpPr>
                <a:xfrm>
                  <a:off x="3220" y="661"/>
                  <a:ext cx="516" cy="566"/>
                  <a:chOff x="1569" y="94"/>
                  <a:chExt cx="191" cy="166"/>
                </a:xfrm>
                <a:solidFill>
                  <a:srgbClr val="FFFFFF"/>
                </a:solidFill>
              </xdr:grpSpPr>
              <xdr:grpSp>
                <xdr:nvGrpSpPr>
                  <xdr:cNvPr id="9" name="Group 128"/>
                  <xdr:cNvGrpSpPr>
                    <a:grpSpLocks/>
                  </xdr:cNvGrpSpPr>
                </xdr:nvGrpSpPr>
                <xdr:grpSpPr>
                  <a:xfrm>
                    <a:off x="1570" y="138"/>
                    <a:ext cx="190" cy="122"/>
                    <a:chOff x="685" y="201"/>
                    <a:chExt cx="124" cy="69"/>
                  </a:xfrm>
                  <a:solidFill>
                    <a:srgbClr val="FFFFFF"/>
                  </a:solidFill>
                </xdr:grpSpPr>
                <xdr:sp>
                  <xdr:nvSpPr>
                    <xdr:cNvPr id="10" name="Rectangle 129"/>
                    <xdr:cNvSpPr>
                      <a:spLocks/>
                    </xdr:cNvSpPr>
                  </xdr:nvSpPr>
                  <xdr:spPr>
                    <a:xfrm>
                      <a:off x="700" y="207"/>
                      <a:ext cx="109" cy="6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Rectangle 130"/>
                    <xdr:cNvSpPr>
                      <a:spLocks/>
                    </xdr:cNvSpPr>
                  </xdr:nvSpPr>
                  <xdr:spPr>
                    <a:xfrm>
                      <a:off x="700" y="201"/>
                      <a:ext cx="109" cy="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2" name="Rectangle 131"/>
                    <xdr:cNvSpPr>
                      <a:spLocks/>
                    </xdr:cNvSpPr>
                  </xdr:nvSpPr>
                  <xdr:spPr>
                    <a:xfrm>
                      <a:off x="700" y="264"/>
                      <a:ext cx="109" cy="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Rectangle 132"/>
                    <xdr:cNvSpPr>
                      <a:spLocks/>
                    </xdr:cNvSpPr>
                  </xdr:nvSpPr>
                  <xdr:spPr>
                    <a:xfrm>
                      <a:off x="685" y="212"/>
                      <a:ext cx="54" cy="4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33"/>
                    <xdr:cNvSpPr>
                      <a:spLocks/>
                    </xdr:cNvSpPr>
                  </xdr:nvSpPr>
                  <xdr:spPr>
                    <a:xfrm>
                      <a:off x="700" y="212"/>
                      <a:ext cx="0" cy="4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5" name="Group 138"/>
                  <xdr:cNvGrpSpPr>
                    <a:grpSpLocks/>
                  </xdr:cNvGrpSpPr>
                </xdr:nvGrpSpPr>
                <xdr:grpSpPr>
                  <a:xfrm>
                    <a:off x="1611" y="171"/>
                    <a:ext cx="14" cy="50"/>
                    <a:chOff x="716" y="217"/>
                    <a:chExt cx="8" cy="34"/>
                  </a:xfrm>
                  <a:solidFill>
                    <a:srgbClr val="FFFFFF"/>
                  </a:solidFill>
                </xdr:grpSpPr>
                <xdr:sp>
                  <xdr:nvSpPr>
                    <xdr:cNvPr id="16" name="Oval 139"/>
                    <xdr:cNvSpPr>
                      <a:spLocks/>
                    </xdr:cNvSpPr>
                  </xdr:nvSpPr>
                  <xdr:spPr>
                    <a:xfrm>
                      <a:off x="716" y="217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Oval 140"/>
                    <xdr:cNvSpPr>
                      <a:spLocks/>
                    </xdr:cNvSpPr>
                  </xdr:nvSpPr>
                  <xdr:spPr>
                    <a:xfrm>
                      <a:off x="716" y="230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Oval 141"/>
                    <xdr:cNvSpPr>
                      <a:spLocks/>
                    </xdr:cNvSpPr>
                  </xdr:nvSpPr>
                  <xdr:spPr>
                    <a:xfrm>
                      <a:off x="716" y="243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9" name="Line 142"/>
                  <xdr:cNvSpPr>
                    <a:spLocks/>
                  </xdr:cNvSpPr>
                </xdr:nvSpPr>
                <xdr:spPr>
                  <a:xfrm flipH="1">
                    <a:off x="1569" y="119"/>
                    <a:ext cx="4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0" name="TextBox 143"/>
                  <xdr:cNvSpPr txBox="1">
                    <a:spLocks noChangeArrowheads="1"/>
                  </xdr:cNvSpPr>
                </xdr:nvSpPr>
                <xdr:spPr>
                  <a:xfrm>
                    <a:off x="1579" y="94"/>
                    <a:ext cx="14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2400" b="0" i="0" u="none" baseline="0">
                        <a:latin typeface="Cordia New"/>
                        <a:ea typeface="Cordia New"/>
                        <a:cs typeface="Cordia New"/>
                      </a:rPr>
                      <a:t>e</a:t>
                    </a:r>
                  </a:p>
                </xdr:txBody>
              </xdr:sp>
              <xdr:sp>
                <xdr:nvSpPr>
                  <xdr:cNvPr id="21" name="Line 144"/>
                  <xdr:cNvSpPr>
                    <a:spLocks/>
                  </xdr:cNvSpPr>
                </xdr:nvSpPr>
                <xdr:spPr>
                  <a:xfrm>
                    <a:off x="1617" y="108"/>
                    <a:ext cx="0" cy="13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2" name="Line 145"/>
                  <xdr:cNvSpPr>
                    <a:spLocks/>
                  </xdr:cNvSpPr>
                </xdr:nvSpPr>
                <xdr:spPr>
                  <a:xfrm>
                    <a:off x="1570" y="117"/>
                    <a:ext cx="0" cy="13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3" name="Group 151"/>
                <xdr:cNvGrpSpPr>
                  <a:grpSpLocks/>
                </xdr:cNvGrpSpPr>
              </xdr:nvGrpSpPr>
              <xdr:grpSpPr>
                <a:xfrm>
                  <a:off x="3350" y="483"/>
                  <a:ext cx="51" cy="211"/>
                  <a:chOff x="1776" y="149"/>
                  <a:chExt cx="51" cy="107"/>
                </a:xfrm>
                <a:solidFill>
                  <a:srgbClr val="FFFFFF"/>
                </a:solidFill>
              </xdr:grpSpPr>
              <xdr:sp>
                <xdr:nvSpPr>
                  <xdr:cNvPr id="24" name="Line 152"/>
                  <xdr:cNvSpPr>
                    <a:spLocks/>
                  </xdr:cNvSpPr>
                </xdr:nvSpPr>
                <xdr:spPr>
                  <a:xfrm>
                    <a:off x="1776" y="176"/>
                    <a:ext cx="0" cy="80"/>
                  </a:xfrm>
                  <a:prstGeom prst="line">
                    <a:avLst/>
                  </a:prstGeom>
                  <a:noFill/>
                  <a:ln w="571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5" name="TextBox 153"/>
                  <xdr:cNvSpPr txBox="1">
                    <a:spLocks noChangeArrowheads="1"/>
                  </xdr:cNvSpPr>
                </xdr:nvSpPr>
                <xdr:spPr>
                  <a:xfrm>
                    <a:off x="1784" y="149"/>
                    <a:ext cx="43" cy="3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2600" b="1" i="0" u="none" baseline="0">
                        <a:latin typeface="Cordia New"/>
                        <a:ea typeface="Cordia New"/>
                        <a:cs typeface="Cordia New"/>
                      </a:rPr>
                      <a:t>V</a:t>
                    </a:r>
                  </a:p>
                </xdr:txBody>
              </xdr:sp>
            </xdr:grpSp>
          </xdr:grpSp>
          <xdr:sp>
            <xdr:nvSpPr>
              <xdr:cNvPr id="26" name="Rectangle 159"/>
              <xdr:cNvSpPr>
                <a:spLocks/>
              </xdr:cNvSpPr>
            </xdr:nvSpPr>
            <xdr:spPr>
              <a:xfrm>
                <a:off x="3312" y="641"/>
                <a:ext cx="246" cy="3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27" name="Rectangle 160"/>
              <xdr:cNvSpPr>
                <a:spLocks/>
              </xdr:cNvSpPr>
            </xdr:nvSpPr>
            <xdr:spPr>
              <a:xfrm>
                <a:off x="3312" y="1131"/>
                <a:ext cx="246" cy="3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28" name="Rectangle 161"/>
              <xdr:cNvSpPr>
                <a:spLocks/>
              </xdr:cNvSpPr>
            </xdr:nvSpPr>
            <xdr:spPr>
              <a:xfrm>
                <a:off x="3420" y="671"/>
                <a:ext cx="28" cy="46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  <xdr:sp>
          <xdr:nvSpPr>
            <xdr:cNvPr id="29" name="Line 162"/>
            <xdr:cNvSpPr>
              <a:spLocks/>
            </xdr:cNvSpPr>
          </xdr:nvSpPr>
          <xdr:spPr>
            <a:xfrm>
              <a:off x="3558" y="971"/>
              <a:ext cx="0" cy="1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0" name="Line 163"/>
            <xdr:cNvSpPr>
              <a:spLocks/>
            </xdr:cNvSpPr>
          </xdr:nvSpPr>
          <xdr:spPr>
            <a:xfrm>
              <a:off x="3558" y="641"/>
              <a:ext cx="0" cy="1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31" name="Line 166"/>
          <xdr:cNvSpPr>
            <a:spLocks/>
          </xdr:cNvSpPr>
        </xdr:nvSpPr>
        <xdr:spPr>
          <a:xfrm flipH="1">
            <a:off x="3310" y="577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2" name="Line 167"/>
          <xdr:cNvSpPr>
            <a:spLocks/>
          </xdr:cNvSpPr>
        </xdr:nvSpPr>
        <xdr:spPr>
          <a:xfrm flipV="1">
            <a:off x="3312" y="563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TextBox 168"/>
          <xdr:cNvSpPr txBox="1">
            <a:spLocks noChangeArrowheads="1"/>
          </xdr:cNvSpPr>
        </xdr:nvSpPr>
        <xdr:spPr>
          <a:xfrm>
            <a:off x="3420" y="524"/>
            <a:ext cx="50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600" b="0" i="0" u="none" baseline="0">
                <a:latin typeface="Cordia New"/>
                <a:ea typeface="Cordia New"/>
                <a:cs typeface="Cordia New"/>
              </a:rPr>
              <a:t>W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48</xdr:row>
      <xdr:rowOff>28575</xdr:rowOff>
    </xdr:from>
    <xdr:to>
      <xdr:col>1</xdr:col>
      <xdr:colOff>4286250</xdr:colOff>
      <xdr:row>48</xdr:row>
      <xdr:rowOff>57150</xdr:rowOff>
    </xdr:to>
    <xdr:sp>
      <xdr:nvSpPr>
        <xdr:cNvPr id="1" name="Line 6"/>
        <xdr:cNvSpPr>
          <a:spLocks/>
        </xdr:cNvSpPr>
      </xdr:nvSpPr>
      <xdr:spPr>
        <a:xfrm>
          <a:off x="352425" y="23441025"/>
          <a:ext cx="4248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28575</xdr:rowOff>
    </xdr:from>
    <xdr:to>
      <xdr:col>1</xdr:col>
      <xdr:colOff>28575</xdr:colOff>
      <xdr:row>49</xdr:row>
      <xdr:rowOff>28575</xdr:rowOff>
    </xdr:to>
    <xdr:sp>
      <xdr:nvSpPr>
        <xdr:cNvPr id="2" name="Line 7"/>
        <xdr:cNvSpPr>
          <a:spLocks/>
        </xdr:cNvSpPr>
      </xdr:nvSpPr>
      <xdr:spPr>
        <a:xfrm flipH="1">
          <a:off x="219075" y="23441025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48</xdr:row>
      <xdr:rowOff>171450</xdr:rowOff>
    </xdr:from>
    <xdr:to>
      <xdr:col>0</xdr:col>
      <xdr:colOff>209550</xdr:colOff>
      <xdr:row>49</xdr:row>
      <xdr:rowOff>9525</xdr:rowOff>
    </xdr:to>
    <xdr:sp>
      <xdr:nvSpPr>
        <xdr:cNvPr id="3" name="Line 8"/>
        <xdr:cNvSpPr>
          <a:spLocks/>
        </xdr:cNvSpPr>
      </xdr:nvSpPr>
      <xdr:spPr>
        <a:xfrm flipH="1" flipV="1">
          <a:off x="190500" y="23583900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266700</xdr:colOff>
      <xdr:row>4</xdr:row>
      <xdr:rowOff>38100</xdr:rowOff>
    </xdr:from>
    <xdr:to>
      <xdr:col>17</xdr:col>
      <xdr:colOff>1028700</xdr:colOff>
      <xdr:row>17</xdr:row>
      <xdr:rowOff>485775</xdr:rowOff>
    </xdr:to>
    <xdr:grpSp>
      <xdr:nvGrpSpPr>
        <xdr:cNvPr id="4" name="Group 62"/>
        <xdr:cNvGrpSpPr>
          <a:grpSpLocks/>
        </xdr:cNvGrpSpPr>
      </xdr:nvGrpSpPr>
      <xdr:grpSpPr>
        <a:xfrm>
          <a:off x="36947475" y="1743075"/>
          <a:ext cx="6076950" cy="6800850"/>
          <a:chOff x="3893" y="268"/>
          <a:chExt cx="638" cy="714"/>
        </a:xfrm>
        <a:solidFill>
          <a:srgbClr val="FFFFFF"/>
        </a:solidFill>
      </xdr:grpSpPr>
      <xdr:grpSp>
        <xdr:nvGrpSpPr>
          <xdr:cNvPr id="5" name="Group 59"/>
          <xdr:cNvGrpSpPr>
            <a:grpSpLocks/>
          </xdr:cNvGrpSpPr>
        </xdr:nvGrpSpPr>
        <xdr:grpSpPr>
          <a:xfrm>
            <a:off x="3893" y="268"/>
            <a:ext cx="638" cy="714"/>
            <a:chOff x="4092" y="326"/>
            <a:chExt cx="638" cy="714"/>
          </a:xfrm>
          <a:solidFill>
            <a:srgbClr val="FFFFFF"/>
          </a:solidFill>
        </xdr:grpSpPr>
        <xdr:grpSp>
          <xdr:nvGrpSpPr>
            <xdr:cNvPr id="6" name="Group 53"/>
            <xdr:cNvGrpSpPr>
              <a:grpSpLocks/>
            </xdr:cNvGrpSpPr>
          </xdr:nvGrpSpPr>
          <xdr:grpSpPr>
            <a:xfrm>
              <a:off x="4269" y="326"/>
              <a:ext cx="461" cy="702"/>
              <a:chOff x="3977" y="496"/>
              <a:chExt cx="461" cy="702"/>
            </a:xfrm>
            <a:solidFill>
              <a:srgbClr val="FFFFFF"/>
            </a:solidFill>
          </xdr:grpSpPr>
          <xdr:grpSp>
            <xdr:nvGrpSpPr>
              <xdr:cNvPr id="7" name="Group 40"/>
              <xdr:cNvGrpSpPr>
                <a:grpSpLocks/>
              </xdr:cNvGrpSpPr>
            </xdr:nvGrpSpPr>
            <xdr:grpSpPr>
              <a:xfrm>
                <a:off x="3977" y="762"/>
                <a:ext cx="461" cy="436"/>
                <a:chOff x="655" y="46"/>
                <a:chExt cx="253" cy="216"/>
              </a:xfrm>
              <a:solidFill>
                <a:srgbClr val="FFFFFF"/>
              </a:solidFill>
            </xdr:grpSpPr>
            <xdr:grpSp>
              <xdr:nvGrpSpPr>
                <xdr:cNvPr id="8" name="Group 31"/>
                <xdr:cNvGrpSpPr>
                  <a:grpSpLocks/>
                </xdr:cNvGrpSpPr>
              </xdr:nvGrpSpPr>
              <xdr:grpSpPr>
                <a:xfrm>
                  <a:off x="656" y="94"/>
                  <a:ext cx="252" cy="140"/>
                  <a:chOff x="591" y="125"/>
                  <a:chExt cx="104" cy="63"/>
                </a:xfrm>
                <a:solidFill>
                  <a:srgbClr val="FFFFFF"/>
                </a:solidFill>
              </xdr:grpSpPr>
              <xdr:grpSp>
                <xdr:nvGrpSpPr>
                  <xdr:cNvPr id="9" name="Group 10"/>
                  <xdr:cNvGrpSpPr>
                    <a:grpSpLocks/>
                  </xdr:cNvGrpSpPr>
                </xdr:nvGrpSpPr>
                <xdr:grpSpPr>
                  <a:xfrm>
                    <a:off x="591" y="125"/>
                    <a:ext cx="104" cy="63"/>
                    <a:chOff x="685" y="201"/>
                    <a:chExt cx="124" cy="69"/>
                  </a:xfrm>
                  <a:solidFill>
                    <a:srgbClr val="FFFFFF"/>
                  </a:solidFill>
                </xdr:grpSpPr>
                <xdr:sp>
                  <xdr:nvSpPr>
                    <xdr:cNvPr id="10" name="Rectangle 11"/>
                    <xdr:cNvSpPr>
                      <a:spLocks/>
                    </xdr:cNvSpPr>
                  </xdr:nvSpPr>
                  <xdr:spPr>
                    <a:xfrm>
                      <a:off x="700" y="207"/>
                      <a:ext cx="109" cy="6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Rectangle 12"/>
                    <xdr:cNvSpPr>
                      <a:spLocks/>
                    </xdr:cNvSpPr>
                  </xdr:nvSpPr>
                  <xdr:spPr>
                    <a:xfrm>
                      <a:off x="700" y="201"/>
                      <a:ext cx="109" cy="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2" name="Rectangle 13"/>
                    <xdr:cNvSpPr>
                      <a:spLocks/>
                    </xdr:cNvSpPr>
                  </xdr:nvSpPr>
                  <xdr:spPr>
                    <a:xfrm>
                      <a:off x="700" y="264"/>
                      <a:ext cx="109" cy="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Rectangle 14"/>
                    <xdr:cNvSpPr>
                      <a:spLocks/>
                    </xdr:cNvSpPr>
                  </xdr:nvSpPr>
                  <xdr:spPr>
                    <a:xfrm>
                      <a:off x="685" y="212"/>
                      <a:ext cx="54" cy="4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5"/>
                    <xdr:cNvSpPr>
                      <a:spLocks/>
                    </xdr:cNvSpPr>
                  </xdr:nvSpPr>
                  <xdr:spPr>
                    <a:xfrm>
                      <a:off x="700" y="212"/>
                      <a:ext cx="0" cy="4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5" name="Group 20"/>
                  <xdr:cNvGrpSpPr>
                    <a:grpSpLocks/>
                  </xdr:cNvGrpSpPr>
                </xdr:nvGrpSpPr>
                <xdr:grpSpPr>
                  <a:xfrm>
                    <a:off x="624" y="142"/>
                    <a:ext cx="6" cy="26"/>
                    <a:chOff x="716" y="217"/>
                    <a:chExt cx="8" cy="34"/>
                  </a:xfrm>
                  <a:solidFill>
                    <a:srgbClr val="FFFFFF"/>
                  </a:solidFill>
                </xdr:grpSpPr>
                <xdr:sp>
                  <xdr:nvSpPr>
                    <xdr:cNvPr id="16" name="Oval 21"/>
                    <xdr:cNvSpPr>
                      <a:spLocks/>
                    </xdr:cNvSpPr>
                  </xdr:nvSpPr>
                  <xdr:spPr>
                    <a:xfrm>
                      <a:off x="716" y="217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Oval 22"/>
                    <xdr:cNvSpPr>
                      <a:spLocks/>
                    </xdr:cNvSpPr>
                  </xdr:nvSpPr>
                  <xdr:spPr>
                    <a:xfrm>
                      <a:off x="716" y="230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Oval 23"/>
                    <xdr:cNvSpPr>
                      <a:spLocks/>
                    </xdr:cNvSpPr>
                  </xdr:nvSpPr>
                  <xdr:spPr>
                    <a:xfrm>
                      <a:off x="716" y="243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9" name="Group 27"/>
                  <xdr:cNvGrpSpPr>
                    <a:grpSpLocks/>
                  </xdr:cNvGrpSpPr>
                </xdr:nvGrpSpPr>
                <xdr:grpSpPr>
                  <a:xfrm>
                    <a:off x="609" y="142"/>
                    <a:ext cx="6" cy="26"/>
                    <a:chOff x="716" y="217"/>
                    <a:chExt cx="8" cy="34"/>
                  </a:xfrm>
                  <a:solidFill>
                    <a:srgbClr val="FFFFFF"/>
                  </a:solidFill>
                </xdr:grpSpPr>
                <xdr:sp>
                  <xdr:nvSpPr>
                    <xdr:cNvPr id="20" name="Oval 28"/>
                    <xdr:cNvSpPr>
                      <a:spLocks/>
                    </xdr:cNvSpPr>
                  </xdr:nvSpPr>
                  <xdr:spPr>
                    <a:xfrm>
                      <a:off x="716" y="217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1" name="Oval 29"/>
                    <xdr:cNvSpPr>
                      <a:spLocks/>
                    </xdr:cNvSpPr>
                  </xdr:nvSpPr>
                  <xdr:spPr>
                    <a:xfrm>
                      <a:off x="716" y="230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  <xdr:sp>
                  <xdr:nvSpPr>
                    <xdr:cNvPr id="22" name="Oval 30"/>
                    <xdr:cNvSpPr>
                      <a:spLocks/>
                    </xdr:cNvSpPr>
                  </xdr:nvSpPr>
                  <xdr:spPr>
                    <a:xfrm>
                      <a:off x="716" y="243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ordia New"/>
                          <a:ea typeface="Cordia New"/>
                          <a:cs typeface="Cordia New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23" name="Line 32"/>
                <xdr:cNvSpPr>
                  <a:spLocks/>
                </xdr:cNvSpPr>
              </xdr:nvSpPr>
              <xdr:spPr>
                <a:xfrm flipH="1">
                  <a:off x="655" y="72"/>
                  <a:ext cx="7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24" name="TextBox 33"/>
                <xdr:cNvSpPr txBox="1">
                  <a:spLocks noChangeArrowheads="1"/>
                </xdr:cNvSpPr>
              </xdr:nvSpPr>
              <xdr:spPr>
                <a:xfrm>
                  <a:off x="685" y="46"/>
                  <a:ext cx="17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2800" b="0" i="0" u="none" baseline="0">
                      <a:latin typeface="Cordia New"/>
                      <a:ea typeface="Cordia New"/>
                      <a:cs typeface="Cordia New"/>
                    </a:rPr>
                    <a:t>e</a:t>
                  </a:r>
                </a:p>
              </xdr:txBody>
            </xdr:sp>
            <xdr:sp>
              <xdr:nvSpPr>
                <xdr:cNvPr id="25" name="Line 34"/>
                <xdr:cNvSpPr>
                  <a:spLocks/>
                </xdr:cNvSpPr>
              </xdr:nvSpPr>
              <xdr:spPr>
                <a:xfrm>
                  <a:off x="725" y="60"/>
                  <a:ext cx="0" cy="1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26" name="Line 35"/>
                <xdr:cNvSpPr>
                  <a:spLocks/>
                </xdr:cNvSpPr>
              </xdr:nvSpPr>
              <xdr:spPr>
                <a:xfrm>
                  <a:off x="656" y="70"/>
                  <a:ext cx="0" cy="1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27" name="Line 36"/>
                <xdr:cNvSpPr>
                  <a:spLocks/>
                </xdr:cNvSpPr>
              </xdr:nvSpPr>
              <xdr:spPr>
                <a:xfrm>
                  <a:off x="706" y="255"/>
                  <a:ext cx="3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28" name="Line 37"/>
                <xdr:cNvSpPr>
                  <a:spLocks/>
                </xdr:cNvSpPr>
              </xdr:nvSpPr>
              <xdr:spPr>
                <a:xfrm>
                  <a:off x="706" y="146"/>
                  <a:ext cx="0" cy="1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29" name="Line 38"/>
                <xdr:cNvSpPr>
                  <a:spLocks/>
                </xdr:cNvSpPr>
              </xdr:nvSpPr>
              <xdr:spPr>
                <a:xfrm>
                  <a:off x="743" y="151"/>
                  <a:ext cx="0" cy="1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0" name="TextBox 39"/>
                <xdr:cNvSpPr txBox="1">
                  <a:spLocks noChangeArrowheads="1"/>
                </xdr:cNvSpPr>
              </xdr:nvSpPr>
              <xdr:spPr>
                <a:xfrm>
                  <a:off x="725" y="238"/>
                  <a:ext cx="10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400" b="0" i="0" u="none" baseline="0">
                      <a:latin typeface="Cordia New"/>
                      <a:ea typeface="Cordia New"/>
                      <a:cs typeface="Cordia New"/>
                    </a:rPr>
                    <a:t>6</a:t>
                  </a:r>
                </a:p>
              </xdr:txBody>
            </xdr:sp>
          </xdr:grpSp>
          <xdr:grpSp>
            <xdr:nvGrpSpPr>
              <xdr:cNvPr id="31" name="Group 45"/>
              <xdr:cNvGrpSpPr>
                <a:grpSpLocks/>
              </xdr:cNvGrpSpPr>
            </xdr:nvGrpSpPr>
            <xdr:grpSpPr>
              <a:xfrm>
                <a:off x="4102" y="496"/>
                <a:ext cx="53" cy="279"/>
                <a:chOff x="1776" y="148"/>
                <a:chExt cx="8" cy="108"/>
              </a:xfrm>
              <a:solidFill>
                <a:srgbClr val="FFFFFF"/>
              </a:solidFill>
            </xdr:grpSpPr>
            <xdr:sp>
              <xdr:nvSpPr>
                <xdr:cNvPr id="32" name="Line 46"/>
                <xdr:cNvSpPr>
                  <a:spLocks/>
                </xdr:cNvSpPr>
              </xdr:nvSpPr>
              <xdr:spPr>
                <a:xfrm>
                  <a:off x="1776" y="176"/>
                  <a:ext cx="0" cy="80"/>
                </a:xfrm>
                <a:prstGeom prst="line">
                  <a:avLst/>
                </a:prstGeom>
                <a:noFill/>
                <a:ln w="5715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rdia New"/>
                      <a:ea typeface="Cordia New"/>
                      <a:cs typeface="Cordia New"/>
                    </a:rPr>
                    <a:t/>
                  </a:r>
                </a:p>
              </xdr:txBody>
            </xdr:sp>
            <xdr:sp>
              <xdr:nvSpPr>
                <xdr:cNvPr id="33" name="TextBox 47"/>
                <xdr:cNvSpPr txBox="1">
                  <a:spLocks noChangeArrowheads="1"/>
                </xdr:cNvSpPr>
              </xdr:nvSpPr>
              <xdr:spPr>
                <a:xfrm>
                  <a:off x="1780" y="148"/>
                  <a:ext cx="4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2600" b="1" i="0" u="none" baseline="0">
                      <a:latin typeface="Cordia New"/>
                      <a:ea typeface="Cordia New"/>
                      <a:cs typeface="Cordia New"/>
                    </a:rPr>
                    <a:t>V</a:t>
                  </a:r>
                </a:p>
              </xdr:txBody>
            </xdr:sp>
          </xdr:grpSp>
        </xdr:grpSp>
        <xdr:sp>
          <xdr:nvSpPr>
            <xdr:cNvPr id="34" name="Rectangle 54"/>
            <xdr:cNvSpPr>
              <a:spLocks/>
            </xdr:cNvSpPr>
          </xdr:nvSpPr>
          <xdr:spPr>
            <a:xfrm>
              <a:off x="4092" y="686"/>
              <a:ext cx="178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5" name="Rectangle 55"/>
            <xdr:cNvSpPr>
              <a:spLocks/>
            </xdr:cNvSpPr>
          </xdr:nvSpPr>
          <xdr:spPr>
            <a:xfrm>
              <a:off x="4092" y="1018"/>
              <a:ext cx="178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6" name="Rectangle 56"/>
            <xdr:cNvSpPr>
              <a:spLocks/>
            </xdr:cNvSpPr>
          </xdr:nvSpPr>
          <xdr:spPr>
            <a:xfrm>
              <a:off x="4165" y="708"/>
              <a:ext cx="20" cy="3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7" name="Line 57"/>
            <xdr:cNvSpPr>
              <a:spLocks/>
            </xdr:cNvSpPr>
          </xdr:nvSpPr>
          <xdr:spPr>
            <a:xfrm>
              <a:off x="4271" y="914"/>
              <a:ext cx="0" cy="1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8" name="Line 58"/>
            <xdr:cNvSpPr>
              <a:spLocks/>
            </xdr:cNvSpPr>
          </xdr:nvSpPr>
          <xdr:spPr>
            <a:xfrm>
              <a:off x="4271" y="698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39" name="Line 60"/>
          <xdr:cNvSpPr>
            <a:spLocks/>
          </xdr:cNvSpPr>
        </xdr:nvSpPr>
        <xdr:spPr>
          <a:xfrm flipH="1">
            <a:off x="3897" y="586"/>
            <a:ext cx="1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0" name="TextBox 61"/>
          <xdr:cNvSpPr txBox="1">
            <a:spLocks noChangeArrowheads="1"/>
          </xdr:cNvSpPr>
        </xdr:nvSpPr>
        <xdr:spPr>
          <a:xfrm>
            <a:off x="3977" y="531"/>
            <a:ext cx="34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600" b="0" i="0" u="none" baseline="0">
                <a:latin typeface="Cordia New"/>
                <a:ea typeface="Cordia New"/>
                <a:cs typeface="Cordia New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49</xdr:row>
      <xdr:rowOff>38100</xdr:rowOff>
    </xdr:from>
    <xdr:to>
      <xdr:col>1</xdr:col>
      <xdr:colOff>381000</xdr:colOff>
      <xdr:row>49</xdr:row>
      <xdr:rowOff>533400</xdr:rowOff>
    </xdr:to>
    <xdr:sp>
      <xdr:nvSpPr>
        <xdr:cNvPr id="1" name="Line 7"/>
        <xdr:cNvSpPr>
          <a:spLocks/>
        </xdr:cNvSpPr>
      </xdr:nvSpPr>
      <xdr:spPr>
        <a:xfrm flipH="1">
          <a:off x="885825" y="26336625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2686050</xdr:colOff>
      <xdr:row>51</xdr:row>
      <xdr:rowOff>0</xdr:rowOff>
    </xdr:from>
    <xdr:to>
      <xdr:col>1</xdr:col>
      <xdr:colOff>2705100</xdr:colOff>
      <xdr:row>51</xdr:row>
      <xdr:rowOff>381000</xdr:rowOff>
    </xdr:to>
    <xdr:sp>
      <xdr:nvSpPr>
        <xdr:cNvPr id="2" name="Line 8"/>
        <xdr:cNvSpPr>
          <a:spLocks/>
        </xdr:cNvSpPr>
      </xdr:nvSpPr>
      <xdr:spPr>
        <a:xfrm flipH="1" flipV="1">
          <a:off x="3314700" y="27384375"/>
          <a:ext cx="19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3086100</xdr:colOff>
      <xdr:row>12</xdr:row>
      <xdr:rowOff>152400</xdr:rowOff>
    </xdr:from>
    <xdr:to>
      <xdr:col>17</xdr:col>
      <xdr:colOff>228600</xdr:colOff>
      <xdr:row>21</xdr:row>
      <xdr:rowOff>0</xdr:rowOff>
    </xdr:to>
    <xdr:grpSp>
      <xdr:nvGrpSpPr>
        <xdr:cNvPr id="3" name="Group 83"/>
        <xdr:cNvGrpSpPr>
          <a:grpSpLocks/>
        </xdr:cNvGrpSpPr>
      </xdr:nvGrpSpPr>
      <xdr:grpSpPr>
        <a:xfrm>
          <a:off x="44043600" y="6362700"/>
          <a:ext cx="4295775" cy="4733925"/>
          <a:chOff x="4517" y="155"/>
          <a:chExt cx="638" cy="714"/>
        </a:xfrm>
        <a:solidFill>
          <a:srgbClr val="FFFFFF"/>
        </a:solidFill>
      </xdr:grpSpPr>
      <xdr:grpSp>
        <xdr:nvGrpSpPr>
          <xdr:cNvPr id="4" name="Group 44"/>
          <xdr:cNvGrpSpPr>
            <a:grpSpLocks/>
          </xdr:cNvGrpSpPr>
        </xdr:nvGrpSpPr>
        <xdr:grpSpPr>
          <a:xfrm>
            <a:off x="4517" y="155"/>
            <a:ext cx="638" cy="714"/>
            <a:chOff x="3893" y="268"/>
            <a:chExt cx="638" cy="714"/>
          </a:xfrm>
          <a:solidFill>
            <a:srgbClr val="FFFFFF"/>
          </a:solidFill>
        </xdr:grpSpPr>
        <xdr:grpSp>
          <xdr:nvGrpSpPr>
            <xdr:cNvPr id="5" name="Group 45"/>
            <xdr:cNvGrpSpPr>
              <a:grpSpLocks/>
            </xdr:cNvGrpSpPr>
          </xdr:nvGrpSpPr>
          <xdr:grpSpPr>
            <a:xfrm>
              <a:off x="3893" y="268"/>
              <a:ext cx="638" cy="714"/>
              <a:chOff x="4092" y="326"/>
              <a:chExt cx="638" cy="714"/>
            </a:xfrm>
            <a:solidFill>
              <a:srgbClr val="FFFFFF"/>
            </a:solidFill>
          </xdr:grpSpPr>
          <xdr:grpSp>
            <xdr:nvGrpSpPr>
              <xdr:cNvPr id="6" name="Group 46"/>
              <xdr:cNvGrpSpPr>
                <a:grpSpLocks/>
              </xdr:cNvGrpSpPr>
            </xdr:nvGrpSpPr>
            <xdr:grpSpPr>
              <a:xfrm>
                <a:off x="4269" y="326"/>
                <a:ext cx="461" cy="714"/>
                <a:chOff x="3977" y="496"/>
                <a:chExt cx="461" cy="714"/>
              </a:xfrm>
              <a:solidFill>
                <a:srgbClr val="FFFFFF"/>
              </a:solidFill>
            </xdr:grpSpPr>
            <xdr:grpSp>
              <xdr:nvGrpSpPr>
                <xdr:cNvPr id="7" name="Group 47"/>
                <xdr:cNvGrpSpPr>
                  <a:grpSpLocks/>
                </xdr:cNvGrpSpPr>
              </xdr:nvGrpSpPr>
              <xdr:grpSpPr>
                <a:xfrm>
                  <a:off x="3977" y="764"/>
                  <a:ext cx="461" cy="446"/>
                  <a:chOff x="655" y="47"/>
                  <a:chExt cx="253" cy="221"/>
                </a:xfrm>
                <a:solidFill>
                  <a:srgbClr val="FFFFFF"/>
                </a:solidFill>
              </xdr:grpSpPr>
              <xdr:grpSp>
                <xdr:nvGrpSpPr>
                  <xdr:cNvPr id="8" name="Group 48"/>
                  <xdr:cNvGrpSpPr>
                    <a:grpSpLocks/>
                  </xdr:cNvGrpSpPr>
                </xdr:nvGrpSpPr>
                <xdr:grpSpPr>
                  <a:xfrm>
                    <a:off x="656" y="94"/>
                    <a:ext cx="252" cy="140"/>
                    <a:chOff x="591" y="125"/>
                    <a:chExt cx="104" cy="63"/>
                  </a:xfrm>
                  <a:solidFill>
                    <a:srgbClr val="FFFFFF"/>
                  </a:solidFill>
                </xdr:grpSpPr>
                <xdr:grpSp>
                  <xdr:nvGrpSpPr>
                    <xdr:cNvPr id="9" name="Group 49"/>
                    <xdr:cNvGrpSpPr>
                      <a:grpSpLocks/>
                    </xdr:cNvGrpSpPr>
                  </xdr:nvGrpSpPr>
                  <xdr:grpSpPr>
                    <a:xfrm>
                      <a:off x="591" y="125"/>
                      <a:ext cx="104" cy="63"/>
                      <a:chOff x="685" y="201"/>
                      <a:chExt cx="124" cy="6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0" name="Rectangle 50"/>
                      <xdr:cNvSpPr>
                        <a:spLocks/>
                      </xdr:cNvSpPr>
                    </xdr:nvSpPr>
                    <xdr:spPr>
                      <a:xfrm>
                        <a:off x="700" y="207"/>
                        <a:ext cx="109" cy="6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" name="Rectangle 51"/>
                      <xdr:cNvSpPr>
                        <a:spLocks/>
                      </xdr:cNvSpPr>
                    </xdr:nvSpPr>
                    <xdr:spPr>
                      <a:xfrm>
                        <a:off x="700" y="201"/>
                        <a:ext cx="109" cy="6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" name="Rectangle 52"/>
                      <xdr:cNvSpPr>
                        <a:spLocks/>
                      </xdr:cNvSpPr>
                    </xdr:nvSpPr>
                    <xdr:spPr>
                      <a:xfrm>
                        <a:off x="700" y="264"/>
                        <a:ext cx="109" cy="6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" name="Rectangle 53"/>
                      <xdr:cNvSpPr>
                        <a:spLocks/>
                      </xdr:cNvSpPr>
                    </xdr:nvSpPr>
                    <xdr:spPr>
                      <a:xfrm>
                        <a:off x="685" y="212"/>
                        <a:ext cx="54" cy="44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" name="Line 54"/>
                      <xdr:cNvSpPr>
                        <a:spLocks/>
                      </xdr:cNvSpPr>
                    </xdr:nvSpPr>
                    <xdr:spPr>
                      <a:xfrm>
                        <a:off x="700" y="212"/>
                        <a:ext cx="0" cy="44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prstDash val="dash"/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5" name="Group 55"/>
                    <xdr:cNvGrpSpPr>
                      <a:grpSpLocks/>
                    </xdr:cNvGrpSpPr>
                  </xdr:nvGrpSpPr>
                  <xdr:grpSpPr>
                    <a:xfrm>
                      <a:off x="624" y="142"/>
                      <a:ext cx="6" cy="26"/>
                      <a:chOff x="716" y="217"/>
                      <a:chExt cx="8" cy="3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6" name="Oval 56"/>
                      <xdr:cNvSpPr>
                        <a:spLocks/>
                      </xdr:cNvSpPr>
                    </xdr:nvSpPr>
                    <xdr:spPr>
                      <a:xfrm>
                        <a:off x="716" y="217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7" name="Oval 57"/>
                      <xdr:cNvSpPr>
                        <a:spLocks/>
                      </xdr:cNvSpPr>
                    </xdr:nvSpPr>
                    <xdr:spPr>
                      <a:xfrm>
                        <a:off x="716" y="230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8" name="Oval 58"/>
                      <xdr:cNvSpPr>
                        <a:spLocks/>
                      </xdr:cNvSpPr>
                    </xdr:nvSpPr>
                    <xdr:spPr>
                      <a:xfrm>
                        <a:off x="716" y="243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9" name="Group 59"/>
                    <xdr:cNvGrpSpPr>
                      <a:grpSpLocks/>
                    </xdr:cNvGrpSpPr>
                  </xdr:nvGrpSpPr>
                  <xdr:grpSpPr>
                    <a:xfrm>
                      <a:off x="609" y="142"/>
                      <a:ext cx="6" cy="26"/>
                      <a:chOff x="716" y="217"/>
                      <a:chExt cx="8" cy="3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0" name="Oval 60"/>
                      <xdr:cNvSpPr>
                        <a:spLocks/>
                      </xdr:cNvSpPr>
                    </xdr:nvSpPr>
                    <xdr:spPr>
                      <a:xfrm>
                        <a:off x="716" y="217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" name="Oval 61"/>
                      <xdr:cNvSpPr>
                        <a:spLocks/>
                      </xdr:cNvSpPr>
                    </xdr:nvSpPr>
                    <xdr:spPr>
                      <a:xfrm>
                        <a:off x="716" y="230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2" name="Oval 62"/>
                      <xdr:cNvSpPr>
                        <a:spLocks/>
                      </xdr:cNvSpPr>
                    </xdr:nvSpPr>
                    <xdr:spPr>
                      <a:xfrm>
                        <a:off x="716" y="243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Cordia New"/>
                            <a:ea typeface="Cordia New"/>
                            <a:cs typeface="Cordia New"/>
                          </a:rPr>
                          <a:t/>
                        </a:r>
                      </a:p>
                    </xdr:txBody>
                  </xdr:sp>
                </xdr:grpSp>
              </xdr:grpSp>
              <xdr:sp>
                <xdr:nvSpPr>
                  <xdr:cNvPr id="23" name="Line 63"/>
                  <xdr:cNvSpPr>
                    <a:spLocks/>
                  </xdr:cNvSpPr>
                </xdr:nvSpPr>
                <xdr:spPr>
                  <a:xfrm flipH="1">
                    <a:off x="655" y="72"/>
                    <a:ext cx="7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4" name="TextBox 64"/>
                  <xdr:cNvSpPr txBox="1">
                    <a:spLocks noChangeArrowheads="1"/>
                  </xdr:cNvSpPr>
                </xdr:nvSpPr>
                <xdr:spPr>
                  <a:xfrm>
                    <a:off x="688" y="47"/>
                    <a:ext cx="27" cy="5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2800" b="0" i="0" u="none" baseline="0">
                        <a:latin typeface="Cordia New"/>
                        <a:ea typeface="Cordia New"/>
                        <a:cs typeface="Cordia New"/>
                      </a:rPr>
                      <a:t>e</a:t>
                    </a:r>
                  </a:p>
                </xdr:txBody>
              </xdr:sp>
              <xdr:sp>
                <xdr:nvSpPr>
                  <xdr:cNvPr id="25" name="Line 65"/>
                  <xdr:cNvSpPr>
                    <a:spLocks/>
                  </xdr:cNvSpPr>
                </xdr:nvSpPr>
                <xdr:spPr>
                  <a:xfrm>
                    <a:off x="725" y="60"/>
                    <a:ext cx="0" cy="15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6" name="Line 66"/>
                  <xdr:cNvSpPr>
                    <a:spLocks/>
                  </xdr:cNvSpPr>
                </xdr:nvSpPr>
                <xdr:spPr>
                  <a:xfrm>
                    <a:off x="656" y="70"/>
                    <a:ext cx="0" cy="15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7" name="Line 67"/>
                  <xdr:cNvSpPr>
                    <a:spLocks/>
                  </xdr:cNvSpPr>
                </xdr:nvSpPr>
                <xdr:spPr>
                  <a:xfrm>
                    <a:off x="706" y="255"/>
                    <a:ext cx="3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8" name="Line 68"/>
                  <xdr:cNvSpPr>
                    <a:spLocks/>
                  </xdr:cNvSpPr>
                </xdr:nvSpPr>
                <xdr:spPr>
                  <a:xfrm>
                    <a:off x="706" y="146"/>
                    <a:ext cx="0" cy="1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29" name="Line 69"/>
                  <xdr:cNvSpPr>
                    <a:spLocks/>
                  </xdr:cNvSpPr>
                </xdr:nvSpPr>
                <xdr:spPr>
                  <a:xfrm>
                    <a:off x="743" y="151"/>
                    <a:ext cx="0" cy="1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30" name="TextBox 70"/>
                  <xdr:cNvSpPr txBox="1">
                    <a:spLocks noChangeArrowheads="1"/>
                  </xdr:cNvSpPr>
                </xdr:nvSpPr>
                <xdr:spPr>
                  <a:xfrm>
                    <a:off x="712" y="236"/>
                    <a:ext cx="2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400" b="0" i="0" u="none" baseline="0">
                        <a:latin typeface="Cordia New"/>
                        <a:ea typeface="Cordia New"/>
                        <a:cs typeface="Cordia New"/>
                      </a:rPr>
                      <a:t>6</a:t>
                    </a:r>
                  </a:p>
                </xdr:txBody>
              </xdr:sp>
            </xdr:grpSp>
            <xdr:grpSp>
              <xdr:nvGrpSpPr>
                <xdr:cNvPr id="31" name="Group 71"/>
                <xdr:cNvGrpSpPr>
                  <a:grpSpLocks/>
                </xdr:cNvGrpSpPr>
              </xdr:nvGrpSpPr>
              <xdr:grpSpPr>
                <a:xfrm>
                  <a:off x="4102" y="496"/>
                  <a:ext cx="80" cy="279"/>
                  <a:chOff x="1776" y="148"/>
                  <a:chExt cx="12" cy="108"/>
                </a:xfrm>
                <a:solidFill>
                  <a:srgbClr val="FFFFFF"/>
                </a:solidFill>
              </xdr:grpSpPr>
              <xdr:sp>
                <xdr:nvSpPr>
                  <xdr:cNvPr id="32" name="Line 72"/>
                  <xdr:cNvSpPr>
                    <a:spLocks/>
                  </xdr:cNvSpPr>
                </xdr:nvSpPr>
                <xdr:spPr>
                  <a:xfrm>
                    <a:off x="1776" y="176"/>
                    <a:ext cx="0" cy="80"/>
                  </a:xfrm>
                  <a:prstGeom prst="line">
                    <a:avLst/>
                  </a:prstGeom>
                  <a:noFill/>
                  <a:ln w="571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rdia New"/>
                        <a:ea typeface="Cordia New"/>
                        <a:cs typeface="Cordia New"/>
                      </a:rPr>
                      <a:t/>
                    </a:r>
                  </a:p>
                </xdr:txBody>
              </xdr:sp>
              <xdr:sp>
                <xdr:nvSpPr>
                  <xdr:cNvPr id="33" name="TextBox 73"/>
                  <xdr:cNvSpPr txBox="1">
                    <a:spLocks noChangeArrowheads="1"/>
                  </xdr:cNvSpPr>
                </xdr:nvSpPr>
                <xdr:spPr>
                  <a:xfrm>
                    <a:off x="1780" y="148"/>
                    <a:ext cx="8" cy="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2600" b="1" i="0" u="none" baseline="0">
                        <a:latin typeface="Cordia New"/>
                        <a:ea typeface="Cordia New"/>
                        <a:cs typeface="Cordia New"/>
                      </a:rPr>
                      <a:t>V</a:t>
                    </a:r>
                  </a:p>
                </xdr:txBody>
              </xdr:sp>
            </xdr:grpSp>
          </xdr:grpSp>
          <xdr:sp>
            <xdr:nvSpPr>
              <xdr:cNvPr id="34" name="Rectangle 74"/>
              <xdr:cNvSpPr>
                <a:spLocks/>
              </xdr:cNvSpPr>
            </xdr:nvSpPr>
            <xdr:spPr>
              <a:xfrm>
                <a:off x="4092" y="686"/>
                <a:ext cx="178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35" name="Rectangle 75"/>
              <xdr:cNvSpPr>
                <a:spLocks/>
              </xdr:cNvSpPr>
            </xdr:nvSpPr>
            <xdr:spPr>
              <a:xfrm>
                <a:off x="4092" y="1018"/>
                <a:ext cx="178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36" name="Rectangle 76"/>
              <xdr:cNvSpPr>
                <a:spLocks/>
              </xdr:cNvSpPr>
            </xdr:nvSpPr>
            <xdr:spPr>
              <a:xfrm>
                <a:off x="4165" y="708"/>
                <a:ext cx="20" cy="31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37" name="Line 77"/>
              <xdr:cNvSpPr>
                <a:spLocks/>
              </xdr:cNvSpPr>
            </xdr:nvSpPr>
            <xdr:spPr>
              <a:xfrm>
                <a:off x="4271" y="914"/>
                <a:ext cx="0" cy="1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38" name="Line 78"/>
              <xdr:cNvSpPr>
                <a:spLocks/>
              </xdr:cNvSpPr>
            </xdr:nvSpPr>
            <xdr:spPr>
              <a:xfrm>
                <a:off x="4271" y="698"/>
                <a:ext cx="0" cy="4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  <xdr:sp>
          <xdr:nvSpPr>
            <xdr:cNvPr id="39" name="Line 79"/>
            <xdr:cNvSpPr>
              <a:spLocks/>
            </xdr:cNvSpPr>
          </xdr:nvSpPr>
          <xdr:spPr>
            <a:xfrm flipH="1">
              <a:off x="3897" y="586"/>
              <a:ext cx="1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TextBox 80"/>
            <xdr:cNvSpPr txBox="1">
              <a:spLocks noChangeArrowheads="1"/>
            </xdr:cNvSpPr>
          </xdr:nvSpPr>
          <xdr:spPr>
            <a:xfrm>
              <a:off x="3984" y="531"/>
              <a:ext cx="67" cy="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2600" b="0" i="0" u="none" baseline="0">
                  <a:latin typeface="Cordia New"/>
                  <a:ea typeface="Cordia New"/>
                  <a:cs typeface="Cordia New"/>
                </a:rPr>
                <a:t>W</a:t>
              </a:r>
            </a:p>
          </xdr:txBody>
        </xdr:sp>
      </xdr:grpSp>
      <xdr:sp>
        <xdr:nvSpPr>
          <xdr:cNvPr id="41" name="Line 81"/>
          <xdr:cNvSpPr>
            <a:spLocks/>
          </xdr:cNvSpPr>
        </xdr:nvSpPr>
        <xdr:spPr>
          <a:xfrm>
            <a:off x="4906" y="660"/>
            <a:ext cx="231" cy="0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2" name="TextBox 82"/>
          <xdr:cNvSpPr txBox="1">
            <a:spLocks noChangeArrowheads="1"/>
          </xdr:cNvSpPr>
        </xdr:nvSpPr>
        <xdr:spPr>
          <a:xfrm>
            <a:off x="5053" y="593"/>
            <a:ext cx="5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0" i="0" u="none" baseline="0">
                <a:latin typeface="Cordia New"/>
                <a:ea typeface="Cordia New"/>
                <a:cs typeface="Cordia New"/>
              </a:rPr>
              <a:t>P</a:t>
            </a:r>
          </a:p>
        </xdr:txBody>
      </xdr:sp>
    </xdr:grpSp>
    <xdr:clientData/>
  </xdr:twoCellAnchor>
  <xdr:twoCellAnchor>
    <xdr:from>
      <xdr:col>1</xdr:col>
      <xdr:colOff>190500</xdr:colOff>
      <xdr:row>49</xdr:row>
      <xdr:rowOff>352425</xdr:rowOff>
    </xdr:from>
    <xdr:to>
      <xdr:col>1</xdr:col>
      <xdr:colOff>219075</xdr:colOff>
      <xdr:row>49</xdr:row>
      <xdr:rowOff>504825</xdr:rowOff>
    </xdr:to>
    <xdr:sp>
      <xdr:nvSpPr>
        <xdr:cNvPr id="43" name="Line 84"/>
        <xdr:cNvSpPr>
          <a:spLocks/>
        </xdr:cNvSpPr>
      </xdr:nvSpPr>
      <xdr:spPr>
        <a:xfrm flipH="1" flipV="1">
          <a:off x="819150" y="266509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390525</xdr:colOff>
      <xdr:row>49</xdr:row>
      <xdr:rowOff>19050</xdr:rowOff>
    </xdr:from>
    <xdr:to>
      <xdr:col>1</xdr:col>
      <xdr:colOff>7067550</xdr:colOff>
      <xdr:row>49</xdr:row>
      <xdr:rowOff>28575</xdr:rowOff>
    </xdr:to>
    <xdr:sp>
      <xdr:nvSpPr>
        <xdr:cNvPr id="44" name="Line 85"/>
        <xdr:cNvSpPr>
          <a:spLocks/>
        </xdr:cNvSpPr>
      </xdr:nvSpPr>
      <xdr:spPr>
        <a:xfrm flipV="1">
          <a:off x="1019175" y="26317575"/>
          <a:ext cx="667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50</xdr:row>
      <xdr:rowOff>0</xdr:rowOff>
    </xdr:from>
    <xdr:to>
      <xdr:col>1</xdr:col>
      <xdr:colOff>4114800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352425" y="239172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19075" y="23917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50</xdr:row>
      <xdr:rowOff>0</xdr:rowOff>
    </xdr:from>
    <xdr:to>
      <xdr:col>0</xdr:col>
      <xdr:colOff>209550</xdr:colOff>
      <xdr:row>50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190500" y="23917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381000</xdr:rowOff>
    </xdr:from>
    <xdr:to>
      <xdr:col>7</xdr:col>
      <xdr:colOff>3114675</xdr:colOff>
      <xdr:row>7</xdr:row>
      <xdr:rowOff>38100</xdr:rowOff>
    </xdr:to>
    <xdr:grpSp>
      <xdr:nvGrpSpPr>
        <xdr:cNvPr id="4" name="Group 45"/>
        <xdr:cNvGrpSpPr>
          <a:grpSpLocks/>
        </xdr:cNvGrpSpPr>
      </xdr:nvGrpSpPr>
      <xdr:grpSpPr>
        <a:xfrm>
          <a:off x="14058900" y="381000"/>
          <a:ext cx="5657850" cy="3076575"/>
          <a:chOff x="1456" y="10"/>
          <a:chExt cx="594" cy="323"/>
        </a:xfrm>
        <a:solidFill>
          <a:srgbClr val="FFFFFF"/>
        </a:solidFill>
      </xdr:grpSpPr>
      <xdr:grpSp>
        <xdr:nvGrpSpPr>
          <xdr:cNvPr id="5" name="Group 42"/>
          <xdr:cNvGrpSpPr>
            <a:grpSpLocks/>
          </xdr:cNvGrpSpPr>
        </xdr:nvGrpSpPr>
        <xdr:grpSpPr>
          <a:xfrm>
            <a:off x="1456" y="18"/>
            <a:ext cx="594" cy="315"/>
            <a:chOff x="1608" y="18"/>
            <a:chExt cx="594" cy="315"/>
          </a:xfrm>
          <a:solidFill>
            <a:srgbClr val="FFFFFF"/>
          </a:solidFill>
        </xdr:grpSpPr>
        <xdr:sp>
          <xdr:nvSpPr>
            <xdr:cNvPr id="7" name="Rectangle 41"/>
            <xdr:cNvSpPr>
              <a:spLocks/>
            </xdr:cNvSpPr>
          </xdr:nvSpPr>
          <xdr:spPr>
            <a:xfrm>
              <a:off x="2097" y="92"/>
              <a:ext cx="105" cy="1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8" name="Line 43"/>
          <xdr:cNvSpPr>
            <a:spLocks/>
          </xdr:cNvSpPr>
        </xdr:nvSpPr>
        <xdr:spPr>
          <a:xfrm>
            <a:off x="1482" y="20"/>
            <a:ext cx="1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TextBox 44"/>
          <xdr:cNvSpPr txBox="1">
            <a:spLocks noChangeArrowheads="1"/>
          </xdr:cNvSpPr>
        </xdr:nvSpPr>
        <xdr:spPr>
          <a:xfrm>
            <a:off x="1544" y="10"/>
            <a:ext cx="44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400" b="0" i="0" u="none" baseline="0">
                <a:latin typeface="Cordia New"/>
                <a:ea typeface="Cordia New"/>
                <a:cs typeface="Cordia New"/>
              </a:rPr>
              <a:t>W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50</xdr:row>
      <xdr:rowOff>0</xdr:rowOff>
    </xdr:from>
    <xdr:to>
      <xdr:col>1</xdr:col>
      <xdr:colOff>4114800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352425" y="239172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19075" y="23917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50</xdr:row>
      <xdr:rowOff>0</xdr:rowOff>
    </xdr:from>
    <xdr:to>
      <xdr:col>0</xdr:col>
      <xdr:colOff>209550</xdr:colOff>
      <xdr:row>50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190500" y="23917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1238250</xdr:colOff>
      <xdr:row>0</xdr:row>
      <xdr:rowOff>476250</xdr:rowOff>
    </xdr:from>
    <xdr:to>
      <xdr:col>6</xdr:col>
      <xdr:colOff>2705100</xdr:colOff>
      <xdr:row>0</xdr:row>
      <xdr:rowOff>476250</xdr:rowOff>
    </xdr:to>
    <xdr:sp>
      <xdr:nvSpPr>
        <xdr:cNvPr id="4" name="Line 13"/>
        <xdr:cNvSpPr>
          <a:spLocks/>
        </xdr:cNvSpPr>
      </xdr:nvSpPr>
      <xdr:spPr>
        <a:xfrm>
          <a:off x="14306550" y="476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1790700</xdr:colOff>
      <xdr:row>0</xdr:row>
      <xdr:rowOff>114300</xdr:rowOff>
    </xdr:from>
    <xdr:ext cx="323850" cy="552450"/>
    <xdr:sp>
      <xdr:nvSpPr>
        <xdr:cNvPr id="5" name="TextBox 14"/>
        <xdr:cNvSpPr txBox="1">
          <a:spLocks noChangeArrowheads="1"/>
        </xdr:cNvSpPr>
      </xdr:nvSpPr>
      <xdr:spPr>
        <a:xfrm>
          <a:off x="14859000" y="114300"/>
          <a:ext cx="323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latin typeface="Cordia New"/>
              <a:ea typeface="Cordia New"/>
              <a:cs typeface="Cordia New"/>
            </a:rPr>
            <a:t>W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12</xdr:row>
      <xdr:rowOff>57150</xdr:rowOff>
    </xdr:from>
    <xdr:to>
      <xdr:col>7</xdr:col>
      <xdr:colOff>342900</xdr:colOff>
      <xdr:row>13</xdr:row>
      <xdr:rowOff>0</xdr:rowOff>
    </xdr:to>
    <xdr:sp>
      <xdr:nvSpPr>
        <xdr:cNvPr id="1" name="Oval 22"/>
        <xdr:cNvSpPr>
          <a:spLocks/>
        </xdr:cNvSpPr>
      </xdr:nvSpPr>
      <xdr:spPr>
        <a:xfrm>
          <a:off x="522922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57150</xdr:rowOff>
    </xdr:from>
    <xdr:to>
      <xdr:col>9</xdr:col>
      <xdr:colOff>342900</xdr:colOff>
      <xdr:row>13</xdr:row>
      <xdr:rowOff>0</xdr:rowOff>
    </xdr:to>
    <xdr:sp>
      <xdr:nvSpPr>
        <xdr:cNvPr id="2" name="Oval 43"/>
        <xdr:cNvSpPr>
          <a:spLocks/>
        </xdr:cNvSpPr>
      </xdr:nvSpPr>
      <xdr:spPr>
        <a:xfrm>
          <a:off x="644842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3</xdr:col>
      <xdr:colOff>342900</xdr:colOff>
      <xdr:row>4</xdr:row>
      <xdr:rowOff>209550</xdr:rowOff>
    </xdr:to>
    <xdr:sp>
      <xdr:nvSpPr>
        <xdr:cNvPr id="3" name="Oval 1"/>
        <xdr:cNvSpPr>
          <a:spLocks/>
        </xdr:cNvSpPr>
      </xdr:nvSpPr>
      <xdr:spPr>
        <a:xfrm>
          <a:off x="27908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57150</xdr:rowOff>
    </xdr:from>
    <xdr:to>
      <xdr:col>3</xdr:col>
      <xdr:colOff>352425</xdr:colOff>
      <xdr:row>6</xdr:row>
      <xdr:rowOff>209550</xdr:rowOff>
    </xdr:to>
    <xdr:sp>
      <xdr:nvSpPr>
        <xdr:cNvPr id="4" name="Oval 2"/>
        <xdr:cNvSpPr>
          <a:spLocks/>
        </xdr:cNvSpPr>
      </xdr:nvSpPr>
      <xdr:spPr>
        <a:xfrm>
          <a:off x="280035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57150</xdr:rowOff>
    </xdr:from>
    <xdr:to>
      <xdr:col>3</xdr:col>
      <xdr:colOff>352425</xdr:colOff>
      <xdr:row>9</xdr:row>
      <xdr:rowOff>0</xdr:rowOff>
    </xdr:to>
    <xdr:sp>
      <xdr:nvSpPr>
        <xdr:cNvPr id="5" name="Oval 3"/>
        <xdr:cNvSpPr>
          <a:spLocks/>
        </xdr:cNvSpPr>
      </xdr:nvSpPr>
      <xdr:spPr>
        <a:xfrm>
          <a:off x="2800350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57150</xdr:rowOff>
    </xdr:from>
    <xdr:to>
      <xdr:col>1</xdr:col>
      <xdr:colOff>342900</xdr:colOff>
      <xdr:row>4</xdr:row>
      <xdr:rowOff>209550</xdr:rowOff>
    </xdr:to>
    <xdr:sp>
      <xdr:nvSpPr>
        <xdr:cNvPr id="6" name="Oval 4"/>
        <xdr:cNvSpPr>
          <a:spLocks/>
        </xdr:cNvSpPr>
      </xdr:nvSpPr>
      <xdr:spPr>
        <a:xfrm>
          <a:off x="15716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57150</xdr:rowOff>
    </xdr:from>
    <xdr:to>
      <xdr:col>1</xdr:col>
      <xdr:colOff>352425</xdr:colOff>
      <xdr:row>6</xdr:row>
      <xdr:rowOff>209550</xdr:rowOff>
    </xdr:to>
    <xdr:sp>
      <xdr:nvSpPr>
        <xdr:cNvPr id="7" name="Oval 5"/>
        <xdr:cNvSpPr>
          <a:spLocks/>
        </xdr:cNvSpPr>
      </xdr:nvSpPr>
      <xdr:spPr>
        <a:xfrm>
          <a:off x="158115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57150</xdr:rowOff>
    </xdr:from>
    <xdr:to>
      <xdr:col>5</xdr:col>
      <xdr:colOff>352425</xdr:colOff>
      <xdr:row>5</xdr:row>
      <xdr:rowOff>0</xdr:rowOff>
    </xdr:to>
    <xdr:sp>
      <xdr:nvSpPr>
        <xdr:cNvPr id="8" name="Oval 6"/>
        <xdr:cNvSpPr>
          <a:spLocks/>
        </xdr:cNvSpPr>
      </xdr:nvSpPr>
      <xdr:spPr>
        <a:xfrm>
          <a:off x="401955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57150</xdr:rowOff>
    </xdr:from>
    <xdr:to>
      <xdr:col>5</xdr:col>
      <xdr:colOff>342900</xdr:colOff>
      <xdr:row>7</xdr:row>
      <xdr:rowOff>0</xdr:rowOff>
    </xdr:to>
    <xdr:sp>
      <xdr:nvSpPr>
        <xdr:cNvPr id="9" name="Oval 7"/>
        <xdr:cNvSpPr>
          <a:spLocks/>
        </xdr:cNvSpPr>
      </xdr:nvSpPr>
      <xdr:spPr>
        <a:xfrm>
          <a:off x="401002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57150</xdr:rowOff>
    </xdr:from>
    <xdr:to>
      <xdr:col>5</xdr:col>
      <xdr:colOff>342900</xdr:colOff>
      <xdr:row>9</xdr:row>
      <xdr:rowOff>0</xdr:rowOff>
    </xdr:to>
    <xdr:sp>
      <xdr:nvSpPr>
        <xdr:cNvPr id="10" name="Oval 8"/>
        <xdr:cNvSpPr>
          <a:spLocks/>
        </xdr:cNvSpPr>
      </xdr:nvSpPr>
      <xdr:spPr>
        <a:xfrm>
          <a:off x="401002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57150</xdr:rowOff>
    </xdr:from>
    <xdr:to>
      <xdr:col>5</xdr:col>
      <xdr:colOff>342900</xdr:colOff>
      <xdr:row>11</xdr:row>
      <xdr:rowOff>0</xdr:rowOff>
    </xdr:to>
    <xdr:sp>
      <xdr:nvSpPr>
        <xdr:cNvPr id="11" name="Oval 9"/>
        <xdr:cNvSpPr>
          <a:spLocks/>
        </xdr:cNvSpPr>
      </xdr:nvSpPr>
      <xdr:spPr>
        <a:xfrm>
          <a:off x="401002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1228725</xdr:colOff>
      <xdr:row>5</xdr:row>
      <xdr:rowOff>104775</xdr:rowOff>
    </xdr:from>
    <xdr:to>
      <xdr:col>2</xdr:col>
      <xdr:colOff>161925</xdr:colOff>
      <xdr:row>5</xdr:row>
      <xdr:rowOff>104775</xdr:rowOff>
    </xdr:to>
    <xdr:sp>
      <xdr:nvSpPr>
        <xdr:cNvPr id="12" name="Line 10"/>
        <xdr:cNvSpPr>
          <a:spLocks/>
        </xdr:cNvSpPr>
      </xdr:nvSpPr>
      <xdr:spPr>
        <a:xfrm>
          <a:off x="1228725" y="1152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133350</xdr:rowOff>
    </xdr:from>
    <xdr:to>
      <xdr:col>4</xdr:col>
      <xdr:colOff>114300</xdr:colOff>
      <xdr:row>6</xdr:row>
      <xdr:rowOff>133350</xdr:rowOff>
    </xdr:to>
    <xdr:sp>
      <xdr:nvSpPr>
        <xdr:cNvPr id="13" name="Line 11"/>
        <xdr:cNvSpPr>
          <a:spLocks/>
        </xdr:cNvSpPr>
      </xdr:nvSpPr>
      <xdr:spPr>
        <a:xfrm>
          <a:off x="2400300" y="1390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428625</xdr:colOff>
      <xdr:row>7</xdr:row>
      <xdr:rowOff>133350</xdr:rowOff>
    </xdr:from>
    <xdr:to>
      <xdr:col>6</xdr:col>
      <xdr:colOff>152400</xdr:colOff>
      <xdr:row>7</xdr:row>
      <xdr:rowOff>133350</xdr:rowOff>
    </xdr:to>
    <xdr:sp>
      <xdr:nvSpPr>
        <xdr:cNvPr id="14" name="Line 12"/>
        <xdr:cNvSpPr>
          <a:spLocks/>
        </xdr:cNvSpPr>
      </xdr:nvSpPr>
      <xdr:spPr>
        <a:xfrm>
          <a:off x="3657600" y="1600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104775</xdr:rowOff>
    </xdr:from>
    <xdr:to>
      <xdr:col>1</xdr:col>
      <xdr:colOff>257175</xdr:colOff>
      <xdr:row>8</xdr:row>
      <xdr:rowOff>0</xdr:rowOff>
    </xdr:to>
    <xdr:sp>
      <xdr:nvSpPr>
        <xdr:cNvPr id="15" name="Line 13"/>
        <xdr:cNvSpPr>
          <a:spLocks/>
        </xdr:cNvSpPr>
      </xdr:nvSpPr>
      <xdr:spPr>
        <a:xfrm>
          <a:off x="1657350" y="7334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142875</xdr:rowOff>
    </xdr:from>
    <xdr:to>
      <xdr:col>3</xdr:col>
      <xdr:colOff>257175</xdr:colOff>
      <xdr:row>9</xdr:row>
      <xdr:rowOff>142875</xdr:rowOff>
    </xdr:to>
    <xdr:sp>
      <xdr:nvSpPr>
        <xdr:cNvPr id="16" name="Line 14"/>
        <xdr:cNvSpPr>
          <a:spLocks/>
        </xdr:cNvSpPr>
      </xdr:nvSpPr>
      <xdr:spPr>
        <a:xfrm>
          <a:off x="2876550" y="7715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133350</xdr:rowOff>
    </xdr:from>
    <xdr:to>
      <xdr:col>5</xdr:col>
      <xdr:colOff>257175</xdr:colOff>
      <xdr:row>18</xdr:row>
      <xdr:rowOff>180975</xdr:rowOff>
    </xdr:to>
    <xdr:sp>
      <xdr:nvSpPr>
        <xdr:cNvPr id="17" name="Line 15"/>
        <xdr:cNvSpPr>
          <a:spLocks/>
        </xdr:cNvSpPr>
      </xdr:nvSpPr>
      <xdr:spPr>
        <a:xfrm>
          <a:off x="4095750" y="76200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57150</xdr:rowOff>
    </xdr:from>
    <xdr:to>
      <xdr:col>7</xdr:col>
      <xdr:colOff>352425</xdr:colOff>
      <xdr:row>5</xdr:row>
      <xdr:rowOff>0</xdr:rowOff>
    </xdr:to>
    <xdr:sp>
      <xdr:nvSpPr>
        <xdr:cNvPr id="18" name="Oval 16"/>
        <xdr:cNvSpPr>
          <a:spLocks/>
        </xdr:cNvSpPr>
      </xdr:nvSpPr>
      <xdr:spPr>
        <a:xfrm>
          <a:off x="523875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57150</xdr:rowOff>
    </xdr:from>
    <xdr:to>
      <xdr:col>7</xdr:col>
      <xdr:colOff>342900</xdr:colOff>
      <xdr:row>7</xdr:row>
      <xdr:rowOff>0</xdr:rowOff>
    </xdr:to>
    <xdr:sp>
      <xdr:nvSpPr>
        <xdr:cNvPr id="19" name="Oval 17"/>
        <xdr:cNvSpPr>
          <a:spLocks/>
        </xdr:cNvSpPr>
      </xdr:nvSpPr>
      <xdr:spPr>
        <a:xfrm>
          <a:off x="522922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57150</xdr:rowOff>
    </xdr:from>
    <xdr:to>
      <xdr:col>7</xdr:col>
      <xdr:colOff>342900</xdr:colOff>
      <xdr:row>9</xdr:row>
      <xdr:rowOff>0</xdr:rowOff>
    </xdr:to>
    <xdr:sp>
      <xdr:nvSpPr>
        <xdr:cNvPr id="20" name="Oval 18"/>
        <xdr:cNvSpPr>
          <a:spLocks/>
        </xdr:cNvSpPr>
      </xdr:nvSpPr>
      <xdr:spPr>
        <a:xfrm>
          <a:off x="522922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57150</xdr:rowOff>
    </xdr:from>
    <xdr:to>
      <xdr:col>7</xdr:col>
      <xdr:colOff>342900</xdr:colOff>
      <xdr:row>11</xdr:row>
      <xdr:rowOff>0</xdr:rowOff>
    </xdr:to>
    <xdr:sp>
      <xdr:nvSpPr>
        <xdr:cNvPr id="21" name="Oval 19"/>
        <xdr:cNvSpPr>
          <a:spLocks/>
        </xdr:cNvSpPr>
      </xdr:nvSpPr>
      <xdr:spPr>
        <a:xfrm>
          <a:off x="522922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8</xdr:col>
      <xdr:colOff>161925</xdr:colOff>
      <xdr:row>8</xdr:row>
      <xdr:rowOff>133350</xdr:rowOff>
    </xdr:to>
    <xdr:sp>
      <xdr:nvSpPr>
        <xdr:cNvPr id="22" name="Line 20"/>
        <xdr:cNvSpPr>
          <a:spLocks/>
        </xdr:cNvSpPr>
      </xdr:nvSpPr>
      <xdr:spPr>
        <a:xfrm>
          <a:off x="4886325" y="1809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133350</xdr:rowOff>
    </xdr:from>
    <xdr:to>
      <xdr:col>7</xdr:col>
      <xdr:colOff>257175</xdr:colOff>
      <xdr:row>18</xdr:row>
      <xdr:rowOff>180975</xdr:rowOff>
    </xdr:to>
    <xdr:sp>
      <xdr:nvSpPr>
        <xdr:cNvPr id="23" name="Line 21"/>
        <xdr:cNvSpPr>
          <a:spLocks/>
        </xdr:cNvSpPr>
      </xdr:nvSpPr>
      <xdr:spPr>
        <a:xfrm>
          <a:off x="5314950" y="76200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352425</xdr:colOff>
      <xdr:row>5</xdr:row>
      <xdr:rowOff>0</xdr:rowOff>
    </xdr:to>
    <xdr:sp>
      <xdr:nvSpPr>
        <xdr:cNvPr id="24" name="Oval 37"/>
        <xdr:cNvSpPr>
          <a:spLocks/>
        </xdr:cNvSpPr>
      </xdr:nvSpPr>
      <xdr:spPr>
        <a:xfrm>
          <a:off x="645795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57150</xdr:rowOff>
    </xdr:from>
    <xdr:to>
      <xdr:col>9</xdr:col>
      <xdr:colOff>342900</xdr:colOff>
      <xdr:row>7</xdr:row>
      <xdr:rowOff>0</xdr:rowOff>
    </xdr:to>
    <xdr:sp>
      <xdr:nvSpPr>
        <xdr:cNvPr id="25" name="Oval 38"/>
        <xdr:cNvSpPr>
          <a:spLocks/>
        </xdr:cNvSpPr>
      </xdr:nvSpPr>
      <xdr:spPr>
        <a:xfrm>
          <a:off x="644842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57150</xdr:rowOff>
    </xdr:from>
    <xdr:to>
      <xdr:col>9</xdr:col>
      <xdr:colOff>342900</xdr:colOff>
      <xdr:row>9</xdr:row>
      <xdr:rowOff>0</xdr:rowOff>
    </xdr:to>
    <xdr:sp>
      <xdr:nvSpPr>
        <xdr:cNvPr id="26" name="Oval 39"/>
        <xdr:cNvSpPr>
          <a:spLocks/>
        </xdr:cNvSpPr>
      </xdr:nvSpPr>
      <xdr:spPr>
        <a:xfrm>
          <a:off x="644842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10</xdr:row>
      <xdr:rowOff>57150</xdr:rowOff>
    </xdr:from>
    <xdr:to>
      <xdr:col>9</xdr:col>
      <xdr:colOff>342900</xdr:colOff>
      <xdr:row>11</xdr:row>
      <xdr:rowOff>0</xdr:rowOff>
    </xdr:to>
    <xdr:sp>
      <xdr:nvSpPr>
        <xdr:cNvPr id="27" name="Oval 40"/>
        <xdr:cNvSpPr>
          <a:spLocks/>
        </xdr:cNvSpPr>
      </xdr:nvSpPr>
      <xdr:spPr>
        <a:xfrm>
          <a:off x="644842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123825</xdr:rowOff>
    </xdr:from>
    <xdr:to>
      <xdr:col>10</xdr:col>
      <xdr:colOff>171450</xdr:colOff>
      <xdr:row>9</xdr:row>
      <xdr:rowOff>123825</xdr:rowOff>
    </xdr:to>
    <xdr:sp>
      <xdr:nvSpPr>
        <xdr:cNvPr id="28" name="Line 41"/>
        <xdr:cNvSpPr>
          <a:spLocks/>
        </xdr:cNvSpPr>
      </xdr:nvSpPr>
      <xdr:spPr>
        <a:xfrm>
          <a:off x="6115050" y="2009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133350</xdr:rowOff>
    </xdr:from>
    <xdr:to>
      <xdr:col>9</xdr:col>
      <xdr:colOff>257175</xdr:colOff>
      <xdr:row>18</xdr:row>
      <xdr:rowOff>180975</xdr:rowOff>
    </xdr:to>
    <xdr:sp>
      <xdr:nvSpPr>
        <xdr:cNvPr id="29" name="Line 42"/>
        <xdr:cNvSpPr>
          <a:spLocks/>
        </xdr:cNvSpPr>
      </xdr:nvSpPr>
      <xdr:spPr>
        <a:xfrm>
          <a:off x="6534150" y="76200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14</xdr:row>
      <xdr:rowOff>57150</xdr:rowOff>
    </xdr:from>
    <xdr:to>
      <xdr:col>9</xdr:col>
      <xdr:colOff>342900</xdr:colOff>
      <xdr:row>15</xdr:row>
      <xdr:rowOff>0</xdr:rowOff>
    </xdr:to>
    <xdr:sp>
      <xdr:nvSpPr>
        <xdr:cNvPr id="30" name="Oval 44"/>
        <xdr:cNvSpPr>
          <a:spLocks/>
        </xdr:cNvSpPr>
      </xdr:nvSpPr>
      <xdr:spPr>
        <a:xfrm>
          <a:off x="6448425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12</xdr:row>
      <xdr:rowOff>57150</xdr:rowOff>
    </xdr:from>
    <xdr:to>
      <xdr:col>11</xdr:col>
      <xdr:colOff>342900</xdr:colOff>
      <xdr:row>13</xdr:row>
      <xdr:rowOff>0</xdr:rowOff>
    </xdr:to>
    <xdr:sp>
      <xdr:nvSpPr>
        <xdr:cNvPr id="31" name="Oval 61"/>
        <xdr:cNvSpPr>
          <a:spLocks/>
        </xdr:cNvSpPr>
      </xdr:nvSpPr>
      <xdr:spPr>
        <a:xfrm>
          <a:off x="766762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180975</xdr:colOff>
      <xdr:row>4</xdr:row>
      <xdr:rowOff>57150</xdr:rowOff>
    </xdr:from>
    <xdr:to>
      <xdr:col>11</xdr:col>
      <xdr:colOff>352425</xdr:colOff>
      <xdr:row>5</xdr:row>
      <xdr:rowOff>0</xdr:rowOff>
    </xdr:to>
    <xdr:sp>
      <xdr:nvSpPr>
        <xdr:cNvPr id="32" name="Oval 62"/>
        <xdr:cNvSpPr>
          <a:spLocks/>
        </xdr:cNvSpPr>
      </xdr:nvSpPr>
      <xdr:spPr>
        <a:xfrm>
          <a:off x="767715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57150</xdr:rowOff>
    </xdr:from>
    <xdr:to>
      <xdr:col>11</xdr:col>
      <xdr:colOff>342900</xdr:colOff>
      <xdr:row>7</xdr:row>
      <xdr:rowOff>0</xdr:rowOff>
    </xdr:to>
    <xdr:sp>
      <xdr:nvSpPr>
        <xdr:cNvPr id="33" name="Oval 63"/>
        <xdr:cNvSpPr>
          <a:spLocks/>
        </xdr:cNvSpPr>
      </xdr:nvSpPr>
      <xdr:spPr>
        <a:xfrm>
          <a:off x="766762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8</xdr:row>
      <xdr:rowOff>57150</xdr:rowOff>
    </xdr:from>
    <xdr:to>
      <xdr:col>11</xdr:col>
      <xdr:colOff>342900</xdr:colOff>
      <xdr:row>9</xdr:row>
      <xdr:rowOff>0</xdr:rowOff>
    </xdr:to>
    <xdr:sp>
      <xdr:nvSpPr>
        <xdr:cNvPr id="34" name="Oval 64"/>
        <xdr:cNvSpPr>
          <a:spLocks/>
        </xdr:cNvSpPr>
      </xdr:nvSpPr>
      <xdr:spPr>
        <a:xfrm>
          <a:off x="766762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10</xdr:row>
      <xdr:rowOff>57150</xdr:rowOff>
    </xdr:from>
    <xdr:to>
      <xdr:col>11</xdr:col>
      <xdr:colOff>342900</xdr:colOff>
      <xdr:row>11</xdr:row>
      <xdr:rowOff>0</xdr:rowOff>
    </xdr:to>
    <xdr:sp>
      <xdr:nvSpPr>
        <xdr:cNvPr id="35" name="Oval 65"/>
        <xdr:cNvSpPr>
          <a:spLocks/>
        </xdr:cNvSpPr>
      </xdr:nvSpPr>
      <xdr:spPr>
        <a:xfrm>
          <a:off x="766762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123825</xdr:rowOff>
    </xdr:from>
    <xdr:to>
      <xdr:col>12</xdr:col>
      <xdr:colOff>190500</xdr:colOff>
      <xdr:row>10</xdr:row>
      <xdr:rowOff>123825</xdr:rowOff>
    </xdr:to>
    <xdr:sp>
      <xdr:nvSpPr>
        <xdr:cNvPr id="36" name="Line 66"/>
        <xdr:cNvSpPr>
          <a:spLocks/>
        </xdr:cNvSpPr>
      </xdr:nvSpPr>
      <xdr:spPr>
        <a:xfrm>
          <a:off x="7353300" y="2219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133350</xdr:rowOff>
    </xdr:from>
    <xdr:to>
      <xdr:col>11</xdr:col>
      <xdr:colOff>257175</xdr:colOff>
      <xdr:row>18</xdr:row>
      <xdr:rowOff>180975</xdr:rowOff>
    </xdr:to>
    <xdr:sp>
      <xdr:nvSpPr>
        <xdr:cNvPr id="37" name="Line 67"/>
        <xdr:cNvSpPr>
          <a:spLocks/>
        </xdr:cNvSpPr>
      </xdr:nvSpPr>
      <xdr:spPr>
        <a:xfrm>
          <a:off x="7753350" y="76200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57150</xdr:rowOff>
    </xdr:from>
    <xdr:to>
      <xdr:col>11</xdr:col>
      <xdr:colOff>342900</xdr:colOff>
      <xdr:row>15</xdr:row>
      <xdr:rowOff>0</xdr:rowOff>
    </xdr:to>
    <xdr:sp>
      <xdr:nvSpPr>
        <xdr:cNvPr id="38" name="Oval 68"/>
        <xdr:cNvSpPr>
          <a:spLocks/>
        </xdr:cNvSpPr>
      </xdr:nvSpPr>
      <xdr:spPr>
        <a:xfrm>
          <a:off x="7667625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114300</xdr:rowOff>
    </xdr:from>
    <xdr:to>
      <xdr:col>11</xdr:col>
      <xdr:colOff>352425</xdr:colOff>
      <xdr:row>17</xdr:row>
      <xdr:rowOff>57150</xdr:rowOff>
    </xdr:to>
    <xdr:sp>
      <xdr:nvSpPr>
        <xdr:cNvPr id="39" name="Oval 69"/>
        <xdr:cNvSpPr>
          <a:spLocks/>
        </xdr:cNvSpPr>
      </xdr:nvSpPr>
      <xdr:spPr>
        <a:xfrm>
          <a:off x="7677150" y="34671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6</xdr:row>
      <xdr:rowOff>66675</xdr:rowOff>
    </xdr:from>
    <xdr:to>
      <xdr:col>3</xdr:col>
      <xdr:colOff>561975</xdr:colOff>
      <xdr:row>7</xdr:row>
      <xdr:rowOff>9525</xdr:rowOff>
    </xdr:to>
    <xdr:sp>
      <xdr:nvSpPr>
        <xdr:cNvPr id="1" name="Oval 35"/>
        <xdr:cNvSpPr>
          <a:spLocks/>
        </xdr:cNvSpPr>
      </xdr:nvSpPr>
      <xdr:spPr>
        <a:xfrm>
          <a:off x="3009900" y="13239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57150</xdr:rowOff>
    </xdr:from>
    <xdr:to>
      <xdr:col>7</xdr:col>
      <xdr:colOff>171450</xdr:colOff>
      <xdr:row>13</xdr:row>
      <xdr:rowOff>0</xdr:rowOff>
    </xdr:to>
    <xdr:sp>
      <xdr:nvSpPr>
        <xdr:cNvPr id="2" name="Oval 1"/>
        <xdr:cNvSpPr>
          <a:spLocks/>
        </xdr:cNvSpPr>
      </xdr:nvSpPr>
      <xdr:spPr>
        <a:xfrm>
          <a:off x="505777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57150</xdr:rowOff>
    </xdr:from>
    <xdr:to>
      <xdr:col>9</xdr:col>
      <xdr:colOff>180975</xdr:colOff>
      <xdr:row>13</xdr:row>
      <xdr:rowOff>0</xdr:rowOff>
    </xdr:to>
    <xdr:sp>
      <xdr:nvSpPr>
        <xdr:cNvPr id="3" name="Oval 2"/>
        <xdr:cNvSpPr>
          <a:spLocks/>
        </xdr:cNvSpPr>
      </xdr:nvSpPr>
      <xdr:spPr>
        <a:xfrm>
          <a:off x="6286500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57150</xdr:rowOff>
    </xdr:from>
    <xdr:to>
      <xdr:col>3</xdr:col>
      <xdr:colOff>190500</xdr:colOff>
      <xdr:row>5</xdr:row>
      <xdr:rowOff>0</xdr:rowOff>
    </xdr:to>
    <xdr:sp>
      <xdr:nvSpPr>
        <xdr:cNvPr id="4" name="Oval 3"/>
        <xdr:cNvSpPr>
          <a:spLocks/>
        </xdr:cNvSpPr>
      </xdr:nvSpPr>
      <xdr:spPr>
        <a:xfrm>
          <a:off x="26384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57150</xdr:rowOff>
    </xdr:from>
    <xdr:to>
      <xdr:col>3</xdr:col>
      <xdr:colOff>200025</xdr:colOff>
      <xdr:row>7</xdr:row>
      <xdr:rowOff>0</xdr:rowOff>
    </xdr:to>
    <xdr:sp>
      <xdr:nvSpPr>
        <xdr:cNvPr id="5" name="Oval 4"/>
        <xdr:cNvSpPr>
          <a:spLocks/>
        </xdr:cNvSpPr>
      </xdr:nvSpPr>
      <xdr:spPr>
        <a:xfrm>
          <a:off x="264795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57150</xdr:rowOff>
    </xdr:from>
    <xdr:to>
      <xdr:col>3</xdr:col>
      <xdr:colOff>200025</xdr:colOff>
      <xdr:row>9</xdr:row>
      <xdr:rowOff>0</xdr:rowOff>
    </xdr:to>
    <xdr:sp>
      <xdr:nvSpPr>
        <xdr:cNvPr id="6" name="Oval 5"/>
        <xdr:cNvSpPr>
          <a:spLocks/>
        </xdr:cNvSpPr>
      </xdr:nvSpPr>
      <xdr:spPr>
        <a:xfrm>
          <a:off x="2647950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57150</xdr:rowOff>
    </xdr:from>
    <xdr:to>
      <xdr:col>5</xdr:col>
      <xdr:colOff>190500</xdr:colOff>
      <xdr:row>5</xdr:row>
      <xdr:rowOff>0</xdr:rowOff>
    </xdr:to>
    <xdr:sp>
      <xdr:nvSpPr>
        <xdr:cNvPr id="7" name="Oval 8"/>
        <xdr:cNvSpPr>
          <a:spLocks/>
        </xdr:cNvSpPr>
      </xdr:nvSpPr>
      <xdr:spPr>
        <a:xfrm>
          <a:off x="38576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57150</xdr:rowOff>
    </xdr:from>
    <xdr:to>
      <xdr:col>5</xdr:col>
      <xdr:colOff>180975</xdr:colOff>
      <xdr:row>7</xdr:row>
      <xdr:rowOff>0</xdr:rowOff>
    </xdr:to>
    <xdr:sp>
      <xdr:nvSpPr>
        <xdr:cNvPr id="8" name="Oval 9"/>
        <xdr:cNvSpPr>
          <a:spLocks/>
        </xdr:cNvSpPr>
      </xdr:nvSpPr>
      <xdr:spPr>
        <a:xfrm>
          <a:off x="384810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57150</xdr:rowOff>
    </xdr:from>
    <xdr:to>
      <xdr:col>5</xdr:col>
      <xdr:colOff>180975</xdr:colOff>
      <xdr:row>9</xdr:row>
      <xdr:rowOff>0</xdr:rowOff>
    </xdr:to>
    <xdr:sp>
      <xdr:nvSpPr>
        <xdr:cNvPr id="9" name="Oval 10"/>
        <xdr:cNvSpPr>
          <a:spLocks/>
        </xdr:cNvSpPr>
      </xdr:nvSpPr>
      <xdr:spPr>
        <a:xfrm>
          <a:off x="3848100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57150</xdr:rowOff>
    </xdr:from>
    <xdr:to>
      <xdr:col>5</xdr:col>
      <xdr:colOff>180975</xdr:colOff>
      <xdr:row>11</xdr:row>
      <xdr:rowOff>0</xdr:rowOff>
    </xdr:to>
    <xdr:sp>
      <xdr:nvSpPr>
        <xdr:cNvPr id="10" name="Oval 11"/>
        <xdr:cNvSpPr>
          <a:spLocks/>
        </xdr:cNvSpPr>
      </xdr:nvSpPr>
      <xdr:spPr>
        <a:xfrm>
          <a:off x="3848100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1228725</xdr:colOff>
      <xdr:row>5</xdr:row>
      <xdr:rowOff>104775</xdr:rowOff>
    </xdr:from>
    <xdr:to>
      <xdr:col>2</xdr:col>
      <xdr:colOff>161925</xdr:colOff>
      <xdr:row>5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1228725" y="1152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133350</xdr:rowOff>
    </xdr:from>
    <xdr:to>
      <xdr:col>4</xdr:col>
      <xdr:colOff>114300</xdr:colOff>
      <xdr:row>6</xdr:row>
      <xdr:rowOff>133350</xdr:rowOff>
    </xdr:to>
    <xdr:sp>
      <xdr:nvSpPr>
        <xdr:cNvPr id="12" name="Line 13"/>
        <xdr:cNvSpPr>
          <a:spLocks/>
        </xdr:cNvSpPr>
      </xdr:nvSpPr>
      <xdr:spPr>
        <a:xfrm>
          <a:off x="2400300" y="1390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428625</xdr:colOff>
      <xdr:row>7</xdr:row>
      <xdr:rowOff>133350</xdr:rowOff>
    </xdr:from>
    <xdr:to>
      <xdr:col>6</xdr:col>
      <xdr:colOff>152400</xdr:colOff>
      <xdr:row>7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3657600" y="1600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104775</xdr:rowOff>
    </xdr:from>
    <xdr:to>
      <xdr:col>1</xdr:col>
      <xdr:colOff>257175</xdr:colOff>
      <xdr:row>8</xdr:row>
      <xdr:rowOff>0</xdr:rowOff>
    </xdr:to>
    <xdr:sp>
      <xdr:nvSpPr>
        <xdr:cNvPr id="14" name="Line 15"/>
        <xdr:cNvSpPr>
          <a:spLocks/>
        </xdr:cNvSpPr>
      </xdr:nvSpPr>
      <xdr:spPr>
        <a:xfrm>
          <a:off x="1657350" y="7334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142875</xdr:rowOff>
    </xdr:from>
    <xdr:to>
      <xdr:col>3</xdr:col>
      <xdr:colOff>314325</xdr:colOff>
      <xdr:row>9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2933700" y="7715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133350</xdr:rowOff>
    </xdr:from>
    <xdr:to>
      <xdr:col>5</xdr:col>
      <xdr:colOff>295275</xdr:colOff>
      <xdr:row>11</xdr:row>
      <xdr:rowOff>190500</xdr:rowOff>
    </xdr:to>
    <xdr:sp>
      <xdr:nvSpPr>
        <xdr:cNvPr id="16" name="Line 17"/>
        <xdr:cNvSpPr>
          <a:spLocks/>
        </xdr:cNvSpPr>
      </xdr:nvSpPr>
      <xdr:spPr>
        <a:xfrm>
          <a:off x="4133850" y="7620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57150</xdr:rowOff>
    </xdr:from>
    <xdr:to>
      <xdr:col>7</xdr:col>
      <xdr:colOff>180975</xdr:colOff>
      <xdr:row>5</xdr:row>
      <xdr:rowOff>0</xdr:rowOff>
    </xdr:to>
    <xdr:sp>
      <xdr:nvSpPr>
        <xdr:cNvPr id="17" name="Oval 18"/>
        <xdr:cNvSpPr>
          <a:spLocks/>
        </xdr:cNvSpPr>
      </xdr:nvSpPr>
      <xdr:spPr>
        <a:xfrm>
          <a:off x="506730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171450</xdr:colOff>
      <xdr:row>7</xdr:row>
      <xdr:rowOff>0</xdr:rowOff>
    </xdr:to>
    <xdr:sp>
      <xdr:nvSpPr>
        <xdr:cNvPr id="18" name="Oval 19"/>
        <xdr:cNvSpPr>
          <a:spLocks/>
        </xdr:cNvSpPr>
      </xdr:nvSpPr>
      <xdr:spPr>
        <a:xfrm>
          <a:off x="505777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57150</xdr:rowOff>
    </xdr:from>
    <xdr:to>
      <xdr:col>7</xdr:col>
      <xdr:colOff>171450</xdr:colOff>
      <xdr:row>9</xdr:row>
      <xdr:rowOff>0</xdr:rowOff>
    </xdr:to>
    <xdr:sp>
      <xdr:nvSpPr>
        <xdr:cNvPr id="19" name="Oval 20"/>
        <xdr:cNvSpPr>
          <a:spLocks/>
        </xdr:cNvSpPr>
      </xdr:nvSpPr>
      <xdr:spPr>
        <a:xfrm>
          <a:off x="505777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57150</xdr:rowOff>
    </xdr:from>
    <xdr:to>
      <xdr:col>7</xdr:col>
      <xdr:colOff>171450</xdr:colOff>
      <xdr:row>11</xdr:row>
      <xdr:rowOff>0</xdr:rowOff>
    </xdr:to>
    <xdr:sp>
      <xdr:nvSpPr>
        <xdr:cNvPr id="20" name="Oval 21"/>
        <xdr:cNvSpPr>
          <a:spLocks/>
        </xdr:cNvSpPr>
      </xdr:nvSpPr>
      <xdr:spPr>
        <a:xfrm>
          <a:off x="505777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8</xdr:col>
      <xdr:colOff>161925</xdr:colOff>
      <xdr:row>8</xdr:row>
      <xdr:rowOff>133350</xdr:rowOff>
    </xdr:to>
    <xdr:sp>
      <xdr:nvSpPr>
        <xdr:cNvPr id="21" name="Line 22"/>
        <xdr:cNvSpPr>
          <a:spLocks/>
        </xdr:cNvSpPr>
      </xdr:nvSpPr>
      <xdr:spPr>
        <a:xfrm>
          <a:off x="4886325" y="1809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133350</xdr:rowOff>
    </xdr:from>
    <xdr:to>
      <xdr:col>7</xdr:col>
      <xdr:colOff>257175</xdr:colOff>
      <xdr:row>17</xdr:row>
      <xdr:rowOff>180975</xdr:rowOff>
    </xdr:to>
    <xdr:sp>
      <xdr:nvSpPr>
        <xdr:cNvPr id="22" name="Line 23"/>
        <xdr:cNvSpPr>
          <a:spLocks/>
        </xdr:cNvSpPr>
      </xdr:nvSpPr>
      <xdr:spPr>
        <a:xfrm>
          <a:off x="5314950" y="7620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57150</xdr:rowOff>
    </xdr:from>
    <xdr:to>
      <xdr:col>9</xdr:col>
      <xdr:colOff>190500</xdr:colOff>
      <xdr:row>5</xdr:row>
      <xdr:rowOff>0</xdr:rowOff>
    </xdr:to>
    <xdr:sp>
      <xdr:nvSpPr>
        <xdr:cNvPr id="23" name="Oval 24"/>
        <xdr:cNvSpPr>
          <a:spLocks/>
        </xdr:cNvSpPr>
      </xdr:nvSpPr>
      <xdr:spPr>
        <a:xfrm>
          <a:off x="62960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57150</xdr:rowOff>
    </xdr:from>
    <xdr:to>
      <xdr:col>9</xdr:col>
      <xdr:colOff>180975</xdr:colOff>
      <xdr:row>7</xdr:row>
      <xdr:rowOff>0</xdr:rowOff>
    </xdr:to>
    <xdr:sp>
      <xdr:nvSpPr>
        <xdr:cNvPr id="24" name="Oval 25"/>
        <xdr:cNvSpPr>
          <a:spLocks/>
        </xdr:cNvSpPr>
      </xdr:nvSpPr>
      <xdr:spPr>
        <a:xfrm>
          <a:off x="628650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57150</xdr:rowOff>
    </xdr:from>
    <xdr:to>
      <xdr:col>9</xdr:col>
      <xdr:colOff>180975</xdr:colOff>
      <xdr:row>9</xdr:row>
      <xdr:rowOff>0</xdr:rowOff>
    </xdr:to>
    <xdr:sp>
      <xdr:nvSpPr>
        <xdr:cNvPr id="25" name="Oval 26"/>
        <xdr:cNvSpPr>
          <a:spLocks/>
        </xdr:cNvSpPr>
      </xdr:nvSpPr>
      <xdr:spPr>
        <a:xfrm>
          <a:off x="6286500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57150</xdr:rowOff>
    </xdr:from>
    <xdr:to>
      <xdr:col>9</xdr:col>
      <xdr:colOff>180975</xdr:colOff>
      <xdr:row>11</xdr:row>
      <xdr:rowOff>0</xdr:rowOff>
    </xdr:to>
    <xdr:sp>
      <xdr:nvSpPr>
        <xdr:cNvPr id="26" name="Oval 27"/>
        <xdr:cNvSpPr>
          <a:spLocks/>
        </xdr:cNvSpPr>
      </xdr:nvSpPr>
      <xdr:spPr>
        <a:xfrm>
          <a:off x="6286500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123825</xdr:rowOff>
    </xdr:from>
    <xdr:to>
      <xdr:col>10</xdr:col>
      <xdr:colOff>171450</xdr:colOff>
      <xdr:row>9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6115050" y="2009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3</xdr:row>
      <xdr:rowOff>133350</xdr:rowOff>
    </xdr:from>
    <xdr:to>
      <xdr:col>9</xdr:col>
      <xdr:colOff>314325</xdr:colOff>
      <xdr:row>17</xdr:row>
      <xdr:rowOff>180975</xdr:rowOff>
    </xdr:to>
    <xdr:sp>
      <xdr:nvSpPr>
        <xdr:cNvPr id="28" name="Line 29"/>
        <xdr:cNvSpPr>
          <a:spLocks/>
        </xdr:cNvSpPr>
      </xdr:nvSpPr>
      <xdr:spPr>
        <a:xfrm>
          <a:off x="6591300" y="7620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57150</xdr:rowOff>
    </xdr:from>
    <xdr:to>
      <xdr:col>9</xdr:col>
      <xdr:colOff>180975</xdr:colOff>
      <xdr:row>15</xdr:row>
      <xdr:rowOff>0</xdr:rowOff>
    </xdr:to>
    <xdr:sp>
      <xdr:nvSpPr>
        <xdr:cNvPr id="29" name="Oval 30"/>
        <xdr:cNvSpPr>
          <a:spLocks/>
        </xdr:cNvSpPr>
      </xdr:nvSpPr>
      <xdr:spPr>
        <a:xfrm>
          <a:off x="6286500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38100</xdr:rowOff>
    </xdr:from>
    <xdr:to>
      <xdr:col>1</xdr:col>
      <xdr:colOff>561975</xdr:colOff>
      <xdr:row>6</xdr:row>
      <xdr:rowOff>190500</xdr:rowOff>
    </xdr:to>
    <xdr:grpSp>
      <xdr:nvGrpSpPr>
        <xdr:cNvPr id="30" name="Group 33"/>
        <xdr:cNvGrpSpPr>
          <a:grpSpLocks/>
        </xdr:cNvGrpSpPr>
      </xdr:nvGrpSpPr>
      <xdr:grpSpPr>
        <a:xfrm>
          <a:off x="1428750" y="876300"/>
          <a:ext cx="533400" cy="571500"/>
          <a:chOff x="165" y="94"/>
          <a:chExt cx="56" cy="60"/>
        </a:xfrm>
        <a:solidFill>
          <a:srgbClr val="FFFFFF"/>
        </a:solidFill>
      </xdr:grpSpPr>
      <xdr:sp>
        <xdr:nvSpPr>
          <xdr:cNvPr id="31" name="Oval 6"/>
          <xdr:cNvSpPr>
            <a:spLocks/>
          </xdr:cNvSpPr>
        </xdr:nvSpPr>
        <xdr:spPr>
          <a:xfrm>
            <a:off x="165" y="94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2" name="Oval 7"/>
          <xdr:cNvSpPr>
            <a:spLocks/>
          </xdr:cNvSpPr>
        </xdr:nvSpPr>
        <xdr:spPr>
          <a:xfrm>
            <a:off x="166" y="138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Oval 31"/>
          <xdr:cNvSpPr>
            <a:spLocks/>
          </xdr:cNvSpPr>
        </xdr:nvSpPr>
        <xdr:spPr>
          <a:xfrm>
            <a:off x="202" y="94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4" name="Oval 32"/>
          <xdr:cNvSpPr>
            <a:spLocks/>
          </xdr:cNvSpPr>
        </xdr:nvSpPr>
        <xdr:spPr>
          <a:xfrm>
            <a:off x="203" y="138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</xdr:row>
      <xdr:rowOff>66675</xdr:rowOff>
    </xdr:from>
    <xdr:to>
      <xdr:col>3</xdr:col>
      <xdr:colOff>552450</xdr:colOff>
      <xdr:row>5</xdr:row>
      <xdr:rowOff>9525</xdr:rowOff>
    </xdr:to>
    <xdr:sp>
      <xdr:nvSpPr>
        <xdr:cNvPr id="35" name="Oval 34"/>
        <xdr:cNvSpPr>
          <a:spLocks/>
        </xdr:cNvSpPr>
      </xdr:nvSpPr>
      <xdr:spPr>
        <a:xfrm>
          <a:off x="3000375" y="9048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390525</xdr:colOff>
      <xdr:row>8</xdr:row>
      <xdr:rowOff>66675</xdr:rowOff>
    </xdr:from>
    <xdr:to>
      <xdr:col>3</xdr:col>
      <xdr:colOff>561975</xdr:colOff>
      <xdr:row>9</xdr:row>
      <xdr:rowOff>9525</xdr:rowOff>
    </xdr:to>
    <xdr:sp>
      <xdr:nvSpPr>
        <xdr:cNvPr id="36" name="Oval 36"/>
        <xdr:cNvSpPr>
          <a:spLocks/>
        </xdr:cNvSpPr>
      </xdr:nvSpPr>
      <xdr:spPr>
        <a:xfrm>
          <a:off x="3009900" y="17430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4</xdr:row>
      <xdr:rowOff>57150</xdr:rowOff>
    </xdr:from>
    <xdr:to>
      <xdr:col>5</xdr:col>
      <xdr:colOff>600075</xdr:colOff>
      <xdr:row>5</xdr:row>
      <xdr:rowOff>0</xdr:rowOff>
    </xdr:to>
    <xdr:sp>
      <xdr:nvSpPr>
        <xdr:cNvPr id="37" name="Oval 37"/>
        <xdr:cNvSpPr>
          <a:spLocks/>
        </xdr:cNvSpPr>
      </xdr:nvSpPr>
      <xdr:spPr>
        <a:xfrm>
          <a:off x="426720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6</xdr:row>
      <xdr:rowOff>57150</xdr:rowOff>
    </xdr:from>
    <xdr:to>
      <xdr:col>5</xdr:col>
      <xdr:colOff>590550</xdr:colOff>
      <xdr:row>7</xdr:row>
      <xdr:rowOff>0</xdr:rowOff>
    </xdr:to>
    <xdr:sp>
      <xdr:nvSpPr>
        <xdr:cNvPr id="38" name="Oval 38"/>
        <xdr:cNvSpPr>
          <a:spLocks/>
        </xdr:cNvSpPr>
      </xdr:nvSpPr>
      <xdr:spPr>
        <a:xfrm>
          <a:off x="425767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8</xdr:row>
      <xdr:rowOff>57150</xdr:rowOff>
    </xdr:from>
    <xdr:to>
      <xdr:col>5</xdr:col>
      <xdr:colOff>590550</xdr:colOff>
      <xdr:row>9</xdr:row>
      <xdr:rowOff>0</xdr:rowOff>
    </xdr:to>
    <xdr:sp>
      <xdr:nvSpPr>
        <xdr:cNvPr id="39" name="Oval 39"/>
        <xdr:cNvSpPr>
          <a:spLocks/>
        </xdr:cNvSpPr>
      </xdr:nvSpPr>
      <xdr:spPr>
        <a:xfrm>
          <a:off x="425767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10</xdr:row>
      <xdr:rowOff>57150</xdr:rowOff>
    </xdr:from>
    <xdr:to>
      <xdr:col>5</xdr:col>
      <xdr:colOff>590550</xdr:colOff>
      <xdr:row>11</xdr:row>
      <xdr:rowOff>0</xdr:rowOff>
    </xdr:to>
    <xdr:sp>
      <xdr:nvSpPr>
        <xdr:cNvPr id="40" name="Oval 40"/>
        <xdr:cNvSpPr>
          <a:spLocks/>
        </xdr:cNvSpPr>
      </xdr:nvSpPr>
      <xdr:spPr>
        <a:xfrm>
          <a:off x="425767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47625</xdr:rowOff>
    </xdr:from>
    <xdr:to>
      <xdr:col>7</xdr:col>
      <xdr:colOff>600075</xdr:colOff>
      <xdr:row>12</xdr:row>
      <xdr:rowOff>200025</xdr:rowOff>
    </xdr:to>
    <xdr:sp>
      <xdr:nvSpPr>
        <xdr:cNvPr id="41" name="Oval 41"/>
        <xdr:cNvSpPr>
          <a:spLocks/>
        </xdr:cNvSpPr>
      </xdr:nvSpPr>
      <xdr:spPr>
        <a:xfrm>
          <a:off x="5486400" y="25622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47625</xdr:rowOff>
    </xdr:from>
    <xdr:to>
      <xdr:col>8</xdr:col>
      <xdr:colOff>0</xdr:colOff>
      <xdr:row>4</xdr:row>
      <xdr:rowOff>200025</xdr:rowOff>
    </xdr:to>
    <xdr:sp>
      <xdr:nvSpPr>
        <xdr:cNvPr id="42" name="Oval 42"/>
        <xdr:cNvSpPr>
          <a:spLocks/>
        </xdr:cNvSpPr>
      </xdr:nvSpPr>
      <xdr:spPr>
        <a:xfrm>
          <a:off x="5495925" y="8858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6</xdr:row>
      <xdr:rowOff>47625</xdr:rowOff>
    </xdr:from>
    <xdr:to>
      <xdr:col>7</xdr:col>
      <xdr:colOff>600075</xdr:colOff>
      <xdr:row>6</xdr:row>
      <xdr:rowOff>200025</xdr:rowOff>
    </xdr:to>
    <xdr:sp>
      <xdr:nvSpPr>
        <xdr:cNvPr id="43" name="Oval 43"/>
        <xdr:cNvSpPr>
          <a:spLocks/>
        </xdr:cNvSpPr>
      </xdr:nvSpPr>
      <xdr:spPr>
        <a:xfrm>
          <a:off x="5486400" y="13049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47625</xdr:rowOff>
    </xdr:from>
    <xdr:to>
      <xdr:col>7</xdr:col>
      <xdr:colOff>600075</xdr:colOff>
      <xdr:row>8</xdr:row>
      <xdr:rowOff>200025</xdr:rowOff>
    </xdr:to>
    <xdr:sp>
      <xdr:nvSpPr>
        <xdr:cNvPr id="44" name="Oval 44"/>
        <xdr:cNvSpPr>
          <a:spLocks/>
        </xdr:cNvSpPr>
      </xdr:nvSpPr>
      <xdr:spPr>
        <a:xfrm>
          <a:off x="5486400" y="17240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47625</xdr:rowOff>
    </xdr:from>
    <xdr:to>
      <xdr:col>7</xdr:col>
      <xdr:colOff>600075</xdr:colOff>
      <xdr:row>10</xdr:row>
      <xdr:rowOff>200025</xdr:rowOff>
    </xdr:to>
    <xdr:sp>
      <xdr:nvSpPr>
        <xdr:cNvPr id="45" name="Oval 45"/>
        <xdr:cNvSpPr>
          <a:spLocks/>
        </xdr:cNvSpPr>
      </xdr:nvSpPr>
      <xdr:spPr>
        <a:xfrm>
          <a:off x="5486400" y="21431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57150</xdr:rowOff>
    </xdr:from>
    <xdr:to>
      <xdr:col>10</xdr:col>
      <xdr:colOff>19050</xdr:colOff>
      <xdr:row>13</xdr:row>
      <xdr:rowOff>0</xdr:rowOff>
    </xdr:to>
    <xdr:sp>
      <xdr:nvSpPr>
        <xdr:cNvPr id="46" name="Oval 46"/>
        <xdr:cNvSpPr>
          <a:spLocks/>
        </xdr:cNvSpPr>
      </xdr:nvSpPr>
      <xdr:spPr>
        <a:xfrm>
          <a:off x="673417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4</xdr:row>
      <xdr:rowOff>57150</xdr:rowOff>
    </xdr:from>
    <xdr:to>
      <xdr:col>10</xdr:col>
      <xdr:colOff>28575</xdr:colOff>
      <xdr:row>5</xdr:row>
      <xdr:rowOff>0</xdr:rowOff>
    </xdr:to>
    <xdr:sp>
      <xdr:nvSpPr>
        <xdr:cNvPr id="47" name="Oval 47"/>
        <xdr:cNvSpPr>
          <a:spLocks/>
        </xdr:cNvSpPr>
      </xdr:nvSpPr>
      <xdr:spPr>
        <a:xfrm>
          <a:off x="674370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6</xdr:row>
      <xdr:rowOff>57150</xdr:rowOff>
    </xdr:from>
    <xdr:to>
      <xdr:col>10</xdr:col>
      <xdr:colOff>19050</xdr:colOff>
      <xdr:row>7</xdr:row>
      <xdr:rowOff>0</xdr:rowOff>
    </xdr:to>
    <xdr:sp>
      <xdr:nvSpPr>
        <xdr:cNvPr id="48" name="Oval 48"/>
        <xdr:cNvSpPr>
          <a:spLocks/>
        </xdr:cNvSpPr>
      </xdr:nvSpPr>
      <xdr:spPr>
        <a:xfrm>
          <a:off x="673417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8</xdr:row>
      <xdr:rowOff>57150</xdr:rowOff>
    </xdr:from>
    <xdr:to>
      <xdr:col>10</xdr:col>
      <xdr:colOff>19050</xdr:colOff>
      <xdr:row>9</xdr:row>
      <xdr:rowOff>0</xdr:rowOff>
    </xdr:to>
    <xdr:sp>
      <xdr:nvSpPr>
        <xdr:cNvPr id="49" name="Oval 49"/>
        <xdr:cNvSpPr>
          <a:spLocks/>
        </xdr:cNvSpPr>
      </xdr:nvSpPr>
      <xdr:spPr>
        <a:xfrm>
          <a:off x="673417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57150</xdr:rowOff>
    </xdr:from>
    <xdr:to>
      <xdr:col>10</xdr:col>
      <xdr:colOff>19050</xdr:colOff>
      <xdr:row>11</xdr:row>
      <xdr:rowOff>0</xdr:rowOff>
    </xdr:to>
    <xdr:sp>
      <xdr:nvSpPr>
        <xdr:cNvPr id="50" name="Oval 50"/>
        <xdr:cNvSpPr>
          <a:spLocks/>
        </xdr:cNvSpPr>
      </xdr:nvSpPr>
      <xdr:spPr>
        <a:xfrm>
          <a:off x="673417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57150</xdr:rowOff>
    </xdr:from>
    <xdr:to>
      <xdr:col>10</xdr:col>
      <xdr:colOff>19050</xdr:colOff>
      <xdr:row>15</xdr:row>
      <xdr:rowOff>0</xdr:rowOff>
    </xdr:to>
    <xdr:sp>
      <xdr:nvSpPr>
        <xdr:cNvPr id="51" name="Oval 51"/>
        <xdr:cNvSpPr>
          <a:spLocks/>
        </xdr:cNvSpPr>
      </xdr:nvSpPr>
      <xdr:spPr>
        <a:xfrm>
          <a:off x="6734175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85725</xdr:colOff>
      <xdr:row>4</xdr:row>
      <xdr:rowOff>104775</xdr:rowOff>
    </xdr:from>
    <xdr:ext cx="152400" cy="314325"/>
    <xdr:sp>
      <xdr:nvSpPr>
        <xdr:cNvPr id="52" name="TextBox 52"/>
        <xdr:cNvSpPr txBox="1">
          <a:spLocks noChangeArrowheads="1"/>
        </xdr:cNvSpPr>
      </xdr:nvSpPr>
      <xdr:spPr>
        <a:xfrm>
          <a:off x="2095500" y="942975"/>
          <a:ext cx="152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X</a:t>
          </a:r>
        </a:p>
      </xdr:txBody>
    </xdr:sp>
    <xdr:clientData/>
  </xdr:oneCellAnchor>
  <xdr:oneCellAnchor>
    <xdr:from>
      <xdr:col>1</xdr:col>
      <xdr:colOff>85725</xdr:colOff>
      <xdr:row>2</xdr:row>
      <xdr:rowOff>104775</xdr:rowOff>
    </xdr:from>
    <xdr:ext cx="152400" cy="314325"/>
    <xdr:sp>
      <xdr:nvSpPr>
        <xdr:cNvPr id="53" name="TextBox 53"/>
        <xdr:cNvSpPr txBox="1">
          <a:spLocks noChangeArrowheads="1"/>
        </xdr:cNvSpPr>
      </xdr:nvSpPr>
      <xdr:spPr>
        <a:xfrm>
          <a:off x="1485900" y="523875"/>
          <a:ext cx="152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Y</a:t>
          </a:r>
        </a:p>
      </xdr:txBody>
    </xdr:sp>
    <xdr:clientData/>
  </xdr:oneCellAnchor>
  <xdr:twoCellAnchor>
    <xdr:from>
      <xdr:col>11</xdr:col>
      <xdr:colOff>9525</xdr:colOff>
      <xdr:row>12</xdr:row>
      <xdr:rowOff>57150</xdr:rowOff>
    </xdr:from>
    <xdr:to>
      <xdr:col>11</xdr:col>
      <xdr:colOff>180975</xdr:colOff>
      <xdr:row>13</xdr:row>
      <xdr:rowOff>0</xdr:rowOff>
    </xdr:to>
    <xdr:sp>
      <xdr:nvSpPr>
        <xdr:cNvPr id="54" name="Oval 54"/>
        <xdr:cNvSpPr>
          <a:spLocks/>
        </xdr:cNvSpPr>
      </xdr:nvSpPr>
      <xdr:spPr>
        <a:xfrm>
          <a:off x="7505700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57150</xdr:rowOff>
    </xdr:from>
    <xdr:to>
      <xdr:col>11</xdr:col>
      <xdr:colOff>190500</xdr:colOff>
      <xdr:row>5</xdr:row>
      <xdr:rowOff>0</xdr:rowOff>
    </xdr:to>
    <xdr:sp>
      <xdr:nvSpPr>
        <xdr:cNvPr id="55" name="Oval 55"/>
        <xdr:cNvSpPr>
          <a:spLocks/>
        </xdr:cNvSpPr>
      </xdr:nvSpPr>
      <xdr:spPr>
        <a:xfrm>
          <a:off x="7515225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57150</xdr:rowOff>
    </xdr:from>
    <xdr:to>
      <xdr:col>11</xdr:col>
      <xdr:colOff>180975</xdr:colOff>
      <xdr:row>7</xdr:row>
      <xdr:rowOff>0</xdr:rowOff>
    </xdr:to>
    <xdr:sp>
      <xdr:nvSpPr>
        <xdr:cNvPr id="56" name="Oval 56"/>
        <xdr:cNvSpPr>
          <a:spLocks/>
        </xdr:cNvSpPr>
      </xdr:nvSpPr>
      <xdr:spPr>
        <a:xfrm>
          <a:off x="7505700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57150</xdr:rowOff>
    </xdr:from>
    <xdr:to>
      <xdr:col>11</xdr:col>
      <xdr:colOff>180975</xdr:colOff>
      <xdr:row>9</xdr:row>
      <xdr:rowOff>0</xdr:rowOff>
    </xdr:to>
    <xdr:sp>
      <xdr:nvSpPr>
        <xdr:cNvPr id="57" name="Oval 57"/>
        <xdr:cNvSpPr>
          <a:spLocks/>
        </xdr:cNvSpPr>
      </xdr:nvSpPr>
      <xdr:spPr>
        <a:xfrm>
          <a:off x="7505700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57150</xdr:rowOff>
    </xdr:from>
    <xdr:to>
      <xdr:col>11</xdr:col>
      <xdr:colOff>180975</xdr:colOff>
      <xdr:row>11</xdr:row>
      <xdr:rowOff>0</xdr:rowOff>
    </xdr:to>
    <xdr:sp>
      <xdr:nvSpPr>
        <xdr:cNvPr id="58" name="Oval 58"/>
        <xdr:cNvSpPr>
          <a:spLocks/>
        </xdr:cNvSpPr>
      </xdr:nvSpPr>
      <xdr:spPr>
        <a:xfrm>
          <a:off x="7505700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114300</xdr:rowOff>
    </xdr:from>
    <xdr:to>
      <xdr:col>12</xdr:col>
      <xdr:colOff>171450</xdr:colOff>
      <xdr:row>10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7334250" y="2209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314325</xdr:colOff>
      <xdr:row>3</xdr:row>
      <xdr:rowOff>133350</xdr:rowOff>
    </xdr:from>
    <xdr:to>
      <xdr:col>11</xdr:col>
      <xdr:colOff>314325</xdr:colOff>
      <xdr:row>17</xdr:row>
      <xdr:rowOff>180975</xdr:rowOff>
    </xdr:to>
    <xdr:sp>
      <xdr:nvSpPr>
        <xdr:cNvPr id="60" name="Line 60"/>
        <xdr:cNvSpPr>
          <a:spLocks/>
        </xdr:cNvSpPr>
      </xdr:nvSpPr>
      <xdr:spPr>
        <a:xfrm>
          <a:off x="7810500" y="7620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57150</xdr:rowOff>
    </xdr:from>
    <xdr:to>
      <xdr:col>11</xdr:col>
      <xdr:colOff>180975</xdr:colOff>
      <xdr:row>15</xdr:row>
      <xdr:rowOff>0</xdr:rowOff>
    </xdr:to>
    <xdr:sp>
      <xdr:nvSpPr>
        <xdr:cNvPr id="61" name="Oval 61"/>
        <xdr:cNvSpPr>
          <a:spLocks/>
        </xdr:cNvSpPr>
      </xdr:nvSpPr>
      <xdr:spPr>
        <a:xfrm>
          <a:off x="7505700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12</xdr:row>
      <xdr:rowOff>57150</xdr:rowOff>
    </xdr:from>
    <xdr:to>
      <xdr:col>12</xdr:col>
      <xdr:colOff>19050</xdr:colOff>
      <xdr:row>13</xdr:row>
      <xdr:rowOff>0</xdr:rowOff>
    </xdr:to>
    <xdr:sp>
      <xdr:nvSpPr>
        <xdr:cNvPr id="62" name="Oval 62"/>
        <xdr:cNvSpPr>
          <a:spLocks/>
        </xdr:cNvSpPr>
      </xdr:nvSpPr>
      <xdr:spPr>
        <a:xfrm>
          <a:off x="7953375" y="25717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4</xdr:row>
      <xdr:rowOff>57150</xdr:rowOff>
    </xdr:from>
    <xdr:to>
      <xdr:col>12</xdr:col>
      <xdr:colOff>28575</xdr:colOff>
      <xdr:row>5</xdr:row>
      <xdr:rowOff>0</xdr:rowOff>
    </xdr:to>
    <xdr:sp>
      <xdr:nvSpPr>
        <xdr:cNvPr id="63" name="Oval 63"/>
        <xdr:cNvSpPr>
          <a:spLocks/>
        </xdr:cNvSpPr>
      </xdr:nvSpPr>
      <xdr:spPr>
        <a:xfrm>
          <a:off x="7962900" y="8953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6</xdr:row>
      <xdr:rowOff>57150</xdr:rowOff>
    </xdr:from>
    <xdr:to>
      <xdr:col>12</xdr:col>
      <xdr:colOff>19050</xdr:colOff>
      <xdr:row>7</xdr:row>
      <xdr:rowOff>0</xdr:rowOff>
    </xdr:to>
    <xdr:sp>
      <xdr:nvSpPr>
        <xdr:cNvPr id="64" name="Oval 64"/>
        <xdr:cNvSpPr>
          <a:spLocks/>
        </xdr:cNvSpPr>
      </xdr:nvSpPr>
      <xdr:spPr>
        <a:xfrm>
          <a:off x="7953375" y="13144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8</xdr:row>
      <xdr:rowOff>57150</xdr:rowOff>
    </xdr:from>
    <xdr:to>
      <xdr:col>12</xdr:col>
      <xdr:colOff>19050</xdr:colOff>
      <xdr:row>9</xdr:row>
      <xdr:rowOff>0</xdr:rowOff>
    </xdr:to>
    <xdr:sp>
      <xdr:nvSpPr>
        <xdr:cNvPr id="65" name="Oval 65"/>
        <xdr:cNvSpPr>
          <a:spLocks/>
        </xdr:cNvSpPr>
      </xdr:nvSpPr>
      <xdr:spPr>
        <a:xfrm>
          <a:off x="7953375" y="17335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10</xdr:row>
      <xdr:rowOff>57150</xdr:rowOff>
    </xdr:from>
    <xdr:to>
      <xdr:col>12</xdr:col>
      <xdr:colOff>19050</xdr:colOff>
      <xdr:row>11</xdr:row>
      <xdr:rowOff>0</xdr:rowOff>
    </xdr:to>
    <xdr:sp>
      <xdr:nvSpPr>
        <xdr:cNvPr id="66" name="Oval 66"/>
        <xdr:cNvSpPr>
          <a:spLocks/>
        </xdr:cNvSpPr>
      </xdr:nvSpPr>
      <xdr:spPr>
        <a:xfrm>
          <a:off x="7953375" y="21526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14</xdr:row>
      <xdr:rowOff>57150</xdr:rowOff>
    </xdr:from>
    <xdr:to>
      <xdr:col>12</xdr:col>
      <xdr:colOff>19050</xdr:colOff>
      <xdr:row>15</xdr:row>
      <xdr:rowOff>0</xdr:rowOff>
    </xdr:to>
    <xdr:sp>
      <xdr:nvSpPr>
        <xdr:cNvPr id="67" name="Oval 67"/>
        <xdr:cNvSpPr>
          <a:spLocks/>
        </xdr:cNvSpPr>
      </xdr:nvSpPr>
      <xdr:spPr>
        <a:xfrm>
          <a:off x="7953375" y="2990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57150</xdr:rowOff>
    </xdr:from>
    <xdr:to>
      <xdr:col>11</xdr:col>
      <xdr:colOff>200025</xdr:colOff>
      <xdr:row>17</xdr:row>
      <xdr:rowOff>0</xdr:rowOff>
    </xdr:to>
    <xdr:sp>
      <xdr:nvSpPr>
        <xdr:cNvPr id="68" name="Oval 68"/>
        <xdr:cNvSpPr>
          <a:spLocks/>
        </xdr:cNvSpPr>
      </xdr:nvSpPr>
      <xdr:spPr>
        <a:xfrm>
          <a:off x="7524750" y="34099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476250</xdr:colOff>
      <xdr:row>16</xdr:row>
      <xdr:rowOff>57150</xdr:rowOff>
    </xdr:from>
    <xdr:to>
      <xdr:col>12</xdr:col>
      <xdr:colOff>38100</xdr:colOff>
      <xdr:row>17</xdr:row>
      <xdr:rowOff>0</xdr:rowOff>
    </xdr:to>
    <xdr:sp>
      <xdr:nvSpPr>
        <xdr:cNvPr id="69" name="Oval 69"/>
        <xdr:cNvSpPr>
          <a:spLocks/>
        </xdr:cNvSpPr>
      </xdr:nvSpPr>
      <xdr:spPr>
        <a:xfrm>
          <a:off x="7972425" y="34099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FO115"/>
  <sheetViews>
    <sheetView zoomScale="25" zoomScaleNormal="25" workbookViewId="0" topLeftCell="A1">
      <selection activeCell="F13" sqref="F13"/>
    </sheetView>
  </sheetViews>
  <sheetFormatPr defaultColWidth="9.140625" defaultRowHeight="21.75"/>
  <cols>
    <col min="1" max="1" width="8.140625" style="6" customWidth="1"/>
    <col min="2" max="2" width="72.57421875" style="6" customWidth="1"/>
    <col min="3" max="3" width="11.57421875" style="6" customWidth="1"/>
    <col min="4" max="4" width="15.421875" style="6" customWidth="1"/>
    <col min="5" max="9" width="63.28125" style="7" customWidth="1"/>
    <col min="10" max="10" width="26.28125" style="6" bestFit="1" customWidth="1"/>
    <col min="11" max="11" width="20.28125" style="6" bestFit="1" customWidth="1"/>
    <col min="12" max="12" width="8.7109375" style="6" customWidth="1"/>
    <col min="13" max="13" width="26.28125" style="6" bestFit="1" customWidth="1"/>
    <col min="14" max="14" width="20.28125" style="6" bestFit="1" customWidth="1"/>
    <col min="15" max="15" width="8.7109375" style="6" customWidth="1"/>
    <col min="16" max="16" width="26.28125" style="6" bestFit="1" customWidth="1"/>
    <col min="17" max="17" width="20.8515625" style="6" bestFit="1" customWidth="1"/>
    <col min="18" max="18" width="10.140625" style="6" bestFit="1" customWidth="1"/>
    <col min="19" max="19" width="26.8515625" style="6" bestFit="1" customWidth="1"/>
    <col min="20" max="20" width="20.8515625" style="6" bestFit="1" customWidth="1"/>
    <col min="21" max="21" width="8.7109375" style="6" customWidth="1"/>
    <col min="22" max="22" width="26.8515625" style="6" bestFit="1" customWidth="1"/>
    <col min="23" max="23" width="22.421875" style="6" bestFit="1" customWidth="1"/>
    <col min="24" max="24" width="8.7109375" style="6" customWidth="1"/>
    <col min="25" max="25" width="28.28125" style="6" bestFit="1" customWidth="1"/>
    <col min="26" max="26" width="19.28125" style="6" bestFit="1" customWidth="1"/>
    <col min="27" max="27" width="9.140625" style="6" customWidth="1"/>
    <col min="28" max="28" width="25.140625" style="6" bestFit="1" customWidth="1"/>
    <col min="29" max="29" width="20.28125" style="6" bestFit="1" customWidth="1"/>
    <col min="30" max="30" width="9.140625" style="6" customWidth="1"/>
    <col min="31" max="31" width="26.28125" style="6" bestFit="1" customWidth="1"/>
    <col min="32" max="32" width="20.57421875" style="6" bestFit="1" customWidth="1"/>
    <col min="33" max="33" width="7.7109375" style="6" customWidth="1"/>
    <col min="34" max="34" width="26.57421875" style="6" bestFit="1" customWidth="1"/>
    <col min="35" max="35" width="19.57421875" style="6" bestFit="1" customWidth="1"/>
    <col min="36" max="36" width="7.7109375" style="6" customWidth="1"/>
    <col min="37" max="37" width="25.57421875" style="6" bestFit="1" customWidth="1"/>
    <col min="38" max="38" width="19.57421875" style="6" bestFit="1" customWidth="1"/>
    <col min="39" max="39" width="9.140625" style="6" customWidth="1"/>
    <col min="40" max="40" width="25.57421875" style="6" bestFit="1" customWidth="1"/>
    <col min="41" max="41" width="18.140625" style="6" bestFit="1" customWidth="1"/>
    <col min="42" max="42" width="7.7109375" style="6" customWidth="1"/>
    <col min="43" max="43" width="24.00390625" style="6" bestFit="1" customWidth="1"/>
    <col min="44" max="44" width="19.57421875" style="6" bestFit="1" customWidth="1"/>
    <col min="45" max="45" width="7.7109375" style="6" customWidth="1"/>
    <col min="46" max="46" width="25.57421875" style="6" bestFit="1" customWidth="1"/>
    <col min="47" max="47" width="19.57421875" style="6" bestFit="1" customWidth="1"/>
    <col min="48" max="48" width="9.140625" style="6" customWidth="1"/>
    <col min="49" max="49" width="25.57421875" style="6" bestFit="1" customWidth="1"/>
    <col min="50" max="50" width="19.57421875" style="6" bestFit="1" customWidth="1"/>
    <col min="51" max="51" width="7.7109375" style="6" customWidth="1"/>
    <col min="52" max="52" width="25.57421875" style="6" bestFit="1" customWidth="1"/>
    <col min="53" max="53" width="19.57421875" style="6" bestFit="1" customWidth="1"/>
    <col min="54" max="54" width="7.7109375" style="6" customWidth="1"/>
    <col min="55" max="55" width="25.57421875" style="6" bestFit="1" customWidth="1"/>
    <col min="56" max="56" width="19.57421875" style="6" bestFit="1" customWidth="1"/>
    <col min="57" max="57" width="8.7109375" style="6" customWidth="1"/>
    <col min="58" max="58" width="25.57421875" style="6" bestFit="1" customWidth="1"/>
    <col min="59" max="59" width="19.57421875" style="6" bestFit="1" customWidth="1"/>
    <col min="60" max="60" width="7.7109375" style="6" customWidth="1"/>
    <col min="61" max="61" width="25.57421875" style="6" bestFit="1" customWidth="1"/>
    <col min="62" max="62" width="19.57421875" style="6" bestFit="1" customWidth="1"/>
    <col min="63" max="63" width="8.7109375" style="6" customWidth="1"/>
    <col min="64" max="64" width="25.57421875" style="6" bestFit="1" customWidth="1"/>
    <col min="65" max="65" width="19.57421875" style="6" bestFit="1" customWidth="1"/>
    <col min="66" max="66" width="8.7109375" style="6" customWidth="1"/>
    <col min="67" max="67" width="25.57421875" style="6" bestFit="1" customWidth="1"/>
    <col min="68" max="68" width="20.140625" style="6" bestFit="1" customWidth="1"/>
    <col min="69" max="69" width="10.140625" style="6" bestFit="1" customWidth="1"/>
    <col min="70" max="70" width="26.140625" style="6" bestFit="1" customWidth="1"/>
    <col min="71" max="71" width="20.140625" style="6" bestFit="1" customWidth="1"/>
    <col min="72" max="72" width="8.7109375" style="6" customWidth="1"/>
    <col min="73" max="73" width="26.140625" style="6" bestFit="1" customWidth="1"/>
    <col min="74" max="74" width="21.7109375" style="6" bestFit="1" customWidth="1"/>
    <col min="75" max="75" width="8.7109375" style="6" customWidth="1"/>
    <col min="76" max="76" width="27.57421875" style="6" bestFit="1" customWidth="1"/>
    <col min="77" max="77" width="18.57421875" style="6" bestFit="1" customWidth="1"/>
    <col min="78" max="78" width="7.7109375" style="6" customWidth="1"/>
    <col min="79" max="79" width="24.421875" style="6" bestFit="1" customWidth="1"/>
    <col min="80" max="80" width="19.57421875" style="6" bestFit="1" customWidth="1"/>
    <col min="81" max="81" width="7.7109375" style="6" customWidth="1"/>
    <col min="82" max="82" width="25.57421875" style="6" bestFit="1" customWidth="1"/>
    <col min="83" max="83" width="19.7109375" style="6" bestFit="1" customWidth="1"/>
    <col min="84" max="84" width="7.7109375" style="6" customWidth="1"/>
    <col min="85" max="85" width="25.7109375" style="6" bestFit="1" customWidth="1"/>
    <col min="86" max="86" width="19.7109375" style="6" bestFit="1" customWidth="1"/>
    <col min="87" max="87" width="8.7109375" style="6" customWidth="1"/>
    <col min="88" max="88" width="25.7109375" style="6" bestFit="1" customWidth="1"/>
    <col min="89" max="89" width="19.7109375" style="6" bestFit="1" customWidth="1"/>
    <col min="90" max="90" width="8.7109375" style="6" customWidth="1"/>
    <col min="91" max="91" width="25.7109375" style="6" bestFit="1" customWidth="1"/>
    <col min="92" max="92" width="19.7109375" style="6" bestFit="1" customWidth="1"/>
    <col min="93" max="93" width="8.7109375" style="6" customWidth="1"/>
    <col min="94" max="94" width="25.7109375" style="6" bestFit="1" customWidth="1"/>
    <col min="95" max="95" width="19.7109375" style="6" bestFit="1" customWidth="1"/>
    <col min="96" max="96" width="7.7109375" style="6" customWidth="1"/>
    <col min="97" max="97" width="25.7109375" style="6" bestFit="1" customWidth="1"/>
    <col min="98" max="98" width="19.7109375" style="6" bestFit="1" customWidth="1"/>
    <col min="99" max="99" width="7.7109375" style="6" customWidth="1"/>
    <col min="100" max="100" width="25.7109375" style="6" bestFit="1" customWidth="1"/>
    <col min="101" max="101" width="19.7109375" style="6" bestFit="1" customWidth="1"/>
    <col min="102" max="102" width="8.7109375" style="6" customWidth="1"/>
    <col min="103" max="103" width="25.7109375" style="6" bestFit="1" customWidth="1"/>
    <col min="104" max="104" width="19.7109375" style="6" bestFit="1" customWidth="1"/>
    <col min="105" max="105" width="8.7109375" style="6" customWidth="1"/>
    <col min="106" max="106" width="25.7109375" style="6" bestFit="1" customWidth="1"/>
    <col min="107" max="107" width="19.7109375" style="6" bestFit="1" customWidth="1"/>
    <col min="108" max="108" width="8.7109375" style="6" customWidth="1"/>
    <col min="109" max="109" width="25.7109375" style="6" bestFit="1" customWidth="1"/>
    <col min="110" max="110" width="19.7109375" style="6" bestFit="1" customWidth="1"/>
    <col min="111" max="111" width="8.7109375" style="6" customWidth="1"/>
    <col min="112" max="112" width="25.7109375" style="6" bestFit="1" customWidth="1"/>
    <col min="113" max="113" width="19.7109375" style="6" bestFit="1" customWidth="1"/>
    <col min="114" max="114" width="8.7109375" style="6" customWidth="1"/>
    <col min="115" max="115" width="25.7109375" style="6" bestFit="1" customWidth="1"/>
    <col min="116" max="116" width="19.7109375" style="6" bestFit="1" customWidth="1"/>
    <col min="117" max="117" width="8.7109375" style="6" customWidth="1"/>
    <col min="118" max="118" width="25.7109375" style="6" bestFit="1" customWidth="1"/>
    <col min="119" max="119" width="19.7109375" style="6" bestFit="1" customWidth="1"/>
    <col min="120" max="120" width="8.7109375" style="6" customWidth="1"/>
    <col min="121" max="121" width="25.7109375" style="6" bestFit="1" customWidth="1"/>
    <col min="122" max="122" width="19.7109375" style="6" bestFit="1" customWidth="1"/>
    <col min="123" max="123" width="8.7109375" style="6" customWidth="1"/>
    <col min="124" max="124" width="25.7109375" style="6" bestFit="1" customWidth="1"/>
    <col min="125" max="125" width="19.7109375" style="6" bestFit="1" customWidth="1"/>
    <col min="126" max="126" width="8.7109375" style="6" customWidth="1"/>
    <col min="127" max="127" width="25.7109375" style="6" bestFit="1" customWidth="1"/>
    <col min="128" max="128" width="19.7109375" style="6" bestFit="1" customWidth="1"/>
    <col min="129" max="129" width="8.7109375" style="6" customWidth="1"/>
    <col min="130" max="130" width="25.7109375" style="6" bestFit="1" customWidth="1"/>
    <col min="131" max="131" width="19.28125" style="6" bestFit="1" customWidth="1"/>
    <col min="132" max="132" width="8.7109375" style="6" customWidth="1"/>
    <col min="133" max="133" width="25.140625" style="6" bestFit="1" customWidth="1"/>
    <col min="134" max="134" width="19.7109375" style="6" bestFit="1" customWidth="1"/>
    <col min="135" max="135" width="8.7109375" style="6" customWidth="1"/>
    <col min="136" max="136" width="25.7109375" style="6" bestFit="1" customWidth="1"/>
    <col min="137" max="137" width="17.7109375" style="6" bestFit="1" customWidth="1"/>
    <col min="138" max="138" width="7.7109375" style="6" customWidth="1"/>
    <col min="139" max="139" width="23.57421875" style="6" bestFit="1" customWidth="1"/>
    <col min="140" max="140" width="17.7109375" style="6" bestFit="1" customWidth="1"/>
    <col min="141" max="141" width="7.7109375" style="6" customWidth="1"/>
    <col min="142" max="142" width="23.57421875" style="6" bestFit="1" customWidth="1"/>
    <col min="143" max="143" width="17.7109375" style="6" bestFit="1" customWidth="1"/>
    <col min="144" max="144" width="7.7109375" style="6" customWidth="1"/>
    <col min="145" max="145" width="23.57421875" style="6" bestFit="1" customWidth="1"/>
    <col min="146" max="146" width="17.7109375" style="6" bestFit="1" customWidth="1"/>
    <col min="147" max="147" width="7.7109375" style="6" customWidth="1"/>
    <col min="148" max="148" width="23.57421875" style="6" bestFit="1" customWidth="1"/>
    <col min="149" max="149" width="17.7109375" style="6" bestFit="1" customWidth="1"/>
    <col min="150" max="150" width="7.7109375" style="6" customWidth="1"/>
    <col min="151" max="151" width="23.57421875" style="6" bestFit="1" customWidth="1"/>
    <col min="152" max="152" width="17.7109375" style="6" bestFit="1" customWidth="1"/>
    <col min="153" max="153" width="7.7109375" style="6" customWidth="1"/>
    <col min="154" max="154" width="23.57421875" style="6" bestFit="1" customWidth="1"/>
    <col min="155" max="155" width="17.7109375" style="6" bestFit="1" customWidth="1"/>
    <col min="156" max="156" width="7.7109375" style="6" customWidth="1"/>
    <col min="157" max="157" width="23.57421875" style="6" bestFit="1" customWidth="1"/>
    <col min="158" max="158" width="17.7109375" style="6" bestFit="1" customWidth="1"/>
    <col min="159" max="159" width="7.7109375" style="6" customWidth="1"/>
    <col min="160" max="160" width="23.57421875" style="6" bestFit="1" customWidth="1"/>
    <col min="161" max="161" width="17.7109375" style="6" bestFit="1" customWidth="1"/>
    <col min="162" max="162" width="7.7109375" style="6" customWidth="1"/>
    <col min="163" max="163" width="23.57421875" style="6" bestFit="1" customWidth="1"/>
    <col min="164" max="164" width="17.7109375" style="6" bestFit="1" customWidth="1"/>
    <col min="165" max="165" width="7.7109375" style="6" customWidth="1"/>
    <col min="166" max="166" width="23.57421875" style="6" bestFit="1" customWidth="1"/>
    <col min="167" max="167" width="17.7109375" style="6" bestFit="1" customWidth="1"/>
    <col min="168" max="168" width="7.7109375" style="6" customWidth="1"/>
    <col min="169" max="169" width="23.57421875" style="6" bestFit="1" customWidth="1"/>
    <col min="170" max="170" width="17.7109375" style="6" bestFit="1" customWidth="1"/>
    <col min="171" max="171" width="7.7109375" style="6" customWidth="1"/>
    <col min="172" max="172" width="23.57421875" style="6" bestFit="1" customWidth="1"/>
    <col min="173" max="173" width="17.7109375" style="6" bestFit="1" customWidth="1"/>
    <col min="174" max="174" width="7.7109375" style="6" customWidth="1"/>
    <col min="175" max="175" width="23.57421875" style="6" bestFit="1" customWidth="1"/>
    <col min="176" max="16384" width="23.57421875" style="6" customWidth="1"/>
  </cols>
  <sheetData>
    <row r="1" ht="39" customHeight="1"/>
    <row r="2" spans="2:4" ht="46.5" customHeight="1">
      <c r="B2" s="140" t="s">
        <v>693</v>
      </c>
      <c r="C2" s="21"/>
      <c r="D2" s="21"/>
    </row>
    <row r="3" spans="1:171" s="53" customFormat="1" ht="39" customHeight="1">
      <c r="A3" s="51" t="s">
        <v>0</v>
      </c>
      <c r="B3" s="81" t="s">
        <v>581</v>
      </c>
      <c r="C3" s="81"/>
      <c r="D3" s="81"/>
      <c r="E3" s="82" t="s">
        <v>21</v>
      </c>
      <c r="F3" s="82" t="s">
        <v>23</v>
      </c>
      <c r="G3" s="82" t="s">
        <v>24</v>
      </c>
      <c r="H3" s="82" t="s">
        <v>26</v>
      </c>
      <c r="I3" s="82" t="s">
        <v>28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</row>
    <row r="4" spans="1:171" s="57" customFormat="1" ht="31.5" customHeight="1">
      <c r="A4" s="55"/>
      <c r="B4" s="55" t="s">
        <v>5</v>
      </c>
      <c r="C4" s="56" t="s">
        <v>2</v>
      </c>
      <c r="D4" s="60" t="s">
        <v>10</v>
      </c>
      <c r="E4" s="90">
        <v>2400</v>
      </c>
      <c r="F4" s="90">
        <v>2400</v>
      </c>
      <c r="G4" s="90">
        <v>2400</v>
      </c>
      <c r="H4" s="90">
        <v>2400</v>
      </c>
      <c r="I4" s="90">
        <v>2400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</row>
    <row r="5" spans="1:9" s="57" customFormat="1" ht="31.5" customHeight="1">
      <c r="A5" s="55"/>
      <c r="B5" s="55" t="s">
        <v>524</v>
      </c>
      <c r="C5" s="56" t="s">
        <v>2</v>
      </c>
      <c r="D5" s="60" t="s">
        <v>11</v>
      </c>
      <c r="E5" s="91">
        <v>5</v>
      </c>
      <c r="F5" s="91">
        <v>5</v>
      </c>
      <c r="G5" s="91">
        <v>5</v>
      </c>
      <c r="H5" s="91">
        <v>5</v>
      </c>
      <c r="I5" s="91">
        <v>5</v>
      </c>
    </row>
    <row r="6" spans="1:9" s="57" customFormat="1" ht="31.5" customHeight="1">
      <c r="A6" s="55"/>
      <c r="B6" s="55" t="s">
        <v>627</v>
      </c>
      <c r="C6" s="56" t="s">
        <v>2</v>
      </c>
      <c r="D6" s="60" t="s">
        <v>11</v>
      </c>
      <c r="E6" s="91">
        <f>E5/4</f>
        <v>1.25</v>
      </c>
      <c r="F6" s="91">
        <f>F5/4</f>
        <v>1.25</v>
      </c>
      <c r="G6" s="91">
        <f>G5/4</f>
        <v>1.25</v>
      </c>
      <c r="H6" s="91">
        <f>H5/4</f>
        <v>1.25</v>
      </c>
      <c r="I6" s="91">
        <f>I5/4</f>
        <v>1.25</v>
      </c>
    </row>
    <row r="7" spans="1:9" s="57" customFormat="1" ht="31.5" customHeight="1">
      <c r="A7" s="55"/>
      <c r="B7" s="55" t="s">
        <v>638</v>
      </c>
      <c r="C7" s="56" t="s">
        <v>2</v>
      </c>
      <c r="D7" s="60" t="s">
        <v>9</v>
      </c>
      <c r="E7" s="91">
        <v>2</v>
      </c>
      <c r="F7" s="91">
        <v>2</v>
      </c>
      <c r="G7" s="91">
        <v>2</v>
      </c>
      <c r="H7" s="91">
        <v>2</v>
      </c>
      <c r="I7" s="91">
        <v>2</v>
      </c>
    </row>
    <row r="8" spans="1:9" s="57" customFormat="1" ht="31.5" customHeight="1">
      <c r="A8" s="63" t="s">
        <v>539</v>
      </c>
      <c r="B8" s="64" t="s">
        <v>536</v>
      </c>
      <c r="C8" s="64"/>
      <c r="D8" s="62"/>
      <c r="E8" s="92" t="s">
        <v>538</v>
      </c>
      <c r="F8" s="92" t="s">
        <v>538</v>
      </c>
      <c r="G8" s="92" t="s">
        <v>538</v>
      </c>
      <c r="H8" s="92" t="s">
        <v>538</v>
      </c>
      <c r="I8" s="92" t="s">
        <v>538</v>
      </c>
    </row>
    <row r="9" spans="1:9" s="57" customFormat="1" ht="31.5" customHeight="1">
      <c r="A9" s="55"/>
      <c r="B9" s="55" t="s">
        <v>537</v>
      </c>
      <c r="C9" s="56" t="s">
        <v>2</v>
      </c>
      <c r="D9" s="65" t="s">
        <v>9</v>
      </c>
      <c r="E9" s="93">
        <v>2</v>
      </c>
      <c r="F9" s="93">
        <v>2</v>
      </c>
      <c r="G9" s="93">
        <v>2</v>
      </c>
      <c r="H9" s="93">
        <v>2</v>
      </c>
      <c r="I9" s="93">
        <v>2</v>
      </c>
    </row>
    <row r="10" spans="1:9" s="57" customFormat="1" ht="31.5" customHeight="1">
      <c r="A10" s="55"/>
      <c r="B10" s="55" t="s">
        <v>577</v>
      </c>
      <c r="C10" s="56" t="s">
        <v>2</v>
      </c>
      <c r="D10" s="65" t="s">
        <v>9</v>
      </c>
      <c r="E10" s="134">
        <v>2</v>
      </c>
      <c r="F10" s="134">
        <v>2</v>
      </c>
      <c r="G10" s="134">
        <v>3</v>
      </c>
      <c r="H10" s="134">
        <v>4</v>
      </c>
      <c r="I10" s="134">
        <v>4</v>
      </c>
    </row>
    <row r="11" spans="1:9" s="57" customFormat="1" ht="31.5" customHeight="1">
      <c r="A11" s="55"/>
      <c r="B11" s="55" t="s">
        <v>578</v>
      </c>
      <c r="C11" s="56" t="s">
        <v>2</v>
      </c>
      <c r="D11" s="65" t="s">
        <v>9</v>
      </c>
      <c r="E11" s="134">
        <v>8</v>
      </c>
      <c r="F11" s="134">
        <v>8</v>
      </c>
      <c r="G11" s="134">
        <v>10</v>
      </c>
      <c r="H11" s="134">
        <v>15</v>
      </c>
      <c r="I11" s="134">
        <v>20</v>
      </c>
    </row>
    <row r="12" spans="1:9" s="57" customFormat="1" ht="31.5" customHeight="1">
      <c r="A12" s="55"/>
      <c r="B12" s="55" t="s">
        <v>644</v>
      </c>
      <c r="C12" s="56" t="s">
        <v>2</v>
      </c>
      <c r="D12" s="65" t="s">
        <v>9</v>
      </c>
      <c r="E12" s="134">
        <v>8</v>
      </c>
      <c r="F12" s="134">
        <v>8</v>
      </c>
      <c r="G12" s="134">
        <v>10</v>
      </c>
      <c r="H12" s="134">
        <v>15</v>
      </c>
      <c r="I12" s="134">
        <v>20</v>
      </c>
    </row>
    <row r="13" spans="1:9" s="57" customFormat="1" ht="31.5" customHeight="1">
      <c r="A13" s="55"/>
      <c r="B13" s="55" t="s">
        <v>579</v>
      </c>
      <c r="C13" s="56" t="s">
        <v>2</v>
      </c>
      <c r="D13" s="65" t="s">
        <v>9</v>
      </c>
      <c r="E13" s="93">
        <v>6</v>
      </c>
      <c r="F13" s="93">
        <v>6</v>
      </c>
      <c r="G13" s="93">
        <v>6</v>
      </c>
      <c r="H13" s="93">
        <v>6</v>
      </c>
      <c r="I13" s="93">
        <v>6</v>
      </c>
    </row>
    <row r="14" spans="1:9" s="57" customFormat="1" ht="31.5" customHeight="1">
      <c r="A14" s="55"/>
      <c r="B14" s="55" t="s">
        <v>544</v>
      </c>
      <c r="C14" s="56" t="s">
        <v>2</v>
      </c>
      <c r="D14" s="65" t="s">
        <v>9</v>
      </c>
      <c r="E14" s="93">
        <v>1</v>
      </c>
      <c r="F14" s="93">
        <v>1.2</v>
      </c>
      <c r="G14" s="93">
        <v>1.2</v>
      </c>
      <c r="H14" s="93">
        <v>1.6</v>
      </c>
      <c r="I14" s="93">
        <v>1.6</v>
      </c>
    </row>
    <row r="15" spans="1:9" s="57" customFormat="1" ht="31.5" customHeight="1">
      <c r="A15" s="55"/>
      <c r="B15" s="55" t="s">
        <v>558</v>
      </c>
      <c r="C15" s="56" t="s">
        <v>2</v>
      </c>
      <c r="D15" s="65" t="s">
        <v>9</v>
      </c>
      <c r="E15" s="93">
        <v>0.8</v>
      </c>
      <c r="F15" s="93">
        <v>0.8</v>
      </c>
      <c r="G15" s="93">
        <v>6</v>
      </c>
      <c r="H15" s="93">
        <v>0.8</v>
      </c>
      <c r="I15" s="93">
        <v>0.8</v>
      </c>
    </row>
    <row r="16" spans="1:171" s="57" customFormat="1" ht="31.5" customHeight="1">
      <c r="A16" s="141">
        <v>3</v>
      </c>
      <c r="B16" s="64" t="s">
        <v>525</v>
      </c>
      <c r="C16" s="64"/>
      <c r="D16" s="62"/>
      <c r="E16" s="94"/>
      <c r="F16" s="94"/>
      <c r="G16" s="94"/>
      <c r="H16" s="94"/>
      <c r="I16" s="94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</row>
    <row r="17" spans="1:171" s="57" customFormat="1" ht="31.5" customHeight="1">
      <c r="A17" s="55"/>
      <c r="B17" s="55" t="s">
        <v>1</v>
      </c>
      <c r="C17" s="56" t="s">
        <v>2</v>
      </c>
      <c r="D17" s="60" t="s">
        <v>7</v>
      </c>
      <c r="E17" s="95">
        <f>INDEX(steel,MATCH(E$3,st_name,0),4)</f>
        <v>150</v>
      </c>
      <c r="F17" s="95">
        <f>INDEX(steel,MATCH(F$3,st_name,0),4)</f>
        <v>180</v>
      </c>
      <c r="G17" s="95">
        <f>INDEX(steel,MATCH(G$3,st_name,0),4)</f>
        <v>200</v>
      </c>
      <c r="H17" s="95">
        <f>INDEX(steel,MATCH(H$3,st_name,0),4)</f>
        <v>250</v>
      </c>
      <c r="I17" s="95">
        <f>INDEX(steel,MATCH(I$3,st_name,0),4)</f>
        <v>300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</row>
    <row r="18" spans="1:171" s="57" customFormat="1" ht="31.5" customHeight="1">
      <c r="A18" s="55"/>
      <c r="B18" s="55" t="s">
        <v>3</v>
      </c>
      <c r="C18" s="56" t="s">
        <v>2</v>
      </c>
      <c r="D18" s="60" t="s">
        <v>7</v>
      </c>
      <c r="E18" s="95">
        <f>INDEX(steel,MATCH(E$3,st_name,0),6)</f>
        <v>75</v>
      </c>
      <c r="F18" s="95">
        <f>INDEX(steel,MATCH(F$3,st_name,0),6)</f>
        <v>75</v>
      </c>
      <c r="G18" s="95">
        <f>INDEX(steel,MATCH(G$3,st_name,0),6)</f>
        <v>80</v>
      </c>
      <c r="H18" s="95">
        <f>INDEX(steel,MATCH(H$3,st_name,0),6)</f>
        <v>90</v>
      </c>
      <c r="I18" s="95">
        <f>INDEX(steel,MATCH(I$3,st_name,0),6)</f>
        <v>90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</row>
    <row r="19" spans="1:9" s="57" customFormat="1" ht="31.5" customHeight="1">
      <c r="A19" s="55"/>
      <c r="B19" s="55" t="s">
        <v>13</v>
      </c>
      <c r="C19" s="56" t="s">
        <v>2</v>
      </c>
      <c r="D19" s="60" t="s">
        <v>7</v>
      </c>
      <c r="E19" s="95">
        <f>INDEX(steel,MATCH(E$3,st_name,0),9)</f>
        <v>6.5</v>
      </c>
      <c r="F19" s="95">
        <f>INDEX(steel,MATCH(F$3,st_name,0),9)</f>
        <v>7</v>
      </c>
      <c r="G19" s="95">
        <f>INDEX(steel,MATCH(G$3,st_name,0),9)</f>
        <v>7.5</v>
      </c>
      <c r="H19" s="95">
        <f>INDEX(steel,MATCH(H$3,st_name,0),9)</f>
        <v>9</v>
      </c>
      <c r="I19" s="95">
        <f>INDEX(steel,MATCH(I$3,st_name,0),9)</f>
        <v>9</v>
      </c>
    </row>
    <row r="20" spans="1:9" s="57" customFormat="1" ht="31.5" customHeight="1">
      <c r="A20" s="55"/>
      <c r="B20" s="55" t="s">
        <v>12</v>
      </c>
      <c r="C20" s="56" t="s">
        <v>2</v>
      </c>
      <c r="D20" s="60" t="s">
        <v>7</v>
      </c>
      <c r="E20" s="95">
        <f>INDEX(steel,MATCH(E$3,st_name,0),10)</f>
        <v>10</v>
      </c>
      <c r="F20" s="95">
        <f>INDEX(steel,MATCH(F$3,st_name,0),10)</f>
        <v>10.5</v>
      </c>
      <c r="G20" s="95">
        <f>INDEX(steel,MATCH(G$3,st_name,0),10)</f>
        <v>11</v>
      </c>
      <c r="H20" s="95">
        <f>INDEX(steel,MATCH(H$3,st_name,0),10)</f>
        <v>13</v>
      </c>
      <c r="I20" s="95">
        <f>INDEX(steel,MATCH(I$3,st_name,0),10)</f>
        <v>13</v>
      </c>
    </row>
    <row r="21" spans="1:9" s="57" customFormat="1" ht="31.5" customHeight="1">
      <c r="A21" s="55"/>
      <c r="B21" s="55" t="s">
        <v>647</v>
      </c>
      <c r="C21" s="56" t="s">
        <v>2</v>
      </c>
      <c r="D21" s="135" t="s">
        <v>651</v>
      </c>
      <c r="E21" s="95">
        <f>INDEX(steel,MATCH(E$3,st_name,0),11)</f>
        <v>23.71</v>
      </c>
      <c r="F21" s="95">
        <f>INDEX(steel,MATCH(F$3,st_name,0),11)</f>
        <v>27.2</v>
      </c>
      <c r="G21" s="95">
        <f>INDEX(steel,MATCH(G$3,st_name,0),11)</f>
        <v>31.33</v>
      </c>
      <c r="H21" s="95">
        <f>INDEX(steel,MATCH(H$3,st_name,0),11)</f>
        <v>44.07</v>
      </c>
      <c r="I21" s="95">
        <f>INDEX(steel,MATCH(I$3,st_name,0),11)</f>
        <v>48.57</v>
      </c>
    </row>
    <row r="22" spans="1:9" s="57" customFormat="1" ht="31.5" customHeight="1">
      <c r="A22" s="55"/>
      <c r="B22" s="55" t="s">
        <v>580</v>
      </c>
      <c r="C22" s="56" t="s">
        <v>2</v>
      </c>
      <c r="D22" s="60" t="s">
        <v>9</v>
      </c>
      <c r="E22" s="95">
        <f>INDEX(steel,MATCH(E$3,st_name,0),14)</f>
        <v>6.03</v>
      </c>
      <c r="F22" s="95">
        <f>INDEX(steel,MATCH(F$3,st_name,0),14)</f>
        <v>7.12</v>
      </c>
      <c r="G22" s="95">
        <f>INDEX(steel,MATCH(G$3,st_name,0),14)</f>
        <v>7.88</v>
      </c>
      <c r="H22" s="95">
        <f>INDEX(steel,MATCH(H$3,st_name,0),14)</f>
        <v>9.74</v>
      </c>
      <c r="I22" s="95">
        <f>INDEX(steel,MATCH(I$3,st_name,0),14)</f>
        <v>11.5</v>
      </c>
    </row>
    <row r="23" spans="1:9" s="57" customFormat="1" ht="31.5" customHeight="1">
      <c r="A23" s="55"/>
      <c r="B23" s="55" t="s">
        <v>6</v>
      </c>
      <c r="C23" s="56" t="s">
        <v>2</v>
      </c>
      <c r="D23" s="60" t="s">
        <v>9</v>
      </c>
      <c r="E23" s="95">
        <f>INDEX(steel,MATCH(E$3,st_name,0),15)</f>
        <v>2.22</v>
      </c>
      <c r="F23" s="95">
        <f>INDEX(steel,MATCH(F$3,st_name,0),15)</f>
        <v>2.19</v>
      </c>
      <c r="G23" s="95">
        <f>INDEX(steel,MATCH(G$3,st_name,0),15)</f>
        <v>2.32</v>
      </c>
      <c r="H23" s="95">
        <f>INDEX(steel,MATCH(H$3,st_name,0),15)</f>
        <v>2.58</v>
      </c>
      <c r="I23" s="95">
        <f>INDEX(steel,MATCH(I$3,st_name,0),15)</f>
        <v>2.52</v>
      </c>
    </row>
    <row r="24" spans="1:9" s="57" customFormat="1" ht="31.5" customHeight="1">
      <c r="A24" s="55"/>
      <c r="B24" s="55" t="s">
        <v>526</v>
      </c>
      <c r="C24" s="56" t="s">
        <v>2</v>
      </c>
      <c r="D24" s="60" t="s">
        <v>652</v>
      </c>
      <c r="E24" s="95">
        <f>INDEX(steel,MATCH(E$3,st_name,0),16)</f>
        <v>115</v>
      </c>
      <c r="F24" s="95">
        <f>INDEX(steel,MATCH(F$3,st_name,0),16)</f>
        <v>153</v>
      </c>
      <c r="G24" s="95">
        <f>INDEX(steel,MATCH(G$3,st_name,0),16)</f>
        <v>195</v>
      </c>
      <c r="H24" s="95">
        <f>INDEX(steel,MATCH(H$3,st_name,0),16)</f>
        <v>334</v>
      </c>
      <c r="I24" s="95">
        <f>INDEX(steel,MATCH(I$3,st_name,0),16)</f>
        <v>429</v>
      </c>
    </row>
    <row r="25" spans="1:9" s="57" customFormat="1" ht="31.5" customHeight="1">
      <c r="A25" s="63" t="s">
        <v>535</v>
      </c>
      <c r="B25" s="64" t="s">
        <v>608</v>
      </c>
      <c r="C25" s="64"/>
      <c r="D25" s="62"/>
      <c r="E25" s="92"/>
      <c r="F25" s="92"/>
      <c r="G25" s="92"/>
      <c r="H25" s="92"/>
      <c r="I25" s="92"/>
    </row>
    <row r="26" spans="1:9" s="57" customFormat="1" ht="31.5" customHeight="1">
      <c r="A26" s="63"/>
      <c r="B26" s="57" t="s">
        <v>609</v>
      </c>
      <c r="C26" s="56" t="s">
        <v>2</v>
      </c>
      <c r="D26" s="62"/>
      <c r="E26" s="92">
        <f>1*E5*100/E22</f>
        <v>82.91873963515754</v>
      </c>
      <c r="F26" s="92">
        <f>1*F5*100/F22</f>
        <v>70.2247191011236</v>
      </c>
      <c r="G26" s="92">
        <f>1*G5*100/G22</f>
        <v>63.45177664974619</v>
      </c>
      <c r="H26" s="92">
        <f>1*H5*100/H22</f>
        <v>51.3347022587269</v>
      </c>
      <c r="I26" s="92">
        <f>1*I5*100/I22</f>
        <v>43.47826086956522</v>
      </c>
    </row>
    <row r="27" spans="1:9" s="57" customFormat="1" ht="31.5" customHeight="1">
      <c r="A27" s="63"/>
      <c r="B27" s="57" t="s">
        <v>610</v>
      </c>
      <c r="C27" s="56" t="s">
        <v>2</v>
      </c>
      <c r="D27" s="62"/>
      <c r="E27" s="92">
        <f>1*E5*100/E23</f>
        <v>225.22522522522522</v>
      </c>
      <c r="F27" s="92">
        <f>1*F5*100/F23</f>
        <v>228.31050228310502</v>
      </c>
      <c r="G27" s="92">
        <f>1*G5*100/G23</f>
        <v>215.51724137931035</v>
      </c>
      <c r="H27" s="92">
        <f>1*H5*100/H23</f>
        <v>193.7984496124031</v>
      </c>
      <c r="I27" s="92">
        <f>1*I5*100/I23</f>
        <v>198.4126984126984</v>
      </c>
    </row>
    <row r="28" spans="1:9" s="57" customFormat="1" ht="31.5" customHeight="1">
      <c r="A28" s="63"/>
      <c r="B28" s="79" t="s">
        <v>611</v>
      </c>
      <c r="C28" s="56" t="s">
        <v>2</v>
      </c>
      <c r="D28" s="62"/>
      <c r="E28" s="92">
        <f>MAX(E26:E27)</f>
        <v>225.22522522522522</v>
      </c>
      <c r="F28" s="92">
        <f>MAX(F26:F27)</f>
        <v>228.31050228310502</v>
      </c>
      <c r="G28" s="92">
        <f>MAX(G26:G27)</f>
        <v>215.51724137931035</v>
      </c>
      <c r="H28" s="92">
        <f>MAX(H26:H27)</f>
        <v>193.7984496124031</v>
      </c>
      <c r="I28" s="92">
        <f>MAX(I26:I27)</f>
        <v>198.4126984126984</v>
      </c>
    </row>
    <row r="29" spans="1:9" s="57" customFormat="1" ht="31.5" customHeight="1">
      <c r="A29" s="63"/>
      <c r="C29" s="56" t="s">
        <v>2</v>
      </c>
      <c r="D29" s="62"/>
      <c r="E29" s="92">
        <v>129.58</v>
      </c>
      <c r="F29" s="92">
        <v>129.58</v>
      </c>
      <c r="G29" s="92">
        <v>129.58</v>
      </c>
      <c r="H29" s="92">
        <v>129.58</v>
      </c>
      <c r="I29" s="92">
        <v>129.58</v>
      </c>
    </row>
    <row r="30" spans="1:9" s="57" customFormat="1" ht="31.5" customHeight="1">
      <c r="A30" s="63"/>
      <c r="B30" s="57" t="s">
        <v>612</v>
      </c>
      <c r="C30" s="56" t="s">
        <v>2</v>
      </c>
      <c r="D30" s="62"/>
      <c r="E30" s="109">
        <f>E28/E29</f>
        <v>1.738117188032298</v>
      </c>
      <c r="F30" s="109">
        <f>F28/F29</f>
        <v>1.7619270125258915</v>
      </c>
      <c r="G30" s="109">
        <f>G28/G29</f>
        <v>1.6631983437205613</v>
      </c>
      <c r="H30" s="109">
        <f>H28/H29</f>
        <v>1.4955892083068612</v>
      </c>
      <c r="I30" s="109">
        <f>I28/I29</f>
        <v>1.5311984751713104</v>
      </c>
    </row>
    <row r="31" spans="1:9" s="57" customFormat="1" ht="31.5" customHeight="1">
      <c r="A31" s="63"/>
      <c r="B31" s="57" t="s">
        <v>613</v>
      </c>
      <c r="C31" s="56" t="s">
        <v>2</v>
      </c>
      <c r="D31" s="62"/>
      <c r="E31" s="92">
        <f>IF(E28&lt;E29,5/3+3/8*E30-(1/8*E30^3),23/12)</f>
        <v>1.9166666666666667</v>
      </c>
      <c r="F31" s="92">
        <f>IF(F28&lt;F29,5/3+3/8*F30-(1/8*F30^3),23/12)</f>
        <v>1.9166666666666667</v>
      </c>
      <c r="G31" s="92">
        <f>IF(G28&lt;G29,5/3+3/8*G30-(1/8*G30^3),23/12)</f>
        <v>1.9166666666666667</v>
      </c>
      <c r="H31" s="92">
        <f>IF(H28&lt;H29,5/3+3/8*H30-(1/8*H30^3),23/12)</f>
        <v>1.9166666666666667</v>
      </c>
      <c r="I31" s="92">
        <f>IF(I28&lt;I29,5/3+3/8*I30-(1/8*I30^3),23/12)</f>
        <v>1.9166666666666667</v>
      </c>
    </row>
    <row r="32" spans="1:9" s="57" customFormat="1" ht="31.5" customHeight="1">
      <c r="A32" s="55"/>
      <c r="B32" s="57" t="s">
        <v>614</v>
      </c>
      <c r="C32" s="56" t="s">
        <v>2</v>
      </c>
      <c r="D32" s="62" t="s">
        <v>10</v>
      </c>
      <c r="E32" s="95">
        <f>IF(E28&lt;E29,(1-0.5*(E28*E28))*E4/E31,3.14*3.14*2000000/(E28*E28))</f>
        <v>388.73642112000005</v>
      </c>
      <c r="F32" s="95">
        <f>IF(F28&lt;F29,(1-0.5*(F28*F28))*F4/F31,3.14*3.14*2000000/(F28*F28))</f>
        <v>378.30102048</v>
      </c>
      <c r="G32" s="95">
        <f>IF(G28&lt;G29,(1-0.5*(G28*G28))*G4/G31,3.14*3.14*2000000/(G28*G28))</f>
        <v>424.54648832000004</v>
      </c>
      <c r="H32" s="95">
        <f>IF(H28&lt;H29,(1-0.5*(H28*H28))*H4/H31,3.14*3.14*2000000/(H28*H28))</f>
        <v>525.0355315200001</v>
      </c>
      <c r="I32" s="95">
        <f>IF(I28&lt;I29,(1-0.5*(I28*I28))*I4/I31,3.14*3.14*2000000/(I28*I28))</f>
        <v>500.8992307200001</v>
      </c>
    </row>
    <row r="33" spans="1:9" s="85" customFormat="1" ht="31.5" customHeight="1">
      <c r="A33" s="113"/>
      <c r="B33" s="120" t="s">
        <v>623</v>
      </c>
      <c r="C33" s="121" t="s">
        <v>2</v>
      </c>
      <c r="D33" s="122" t="s">
        <v>533</v>
      </c>
      <c r="E33" s="123">
        <f>E32*E21/1000</f>
        <v>9.216940544755202</v>
      </c>
      <c r="F33" s="123">
        <f>F32*F21/1000</f>
        <v>10.289787757055999</v>
      </c>
      <c r="G33" s="123">
        <f>G32*G21/1000</f>
        <v>13.3010414790656</v>
      </c>
      <c r="H33" s="123">
        <f>H32*H21/1000</f>
        <v>23.138315874086402</v>
      </c>
      <c r="I33" s="123">
        <f>I32*I21/1000</f>
        <v>24.328675636070408</v>
      </c>
    </row>
    <row r="34" spans="1:9" s="57" customFormat="1" ht="31.5" customHeight="1">
      <c r="A34" s="66" t="s">
        <v>540</v>
      </c>
      <c r="B34" s="67" t="s">
        <v>547</v>
      </c>
      <c r="C34" s="64"/>
      <c r="D34" s="62"/>
      <c r="E34" s="92"/>
      <c r="F34" s="92"/>
      <c r="G34" s="92"/>
      <c r="H34" s="92"/>
      <c r="I34" s="92"/>
    </row>
    <row r="35" spans="1:9" s="57" customFormat="1" ht="31.5" customHeight="1">
      <c r="A35" s="55"/>
      <c r="B35" s="55" t="s">
        <v>541</v>
      </c>
      <c r="C35" s="56" t="s">
        <v>2</v>
      </c>
      <c r="D35" s="60" t="s">
        <v>9</v>
      </c>
      <c r="E35" s="95">
        <f>((E10-1)*E11+E13-E10*(E9+0.2))</f>
        <v>9.6</v>
      </c>
      <c r="F35" s="95">
        <f>((F10-1)*F11+F13-F10*(F9+0.2))</f>
        <v>9.6</v>
      </c>
      <c r="G35" s="95">
        <f>((G10-1)*G11+G13-G10*(G9+0.2))</f>
        <v>19.4</v>
      </c>
      <c r="H35" s="95">
        <f>((H10-1)*H11+H13-H10*(H9+0.2))</f>
        <v>42.2</v>
      </c>
      <c r="I35" s="95">
        <f>((I10-1)*I11+I13-I10*(I9+0.2))</f>
        <v>57.2</v>
      </c>
    </row>
    <row r="36" spans="1:9" s="57" customFormat="1" ht="31.5" customHeight="1">
      <c r="A36" s="55"/>
      <c r="B36" s="55" t="s">
        <v>542</v>
      </c>
      <c r="C36" s="56" t="s">
        <v>2</v>
      </c>
      <c r="D36" s="60" t="s">
        <v>9</v>
      </c>
      <c r="E36" s="95">
        <f>E12-2*(E10+0.2)</f>
        <v>3.5999999999999996</v>
      </c>
      <c r="F36" s="95">
        <f>F12-2*(F10+0.2)</f>
        <v>3.5999999999999996</v>
      </c>
      <c r="G36" s="95">
        <f>G12-2*(G10+0.2)</f>
        <v>3.5999999999999996</v>
      </c>
      <c r="H36" s="95">
        <f>H12-2*(H10+0.2)</f>
        <v>6.6</v>
      </c>
      <c r="I36" s="95">
        <f>I12-2*(I10+0.2)</f>
        <v>11.6</v>
      </c>
    </row>
    <row r="37" spans="1:9" s="57" customFormat="1" ht="31.5" customHeight="1">
      <c r="A37" s="55"/>
      <c r="B37" s="55" t="s">
        <v>543</v>
      </c>
      <c r="C37" s="56" t="s">
        <v>2</v>
      </c>
      <c r="D37" s="60" t="s">
        <v>533</v>
      </c>
      <c r="E37" s="96">
        <f>4000*(0.3*E35+0.5*E36)*E14/1000</f>
        <v>18.72</v>
      </c>
      <c r="F37" s="96">
        <f>4000*(0.3*F35+0.5*F36)*F14/1000</f>
        <v>22.464</v>
      </c>
      <c r="G37" s="96">
        <f>4000*(0.3*G35+0.5*G36)*G14/1000</f>
        <v>36.57599999999999</v>
      </c>
      <c r="H37" s="96">
        <f>4000*(0.3*H35+0.5*H36)*H14/1000</f>
        <v>102.144</v>
      </c>
      <c r="I37" s="96">
        <f>4000*(0.3*I35+0.5*I36)*I14/1000</f>
        <v>146.944</v>
      </c>
    </row>
    <row r="38" spans="1:9" s="57" customFormat="1" ht="31.5" customHeight="1">
      <c r="A38" s="66" t="s">
        <v>545</v>
      </c>
      <c r="B38" s="67" t="s">
        <v>584</v>
      </c>
      <c r="C38" s="64"/>
      <c r="D38" s="62"/>
      <c r="E38" s="92"/>
      <c r="F38" s="92"/>
      <c r="G38" s="92"/>
      <c r="H38" s="92"/>
      <c r="I38" s="92"/>
    </row>
    <row r="39" spans="1:9" s="57" customFormat="1" ht="31.5" customHeight="1">
      <c r="A39" s="55"/>
      <c r="B39" s="55" t="s">
        <v>616</v>
      </c>
      <c r="C39" s="56" t="s">
        <v>2</v>
      </c>
      <c r="D39" s="60" t="s">
        <v>533</v>
      </c>
      <c r="E39" s="96">
        <f>0.5*4000*E14*(0.1*E17-E10*(E9+0.2))/1000</f>
        <v>21.2</v>
      </c>
      <c r="F39" s="96">
        <f>0.5*4000*F14*(0.1*F17-F10*(F9+0.2))/1000</f>
        <v>32.64</v>
      </c>
      <c r="G39" s="96">
        <f>0.5*4000*G14*(0.1*G17-G10*(G9+0.2))/1000</f>
        <v>32.16</v>
      </c>
      <c r="H39" s="96">
        <f>0.5*4000*H14*(0.1*H17-H10*(H9+0.2))/1000</f>
        <v>51.84</v>
      </c>
      <c r="I39" s="96">
        <f>0.5*4000*I14*(0.1*I17-I10*(I9+0.2))/1000</f>
        <v>67.84</v>
      </c>
    </row>
    <row r="40" spans="1:9" s="57" customFormat="1" ht="31.5" customHeight="1">
      <c r="A40" s="55"/>
      <c r="B40" s="55" t="s">
        <v>617</v>
      </c>
      <c r="C40" s="56" t="s">
        <v>2</v>
      </c>
      <c r="D40" s="60" t="s">
        <v>533</v>
      </c>
      <c r="E40" s="96">
        <f>0.6*E4*(E17*0.1*E14)/1000</f>
        <v>21.6</v>
      </c>
      <c r="F40" s="96">
        <f>0.6*F4*(F17*0.1*F14)/1000</f>
        <v>31.103999999999996</v>
      </c>
      <c r="G40" s="96">
        <f>0.6*G4*(G17*0.1*G14)/1000</f>
        <v>34.56</v>
      </c>
      <c r="H40" s="96">
        <f>0.6*H4*(H17*0.1*H14)/1000</f>
        <v>57.6</v>
      </c>
      <c r="I40" s="96">
        <f>0.6*I4*(I17*0.1*I14)/1000</f>
        <v>69.12</v>
      </c>
    </row>
    <row r="41" spans="1:9" s="57" customFormat="1" ht="31.5" customHeight="1">
      <c r="A41" s="66" t="s">
        <v>583</v>
      </c>
      <c r="B41" s="67" t="s">
        <v>546</v>
      </c>
      <c r="C41" s="62"/>
      <c r="D41" s="62"/>
      <c r="E41" s="100"/>
      <c r="F41" s="100"/>
      <c r="G41" s="100"/>
      <c r="H41" s="100"/>
      <c r="I41" s="100"/>
    </row>
    <row r="42" spans="1:9" s="57" customFormat="1" ht="31.5" customHeight="1">
      <c r="A42" s="55"/>
      <c r="B42" s="55" t="s">
        <v>653</v>
      </c>
      <c r="C42" s="56" t="s">
        <v>2</v>
      </c>
      <c r="D42" s="60" t="s">
        <v>533</v>
      </c>
      <c r="E42" s="99">
        <f>E10*(E9+0.2)*E14*1.2*4000/1000</f>
        <v>21.12</v>
      </c>
      <c r="F42" s="99">
        <f>F10*(F9+0.2)*F14*1.2*4000/1000</f>
        <v>25.344</v>
      </c>
      <c r="G42" s="99">
        <f>G10*(G9+0.2)*G14*1.2*4000/1000</f>
        <v>38.016</v>
      </c>
      <c r="H42" s="99">
        <f>H10*(H9+0.2)*H14*1.2*4000/1000</f>
        <v>67.584</v>
      </c>
      <c r="I42" s="99">
        <f>I10*(I9+0.2)*I14*1.2*4000/1000</f>
        <v>67.584</v>
      </c>
    </row>
    <row r="43" spans="1:9" s="71" customFormat="1" ht="31.5" customHeight="1">
      <c r="A43" s="66" t="s">
        <v>552</v>
      </c>
      <c r="B43" s="67" t="s">
        <v>648</v>
      </c>
      <c r="C43" s="67"/>
      <c r="D43" s="67"/>
      <c r="E43" s="98"/>
      <c r="F43" s="100"/>
      <c r="G43" s="100"/>
      <c r="H43" s="100"/>
      <c r="I43" s="100"/>
    </row>
    <row r="44" spans="1:9" s="71" customFormat="1" ht="31.5" customHeight="1">
      <c r="A44" s="63"/>
      <c r="B44" s="110" t="s">
        <v>618</v>
      </c>
      <c r="C44" s="61" t="s">
        <v>2</v>
      </c>
      <c r="D44" s="55" t="s">
        <v>533</v>
      </c>
      <c r="E44" s="101">
        <f>2*(0.3*0.707*E15*4900*(E17*0.1))/1000</f>
        <v>24.94296</v>
      </c>
      <c r="F44" s="101">
        <f>2*(0.3*0.707*F15*4900*(F17*0.1))/1000</f>
        <v>29.931552</v>
      </c>
      <c r="G44" s="101">
        <f>2*(0.3*0.707*G15*4900*(G17*0.1))/1000</f>
        <v>249.42959999999997</v>
      </c>
      <c r="H44" s="101">
        <f>2*(0.3*0.707*H15*4900*(H17*0.1))/1000</f>
        <v>41.5716</v>
      </c>
      <c r="I44" s="101">
        <f>2*(0.3*0.707*I15*4900*(I17*0.1))/1000</f>
        <v>49.88592</v>
      </c>
    </row>
    <row r="45" spans="1:9" s="57" customFormat="1" ht="31.5" customHeight="1">
      <c r="A45" s="119">
        <v>10</v>
      </c>
      <c r="B45" s="67" t="s">
        <v>619</v>
      </c>
      <c r="C45" s="111"/>
      <c r="D45" s="124"/>
      <c r="E45" s="103"/>
      <c r="F45" s="103"/>
      <c r="G45" s="103"/>
      <c r="H45" s="103"/>
      <c r="I45" s="103"/>
    </row>
    <row r="46" spans="1:9" s="57" customFormat="1" ht="31.5" customHeight="1">
      <c r="A46" s="55"/>
      <c r="B46" s="112" t="s">
        <v>621</v>
      </c>
      <c r="C46" s="117" t="s">
        <v>2</v>
      </c>
      <c r="D46" s="118" t="s">
        <v>620</v>
      </c>
      <c r="E46" s="103">
        <f>0.75*2400*(E17*0.1*E14*E14/6)/1000</f>
        <v>4.5</v>
      </c>
      <c r="F46" s="103">
        <f>0.75*2400*(F17*0.1*F14*F14/6)/1000</f>
        <v>7.775999999999999</v>
      </c>
      <c r="G46" s="103">
        <f>0.75*2400*(G17*0.1*G14*G14/6)/1000</f>
        <v>8.64</v>
      </c>
      <c r="H46" s="103">
        <f>0.75*2400*(H17*0.1*H14*H14/6)/1000</f>
        <v>19.2</v>
      </c>
      <c r="I46" s="103">
        <f>0.75*2400*(I17*0.1*I14*I14/6)/1000</f>
        <v>23.040000000000003</v>
      </c>
    </row>
    <row r="47" spans="1:9" s="57" customFormat="1" ht="31.5" customHeight="1">
      <c r="A47" s="113"/>
      <c r="B47" s="114" t="s">
        <v>624</v>
      </c>
      <c r="C47" s="115" t="s">
        <v>2</v>
      </c>
      <c r="D47" s="116" t="s">
        <v>533</v>
      </c>
      <c r="E47" s="139">
        <f>E46/0.5/(E14+0.1*E19)</f>
        <v>5.454545454545455</v>
      </c>
      <c r="F47" s="139">
        <f>F46/0.5/(F14+0.1*F19)</f>
        <v>8.185263157894736</v>
      </c>
      <c r="G47" s="139">
        <f>G46/0.5/(G14+0.1*G19)</f>
        <v>8.861538461538462</v>
      </c>
      <c r="H47" s="139">
        <f>H46/0.5/(H14+0.1*H19)</f>
        <v>15.36</v>
      </c>
      <c r="I47" s="139">
        <f>I46/0.5/(I14+0.1*I19)</f>
        <v>18.432000000000002</v>
      </c>
    </row>
    <row r="48" spans="1:9" s="57" customFormat="1" ht="31.5" customHeight="1">
      <c r="A48" s="72" t="s">
        <v>588</v>
      </c>
      <c r="B48" s="73" t="s">
        <v>622</v>
      </c>
      <c r="C48" s="62"/>
      <c r="D48" s="62"/>
      <c r="E48" s="106"/>
      <c r="F48" s="106"/>
      <c r="G48" s="106"/>
      <c r="H48" s="106"/>
      <c r="I48" s="106"/>
    </row>
    <row r="49" spans="1:9" s="57" customFormat="1" ht="31.5" customHeight="1">
      <c r="A49" s="63"/>
      <c r="B49" s="62" t="s">
        <v>660</v>
      </c>
      <c r="C49" s="61" t="s">
        <v>2</v>
      </c>
      <c r="D49" s="62" t="s">
        <v>533</v>
      </c>
      <c r="E49" s="96">
        <f>0.6*E4*(0.75*E21)/1000</f>
        <v>25.6068</v>
      </c>
      <c r="F49" s="96">
        <f>0.6*F4*(0.75*F21)/1000</f>
        <v>29.375999999999998</v>
      </c>
      <c r="G49" s="96">
        <f>0.6*G4*(0.75*G21)/1000</f>
        <v>33.836400000000005</v>
      </c>
      <c r="H49" s="96">
        <f>0.6*H4*(0.75*H21)/1000</f>
        <v>47.595600000000005</v>
      </c>
      <c r="I49" s="96">
        <f>0.6*I4*(0.75*I21)/1000</f>
        <v>52.455600000000004</v>
      </c>
    </row>
    <row r="50" spans="1:9" s="57" customFormat="1" ht="31.5" customHeight="1">
      <c r="A50" s="55"/>
      <c r="B50" s="62" t="s">
        <v>661</v>
      </c>
      <c r="C50" s="61" t="s">
        <v>2</v>
      </c>
      <c r="D50" s="62" t="s">
        <v>533</v>
      </c>
      <c r="E50" s="103">
        <f>0.75*(0.5*4000*(0.5*E21-2*(E9+0.2)*E19*0.1))/1000</f>
        <v>13.492500000000003</v>
      </c>
      <c r="F50" s="103">
        <f>0.75*(0.5*4000*(0.5*F21-2*(F9+0.2)*F19*0.1))/1000</f>
        <v>15.78</v>
      </c>
      <c r="G50" s="103">
        <f>0.75*(0.5*4000*(0.5*G21-2*(G9+0.2)*G19*0.1))/1000</f>
        <v>18.547499999999996</v>
      </c>
      <c r="H50" s="103">
        <f>0.75*(0.5*4000*(0.5*H21-2*(H9+0.2)*H19*0.1))/1000</f>
        <v>27.1125</v>
      </c>
      <c r="I50" s="103">
        <f>0.75*(0.5*4000*(0.5*I21-2*(I9+0.2)*I19*0.1))/1000</f>
        <v>30.4875</v>
      </c>
    </row>
    <row r="51" spans="1:9" s="57" customFormat="1" ht="31.5" customHeight="1">
      <c r="A51" s="75" t="s">
        <v>601</v>
      </c>
      <c r="B51" s="76" t="s">
        <v>565</v>
      </c>
      <c r="C51" s="61"/>
      <c r="D51" s="69"/>
      <c r="E51" s="106"/>
      <c r="F51" s="106"/>
      <c r="G51" s="106"/>
      <c r="H51" s="106"/>
      <c r="I51" s="106"/>
    </row>
    <row r="52" spans="1:9" s="71" customFormat="1" ht="31.5" customHeight="1">
      <c r="A52" s="55"/>
      <c r="B52" s="55" t="s">
        <v>654</v>
      </c>
      <c r="C52" s="61" t="s">
        <v>2</v>
      </c>
      <c r="D52" s="62" t="s">
        <v>566</v>
      </c>
      <c r="E52" s="105">
        <f>(E33)/(2*E10)</f>
        <v>2.3042351361888005</v>
      </c>
      <c r="F52" s="105">
        <f>(F33)/(2*F10)</f>
        <v>2.5724469392639997</v>
      </c>
      <c r="G52" s="105">
        <f>(G33)/(2*G10)</f>
        <v>2.2168402465109334</v>
      </c>
      <c r="H52" s="105">
        <f>(H33)/(2*H10)</f>
        <v>2.8922894842608002</v>
      </c>
      <c r="I52" s="105">
        <f>(I33)/(2*I10)</f>
        <v>3.041084454508801</v>
      </c>
    </row>
    <row r="53" spans="1:9" s="57" customFormat="1" ht="31.5" customHeight="1">
      <c r="A53" s="55"/>
      <c r="B53" s="55" t="s">
        <v>576</v>
      </c>
      <c r="C53" s="61" t="s">
        <v>2</v>
      </c>
      <c r="D53" s="62" t="s">
        <v>566</v>
      </c>
      <c r="E53" s="105">
        <f>1.45*(3.14*E9*E9/4)</f>
        <v>4.553</v>
      </c>
      <c r="F53" s="105">
        <f>1.45*(3.14*F9*F9/4)</f>
        <v>4.553</v>
      </c>
      <c r="G53" s="105">
        <f>1.45*(3.14*G9*G9/4)</f>
        <v>4.553</v>
      </c>
      <c r="H53" s="105">
        <f>1.45*(3.14*H9*H9/4)</f>
        <v>4.553</v>
      </c>
      <c r="I53" s="105">
        <f>1.45*(3.14*I9*I9/4)</f>
        <v>4.553</v>
      </c>
    </row>
    <row r="54" spans="1:9" s="37" customFormat="1" ht="31.5" customHeight="1">
      <c r="A54" s="137">
        <v>13</v>
      </c>
      <c r="B54" s="76" t="s">
        <v>628</v>
      </c>
      <c r="C54" s="39"/>
      <c r="D54" s="38"/>
      <c r="E54" s="39"/>
      <c r="F54" s="39"/>
      <c r="G54" s="39"/>
      <c r="H54" s="39"/>
      <c r="I54" s="39"/>
    </row>
    <row r="55" spans="1:9" s="37" customFormat="1" ht="31.5" customHeight="1">
      <c r="A55" s="136"/>
      <c r="B55" s="55" t="s">
        <v>630</v>
      </c>
      <c r="C55" s="61" t="s">
        <v>2</v>
      </c>
      <c r="D55" s="105"/>
      <c r="E55" s="105">
        <f>1*E6*100/(E23/2)</f>
        <v>112.61261261261261</v>
      </c>
      <c r="F55" s="105">
        <f>1*F6*100/(F23/2)</f>
        <v>114.15525114155251</v>
      </c>
      <c r="G55" s="105">
        <f>1*G6*100/(G23/2)</f>
        <v>107.75862068965517</v>
      </c>
      <c r="H55" s="105">
        <f>1*H6*100/(H23/2)</f>
        <v>96.89922480620154</v>
      </c>
      <c r="I55" s="105">
        <f>1*I6*100/(I23/2)</f>
        <v>99.2063492063492</v>
      </c>
    </row>
    <row r="56" spans="1:9" s="37" customFormat="1" ht="31.5" customHeight="1">
      <c r="A56" s="136"/>
      <c r="B56" s="55" t="s">
        <v>629</v>
      </c>
      <c r="C56" s="61" t="s">
        <v>2</v>
      </c>
      <c r="D56" s="105"/>
      <c r="E56" s="105">
        <f>E28*0.75</f>
        <v>168.9189189189189</v>
      </c>
      <c r="F56" s="105">
        <f>F28*0.75</f>
        <v>171.23287671232876</v>
      </c>
      <c r="G56" s="105">
        <f>G28*0.75</f>
        <v>161.63793103448276</v>
      </c>
      <c r="H56" s="105">
        <f>H28*0.75</f>
        <v>145.3488372093023</v>
      </c>
      <c r="I56" s="105">
        <f>I28*0.75</f>
        <v>148.8095238095238</v>
      </c>
    </row>
    <row r="57" spans="1:9" s="133" customFormat="1" ht="31.5" customHeight="1">
      <c r="A57" s="138"/>
      <c r="B57" s="132" t="s">
        <v>657</v>
      </c>
      <c r="C57" s="41"/>
      <c r="D57" s="103"/>
      <c r="E57" s="96" t="str">
        <f>IF(E55&lt;E56,"O.K","N.K")</f>
        <v>O.K</v>
      </c>
      <c r="F57" s="96" t="str">
        <f>IF(F55&lt;F56,"O.K","N.K")</f>
        <v>O.K</v>
      </c>
      <c r="G57" s="96" t="str">
        <f>IF(G55&lt;G56,"O.K","N.K")</f>
        <v>O.K</v>
      </c>
      <c r="H57" s="96" t="str">
        <f>IF(H55&lt;H56,"O.K","N.K")</f>
        <v>O.K</v>
      </c>
      <c r="I57" s="96" t="str">
        <f>IF(I55&lt;I56,"O.K","N.K")</f>
        <v>O.K</v>
      </c>
    </row>
    <row r="58" spans="1:9" s="37" customFormat="1" ht="31.5" customHeight="1">
      <c r="A58" s="137">
        <v>14</v>
      </c>
      <c r="B58" s="76" t="s">
        <v>633</v>
      </c>
      <c r="C58" s="38"/>
      <c r="D58" s="105"/>
      <c r="E58" s="105"/>
      <c r="F58" s="105"/>
      <c r="G58" s="105"/>
      <c r="H58" s="105"/>
      <c r="I58" s="105"/>
    </row>
    <row r="59" spans="1:9" s="37" customFormat="1" ht="31.5" customHeight="1">
      <c r="A59" s="136"/>
      <c r="B59" s="55" t="s">
        <v>631</v>
      </c>
      <c r="C59" s="61" t="s">
        <v>2</v>
      </c>
      <c r="E59" s="105">
        <f>E7/E14</f>
        <v>2</v>
      </c>
      <c r="F59" s="105">
        <f>F7/F14</f>
        <v>1.6666666666666667</v>
      </c>
      <c r="G59" s="105">
        <f>G7/G14</f>
        <v>1.6666666666666667</v>
      </c>
      <c r="H59" s="105">
        <f>H7/H14</f>
        <v>1.25</v>
      </c>
      <c r="I59" s="105">
        <f>I7/I14</f>
        <v>1.25</v>
      </c>
    </row>
    <row r="60" spans="1:9" s="37" customFormat="1" ht="31.5" customHeight="1">
      <c r="A60" s="136"/>
      <c r="B60" s="55" t="s">
        <v>632</v>
      </c>
      <c r="C60" s="61" t="s">
        <v>2</v>
      </c>
      <c r="D60" s="38"/>
      <c r="E60" s="105">
        <f>0.75*SQRT(2000000/2400)</f>
        <v>21.650635094610966</v>
      </c>
      <c r="F60" s="105">
        <f>0.75*SQRT(2000000/2400)</f>
        <v>21.650635094610966</v>
      </c>
      <c r="G60" s="105">
        <f>0.75*SQRT(2000000/2400)</f>
        <v>21.650635094610966</v>
      </c>
      <c r="H60" s="105">
        <f>0.75*SQRT(2000000/2400)</f>
        <v>21.650635094610966</v>
      </c>
      <c r="I60" s="105">
        <f>0.75*SQRT(2000000/2400)</f>
        <v>21.650635094610966</v>
      </c>
    </row>
    <row r="61" spans="1:9" s="133" customFormat="1" ht="31.5" customHeight="1">
      <c r="A61" s="138"/>
      <c r="B61" s="132" t="s">
        <v>634</v>
      </c>
      <c r="C61" s="131"/>
      <c r="D61" s="131"/>
      <c r="E61" s="96" t="str">
        <f>IF(E59&lt;E60,"O.K","N.K")</f>
        <v>O.K</v>
      </c>
      <c r="F61" s="96" t="str">
        <f>IF(F59&lt;F60,"O.K","N.K")</f>
        <v>O.K</v>
      </c>
      <c r="G61" s="96" t="str">
        <f>IF(G59&lt;G60,"O.K","N.K")</f>
        <v>O.K</v>
      </c>
      <c r="H61" s="96" t="str">
        <f>IF(H59&lt;H60,"O.K","N.K")</f>
        <v>O.K</v>
      </c>
      <c r="I61" s="96" t="str">
        <f>IF(I59&lt;I60,"O.K","N.K")</f>
        <v>O.K</v>
      </c>
    </row>
    <row r="62" spans="1:9" s="37" customFormat="1" ht="31.5" customHeight="1">
      <c r="A62" s="137">
        <v>15</v>
      </c>
      <c r="B62" s="76" t="s">
        <v>656</v>
      </c>
      <c r="C62" s="130"/>
      <c r="D62" s="38"/>
      <c r="E62" s="39"/>
      <c r="F62" s="39"/>
      <c r="G62" s="39"/>
      <c r="H62" s="39"/>
      <c r="I62" s="39"/>
    </row>
    <row r="63" spans="1:9" s="37" customFormat="1" ht="31.5" customHeight="1">
      <c r="A63" s="38"/>
      <c r="B63" s="64" t="s">
        <v>655</v>
      </c>
      <c r="C63" s="38"/>
      <c r="D63" s="38"/>
      <c r="E63" s="95">
        <f>1*E33</f>
        <v>9.216940544755202</v>
      </c>
      <c r="F63" s="95">
        <f>1*F33</f>
        <v>10.289787757055999</v>
      </c>
      <c r="G63" s="95">
        <f>1*G33</f>
        <v>13.3010414790656</v>
      </c>
      <c r="H63" s="95">
        <f>1*H33</f>
        <v>23.138315874086402</v>
      </c>
      <c r="I63" s="95">
        <f>1*I33</f>
        <v>24.328675636070408</v>
      </c>
    </row>
    <row r="64" spans="1:9" s="37" customFormat="1" ht="31.5" customHeight="1">
      <c r="A64" s="38"/>
      <c r="B64" s="55" t="s">
        <v>635</v>
      </c>
      <c r="C64" s="61" t="s">
        <v>2</v>
      </c>
      <c r="D64" s="135" t="s">
        <v>651</v>
      </c>
      <c r="E64" s="95">
        <f>1*E14</f>
        <v>1</v>
      </c>
      <c r="F64" s="95">
        <f>1*F14</f>
        <v>1.2</v>
      </c>
      <c r="G64" s="95">
        <f>1*G14</f>
        <v>1.2</v>
      </c>
      <c r="H64" s="95">
        <f>1*H14</f>
        <v>1.6</v>
      </c>
      <c r="I64" s="95">
        <f>1*I14</f>
        <v>1.6</v>
      </c>
    </row>
    <row r="65" spans="1:9" s="37" customFormat="1" ht="31.5" customHeight="1">
      <c r="A65" s="38"/>
      <c r="B65" s="55" t="s">
        <v>636</v>
      </c>
      <c r="C65" s="61" t="s">
        <v>2</v>
      </c>
      <c r="D65" s="135" t="s">
        <v>9</v>
      </c>
      <c r="E65" s="95">
        <f>SQRT(1*E14*E14*E14*E14/(E64))</f>
        <v>1</v>
      </c>
      <c r="F65" s="95">
        <f>SQRT(1*F14*F14*F14*F14/(F64))</f>
        <v>1.3145341380123987</v>
      </c>
      <c r="G65" s="95">
        <f>SQRT(1*G14*G14*G14*G14/(G64))</f>
        <v>1.3145341380123987</v>
      </c>
      <c r="H65" s="95">
        <f>SQRT(1*H14*H14*H14*H14/(H64))</f>
        <v>2.023857702507763</v>
      </c>
      <c r="I65" s="95">
        <f>SQRT(1*I14*I14*I14*I14/(I64))</f>
        <v>2.023857702507763</v>
      </c>
    </row>
    <row r="66" spans="1:9" s="37" customFormat="1" ht="31.5" customHeight="1">
      <c r="A66" s="38"/>
      <c r="B66" s="55" t="s">
        <v>637</v>
      </c>
      <c r="C66" s="61" t="s">
        <v>2</v>
      </c>
      <c r="D66" s="135" t="s">
        <v>9</v>
      </c>
      <c r="E66" s="95">
        <f>SQRT(E14*1*1*1*1/E64)</f>
        <v>1</v>
      </c>
      <c r="F66" s="95">
        <f>SQRT(F14*1*1*1*1/F64)</f>
        <v>1</v>
      </c>
      <c r="G66" s="95">
        <f>SQRT(G14*1*1*1*1/G64)</f>
        <v>1</v>
      </c>
      <c r="H66" s="95">
        <f>SQRT(H14*1*1*1*1/H64)</f>
        <v>1</v>
      </c>
      <c r="I66" s="95">
        <f>SQRT(I14*1*1*1*1/I64)</f>
        <v>1</v>
      </c>
    </row>
    <row r="67" spans="1:9" s="37" customFormat="1" ht="31.5" customHeight="1">
      <c r="A67" s="38"/>
      <c r="B67" s="55" t="s">
        <v>650</v>
      </c>
      <c r="C67" s="61" t="s">
        <v>2</v>
      </c>
      <c r="D67" s="135" t="s">
        <v>10</v>
      </c>
      <c r="E67" s="95">
        <f>E63*1000/(E12+2*TAN(3.14/6)*((E10-1)*E11+E13))</f>
        <v>381.560647535649</v>
      </c>
      <c r="F67" s="95">
        <f>F63*1000/(F12+2*TAN(3.14/6)*((F10-1)*F11+F13))</f>
        <v>425.9741137009752</v>
      </c>
      <c r="G67" s="95">
        <f>G63*1000/(G12+2*TAN(3.14/6)*((G10-1)*G11+G13))</f>
        <v>332.4943434460063</v>
      </c>
      <c r="H67" s="95">
        <f>H63*1000/(H12+2*TAN(3.14/6)*((H10-1)*H11+H13))</f>
        <v>313.2996304215862</v>
      </c>
      <c r="I67" s="95">
        <f>I63*1000/(I12+2*TAN(3.14/6)*((I10-1)*I11+I13))</f>
        <v>252.99276075361163</v>
      </c>
    </row>
    <row r="68" spans="1:9" s="37" customFormat="1" ht="31.5" customHeight="1">
      <c r="A68" s="38"/>
      <c r="B68" s="55" t="s">
        <v>645</v>
      </c>
      <c r="C68" s="61" t="s">
        <v>2</v>
      </c>
      <c r="D68" s="136"/>
      <c r="E68" s="95">
        <f>1.2*((E10-1)*E11+E13)/MIN(E65:E66)</f>
        <v>16.8</v>
      </c>
      <c r="F68" s="95">
        <f>1.2*((F10-1)*F11+F13)/MIN(F65:F66)</f>
        <v>16.8</v>
      </c>
      <c r="G68" s="95">
        <f>1.2*((G10-1)*G11+G13)/MIN(G65:G66)</f>
        <v>31.2</v>
      </c>
      <c r="H68" s="95">
        <f>1.2*((H10-1)*H11+H13)/MIN(H65:H66)</f>
        <v>61.199999999999996</v>
      </c>
      <c r="I68" s="95">
        <f>1.2*((I10-1)*I11+I13)/MIN(I65:I66)</f>
        <v>79.2</v>
      </c>
    </row>
    <row r="69" spans="1:9" s="37" customFormat="1" ht="31.5" customHeight="1">
      <c r="A69" s="38"/>
      <c r="B69" s="55" t="s">
        <v>639</v>
      </c>
      <c r="C69" s="61" t="s">
        <v>2</v>
      </c>
      <c r="D69" s="136"/>
      <c r="E69" s="92">
        <v>129.58</v>
      </c>
      <c r="F69" s="92">
        <v>129.58</v>
      </c>
      <c r="G69" s="92">
        <v>129.58</v>
      </c>
      <c r="H69" s="92">
        <v>129.58</v>
      </c>
      <c r="I69" s="92">
        <v>129.58</v>
      </c>
    </row>
    <row r="70" spans="1:9" s="37" customFormat="1" ht="31.5" customHeight="1">
      <c r="A70" s="38"/>
      <c r="B70" s="55" t="s">
        <v>646</v>
      </c>
      <c r="C70" s="61"/>
      <c r="D70" s="136"/>
      <c r="E70" s="92">
        <f>E68/E69</f>
        <v>0.1296496372897052</v>
      </c>
      <c r="F70" s="92">
        <f>F68/F69</f>
        <v>0.1296496372897052</v>
      </c>
      <c r="G70" s="92">
        <f>G68/G69</f>
        <v>0.2407778978237382</v>
      </c>
      <c r="H70" s="92">
        <f>H68/H69</f>
        <v>0.4722951072696403</v>
      </c>
      <c r="I70" s="92">
        <f>I68/I69</f>
        <v>0.6112054329371817</v>
      </c>
    </row>
    <row r="71" spans="1:9" s="37" customFormat="1" ht="31.5" customHeight="1">
      <c r="A71" s="38"/>
      <c r="B71" s="55" t="s">
        <v>641</v>
      </c>
      <c r="C71" s="61" t="s">
        <v>2</v>
      </c>
      <c r="D71" s="136"/>
      <c r="E71" s="92">
        <f>IF(E68&lt;E69,5/3+3/8*E70-1/8*E70^3,23/12)</f>
        <v>1.7150128700951</v>
      </c>
      <c r="F71" s="92">
        <f>IF(F68&lt;F69,5/3+3/8*F70-1/8*F70^3,23/12)</f>
        <v>1.7150128700951</v>
      </c>
      <c r="G71" s="92">
        <f>IF(G68&lt;G69,5/3+3/8*G70-1/8*G70^3,23/12)</f>
        <v>1.755213521237483</v>
      </c>
      <c r="H71" s="92">
        <f>IF(H68&lt;H69,5/3+3/8*H70-1/8*H70^3,23/12)</f>
        <v>1.8306084060332053</v>
      </c>
      <c r="I71" s="92">
        <f>IF(I68&lt;I69,5/3+3/8*I70-1/8*I70^3,23/12)</f>
        <v>1.8673275433112564</v>
      </c>
    </row>
    <row r="72" spans="1:9" s="37" customFormat="1" ht="31.5" customHeight="1">
      <c r="A72" s="38"/>
      <c r="B72" s="57" t="s">
        <v>614</v>
      </c>
      <c r="C72" s="56" t="s">
        <v>2</v>
      </c>
      <c r="D72" s="100" t="s">
        <v>10</v>
      </c>
      <c r="E72" s="95">
        <f>IF(E68&lt;E69,(1-0.5*(E70*E70))*E4/E71,3.14*3.14*2000000/(E68*E68))</f>
        <v>1387.6450768143873</v>
      </c>
      <c r="F72" s="95">
        <f>IF(F68&lt;F69,(1-0.5*(F70*F70))*F4/F71,3.14*3.14*2000000/(F68*F68))</f>
        <v>1387.6450768143873</v>
      </c>
      <c r="G72" s="95">
        <f>IF(G68&lt;G69,(1-0.5*(G70*G70))*G4/G71,3.14*3.14*2000000/(G68*G68))</f>
        <v>1327.719491962703</v>
      </c>
      <c r="H72" s="95">
        <f>IF(H68&lt;H69,(1-0.5*(H70*H70))*H4/H71,3.14*3.14*2000000/(H68*H68))</f>
        <v>1164.8175497017317</v>
      </c>
      <c r="I72" s="95">
        <f>IF(I68&lt;I69,(1-0.5*(I70*I70))*I4/I71,3.14*3.14*2000000/(I68*I68))</f>
        <v>1045.1907644637386</v>
      </c>
    </row>
    <row r="73" spans="1:9" s="133" customFormat="1" ht="31.5" customHeight="1">
      <c r="A73" s="131"/>
      <c r="B73" s="132" t="s">
        <v>642</v>
      </c>
      <c r="C73" s="131"/>
      <c r="D73" s="131"/>
      <c r="E73" s="96" t="str">
        <f>IF(E72&gt;E67,"O.K","N.K")</f>
        <v>O.K</v>
      </c>
      <c r="F73" s="96" t="str">
        <f>IF(F72&gt;F67,"O.K","N.K")</f>
        <v>O.K</v>
      </c>
      <c r="G73" s="96" t="str">
        <f>IF(G72&gt;G67,"O.K","N.K")</f>
        <v>O.K</v>
      </c>
      <c r="H73" s="96" t="str">
        <f>IF(H72&gt;H67,"O.K","N.K")</f>
        <v>O.K</v>
      </c>
      <c r="I73" s="96" t="str">
        <f>IF(I72&gt;I67,"O.K","N.K")</f>
        <v>O.K</v>
      </c>
    </row>
    <row r="74" spans="1:9" s="37" customFormat="1" ht="22.5">
      <c r="A74" s="38"/>
      <c r="B74" s="57"/>
      <c r="C74" s="38"/>
      <c r="D74" s="38"/>
      <c r="E74" s="39"/>
      <c r="F74" s="39"/>
      <c r="G74" s="39"/>
      <c r="H74" s="39"/>
      <c r="I74" s="39"/>
    </row>
    <row r="75" spans="1:9" s="37" customFormat="1" ht="14.25">
      <c r="A75" s="38"/>
      <c r="B75" s="38"/>
      <c r="C75" s="38"/>
      <c r="D75" s="38"/>
      <c r="E75" s="39"/>
      <c r="F75" s="39"/>
      <c r="G75" s="39"/>
      <c r="H75" s="39"/>
      <c r="I75" s="39"/>
    </row>
    <row r="76" spans="5:9" s="37" customFormat="1" ht="14.25">
      <c r="E76" s="44"/>
      <c r="F76" s="44"/>
      <c r="G76" s="44"/>
      <c r="H76" s="44"/>
      <c r="I76" s="44"/>
    </row>
    <row r="77" spans="5:9" s="37" customFormat="1" ht="14.25">
      <c r="E77" s="44"/>
      <c r="F77" s="44"/>
      <c r="G77" s="44"/>
      <c r="H77" s="44"/>
      <c r="I77" s="44"/>
    </row>
    <row r="78" spans="5:9" s="37" customFormat="1" ht="14.25">
      <c r="E78" s="44"/>
      <c r="F78" s="44"/>
      <c r="G78" s="44"/>
      <c r="H78" s="44"/>
      <c r="I78" s="44"/>
    </row>
    <row r="79" spans="5:9" s="37" customFormat="1" ht="14.25">
      <c r="E79" s="44"/>
      <c r="F79" s="44"/>
      <c r="G79" s="44"/>
      <c r="H79" s="44"/>
      <c r="I79" s="44"/>
    </row>
    <row r="80" spans="5:9" s="37" customFormat="1" ht="14.25">
      <c r="E80" s="44"/>
      <c r="F80" s="44"/>
      <c r="G80" s="44"/>
      <c r="H80" s="44"/>
      <c r="I80" s="44"/>
    </row>
    <row r="81" spans="5:9" s="37" customFormat="1" ht="14.25">
      <c r="E81" s="44"/>
      <c r="F81" s="44"/>
      <c r="G81" s="44"/>
      <c r="H81" s="44"/>
      <c r="I81" s="44"/>
    </row>
    <row r="82" spans="5:9" s="37" customFormat="1" ht="14.25">
      <c r="E82" s="44"/>
      <c r="F82" s="44"/>
      <c r="G82" s="44"/>
      <c r="H82" s="44"/>
      <c r="I82" s="44"/>
    </row>
    <row r="83" spans="5:9" s="37" customFormat="1" ht="14.25">
      <c r="E83" s="44"/>
      <c r="F83" s="44"/>
      <c r="G83" s="44"/>
      <c r="H83" s="44"/>
      <c r="I83" s="44"/>
    </row>
    <row r="84" spans="5:9" s="37" customFormat="1" ht="14.25">
      <c r="E84" s="44"/>
      <c r="F84" s="44"/>
      <c r="G84" s="44"/>
      <c r="H84" s="44"/>
      <c r="I84" s="44"/>
    </row>
    <row r="85" spans="5:9" s="37" customFormat="1" ht="14.25">
      <c r="E85" s="44"/>
      <c r="F85" s="44"/>
      <c r="G85" s="44"/>
      <c r="H85" s="44"/>
      <c r="I85" s="44"/>
    </row>
    <row r="86" spans="5:9" s="37" customFormat="1" ht="14.25">
      <c r="E86" s="44"/>
      <c r="F86" s="44"/>
      <c r="G86" s="44"/>
      <c r="H86" s="44"/>
      <c r="I86" s="44"/>
    </row>
    <row r="87" spans="5:9" s="37" customFormat="1" ht="14.25">
      <c r="E87" s="44"/>
      <c r="F87" s="44"/>
      <c r="G87" s="44"/>
      <c r="H87" s="44"/>
      <c r="I87" s="44"/>
    </row>
    <row r="88" spans="5:9" s="37" customFormat="1" ht="14.25">
      <c r="E88" s="44"/>
      <c r="F88" s="44"/>
      <c r="G88" s="44"/>
      <c r="H88" s="44"/>
      <c r="I88" s="44"/>
    </row>
    <row r="89" spans="5:9" s="37" customFormat="1" ht="14.25">
      <c r="E89" s="44"/>
      <c r="F89" s="44"/>
      <c r="G89" s="44"/>
      <c r="H89" s="44"/>
      <c r="I89" s="44"/>
    </row>
    <row r="90" spans="5:9" s="37" customFormat="1" ht="14.25">
      <c r="E90" s="44"/>
      <c r="F90" s="44"/>
      <c r="G90" s="44"/>
      <c r="H90" s="44"/>
      <c r="I90" s="44"/>
    </row>
    <row r="91" spans="5:9" s="37" customFormat="1" ht="14.25">
      <c r="E91" s="44"/>
      <c r="F91" s="44"/>
      <c r="G91" s="44"/>
      <c r="H91" s="44"/>
      <c r="I91" s="44"/>
    </row>
    <row r="92" spans="5:9" s="37" customFormat="1" ht="14.25">
      <c r="E92" s="44"/>
      <c r="F92" s="44"/>
      <c r="G92" s="44"/>
      <c r="H92" s="44"/>
      <c r="I92" s="44"/>
    </row>
    <row r="93" spans="5:9" s="37" customFormat="1" ht="14.25">
      <c r="E93" s="44"/>
      <c r="F93" s="44"/>
      <c r="G93" s="44"/>
      <c r="H93" s="44"/>
      <c r="I93" s="44"/>
    </row>
    <row r="94" spans="5:9" s="37" customFormat="1" ht="14.25">
      <c r="E94" s="44"/>
      <c r="F94" s="44"/>
      <c r="G94" s="44"/>
      <c r="H94" s="44"/>
      <c r="I94" s="44"/>
    </row>
    <row r="95" spans="5:9" s="37" customFormat="1" ht="14.25">
      <c r="E95" s="44"/>
      <c r="F95" s="44"/>
      <c r="G95" s="44"/>
      <c r="H95" s="44"/>
      <c r="I95" s="44"/>
    </row>
    <row r="96" spans="5:9" s="37" customFormat="1" ht="14.25">
      <c r="E96" s="44"/>
      <c r="F96" s="44"/>
      <c r="G96" s="44"/>
      <c r="H96" s="44"/>
      <c r="I96" s="44"/>
    </row>
    <row r="97" spans="5:9" s="37" customFormat="1" ht="14.25">
      <c r="E97" s="44"/>
      <c r="F97" s="44"/>
      <c r="G97" s="44"/>
      <c r="H97" s="44"/>
      <c r="I97" s="44"/>
    </row>
    <row r="98" spans="5:9" s="37" customFormat="1" ht="14.25">
      <c r="E98" s="44"/>
      <c r="F98" s="44"/>
      <c r="G98" s="44"/>
      <c r="H98" s="44"/>
      <c r="I98" s="44"/>
    </row>
    <row r="99" spans="5:9" s="37" customFormat="1" ht="14.25">
      <c r="E99" s="44"/>
      <c r="F99" s="44"/>
      <c r="G99" s="44"/>
      <c r="H99" s="44"/>
      <c r="I99" s="44"/>
    </row>
    <row r="100" spans="5:9" s="37" customFormat="1" ht="14.25">
      <c r="E100" s="44"/>
      <c r="F100" s="44"/>
      <c r="G100" s="44"/>
      <c r="H100" s="44"/>
      <c r="I100" s="44"/>
    </row>
    <row r="101" spans="5:9" s="37" customFormat="1" ht="14.25">
      <c r="E101" s="44"/>
      <c r="F101" s="44"/>
      <c r="G101" s="44"/>
      <c r="H101" s="44"/>
      <c r="I101" s="44"/>
    </row>
    <row r="102" spans="5:9" s="37" customFormat="1" ht="14.25">
      <c r="E102" s="44"/>
      <c r="F102" s="44"/>
      <c r="G102" s="44"/>
      <c r="H102" s="44"/>
      <c r="I102" s="44"/>
    </row>
    <row r="103" spans="5:9" s="37" customFormat="1" ht="14.25">
      <c r="E103" s="44"/>
      <c r="F103" s="44"/>
      <c r="G103" s="44"/>
      <c r="H103" s="44"/>
      <c r="I103" s="44"/>
    </row>
    <row r="104" spans="5:9" s="37" customFormat="1" ht="14.25">
      <c r="E104" s="44"/>
      <c r="F104" s="44"/>
      <c r="G104" s="44"/>
      <c r="H104" s="44"/>
      <c r="I104" s="44"/>
    </row>
    <row r="105" spans="5:9" s="37" customFormat="1" ht="14.25">
      <c r="E105" s="44"/>
      <c r="F105" s="44"/>
      <c r="G105" s="44"/>
      <c r="H105" s="44"/>
      <c r="I105" s="44"/>
    </row>
    <row r="106" spans="5:9" s="37" customFormat="1" ht="14.25">
      <c r="E106" s="44"/>
      <c r="F106" s="44"/>
      <c r="G106" s="44"/>
      <c r="H106" s="44"/>
      <c r="I106" s="44"/>
    </row>
    <row r="107" spans="5:9" s="37" customFormat="1" ht="14.25">
      <c r="E107" s="44"/>
      <c r="F107" s="44"/>
      <c r="G107" s="44"/>
      <c r="H107" s="44"/>
      <c r="I107" s="44"/>
    </row>
    <row r="108" spans="5:9" s="37" customFormat="1" ht="14.25">
      <c r="E108" s="44"/>
      <c r="F108" s="44"/>
      <c r="G108" s="44"/>
      <c r="H108" s="44"/>
      <c r="I108" s="44"/>
    </row>
    <row r="109" spans="5:9" s="37" customFormat="1" ht="14.25">
      <c r="E109" s="44"/>
      <c r="F109" s="44"/>
      <c r="G109" s="44"/>
      <c r="H109" s="44"/>
      <c r="I109" s="44"/>
    </row>
    <row r="110" spans="5:9" s="37" customFormat="1" ht="14.25">
      <c r="E110" s="44"/>
      <c r="F110" s="44"/>
      <c r="G110" s="44"/>
      <c r="H110" s="44"/>
      <c r="I110" s="44"/>
    </row>
    <row r="111" spans="5:9" s="37" customFormat="1" ht="14.25">
      <c r="E111" s="44"/>
      <c r="F111" s="44"/>
      <c r="G111" s="44"/>
      <c r="H111" s="44"/>
      <c r="I111" s="44"/>
    </row>
    <row r="112" spans="5:9" s="37" customFormat="1" ht="14.25">
      <c r="E112" s="44"/>
      <c r="F112" s="44"/>
      <c r="G112" s="44"/>
      <c r="H112" s="44"/>
      <c r="I112" s="44"/>
    </row>
    <row r="113" spans="5:9" s="37" customFormat="1" ht="14.25">
      <c r="E113" s="44"/>
      <c r="F113" s="44"/>
      <c r="G113" s="44"/>
      <c r="H113" s="44"/>
      <c r="I113" s="44"/>
    </row>
    <row r="114" spans="5:9" s="37" customFormat="1" ht="14.25">
      <c r="E114" s="44"/>
      <c r="F114" s="44"/>
      <c r="G114" s="44"/>
      <c r="H114" s="44"/>
      <c r="I114" s="44"/>
    </row>
    <row r="115" spans="5:9" s="37" customFormat="1" ht="14.25">
      <c r="E115" s="44"/>
      <c r="F115" s="44"/>
      <c r="G115" s="44"/>
      <c r="H115" s="44"/>
      <c r="I115" s="44"/>
    </row>
  </sheetData>
  <dataValidations count="1">
    <dataValidation type="list" allowBlank="1" showInputMessage="1" showErrorMessage="1" sqref="E3:I3">
      <formula1>st_name</formula1>
    </dataValidation>
  </dataValidations>
  <printOptions/>
  <pageMargins left="0.94" right="0.41" top="0.26" bottom="0.3" header="0.17" footer="0.17"/>
  <pageSetup horizontalDpi="600" verticalDpi="600" orientation="landscape" paperSize="9" scale="25" r:id="rId5"/>
  <drawing r:id="rId4"/>
  <legacyDrawing r:id="rId3"/>
  <oleObjects>
    <oleObject progId="Equation.3" shapeId="169825" r:id="rId1"/>
    <oleObject progId="MSPhotoEd.3" shapeId="361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FO119"/>
  <sheetViews>
    <sheetView zoomScale="50" zoomScaleNormal="50" workbookViewId="0" topLeftCell="A1">
      <selection activeCell="G15" sqref="G15"/>
    </sheetView>
  </sheetViews>
  <sheetFormatPr defaultColWidth="9.140625" defaultRowHeight="21.75"/>
  <cols>
    <col min="1" max="1" width="8.140625" style="6" customWidth="1"/>
    <col min="2" max="2" width="72.57421875" style="6" customWidth="1"/>
    <col min="3" max="3" width="11.57421875" style="6" customWidth="1"/>
    <col min="4" max="4" width="15.421875" style="6" customWidth="1"/>
    <col min="5" max="9" width="63.28125" style="7" customWidth="1"/>
    <col min="10" max="10" width="26.28125" style="6" bestFit="1" customWidth="1"/>
    <col min="11" max="11" width="20.28125" style="6" bestFit="1" customWidth="1"/>
    <col min="12" max="12" width="8.7109375" style="6" customWidth="1"/>
    <col min="13" max="13" width="26.28125" style="6" bestFit="1" customWidth="1"/>
    <col min="14" max="14" width="20.28125" style="6" bestFit="1" customWidth="1"/>
    <col min="15" max="15" width="8.7109375" style="6" customWidth="1"/>
    <col min="16" max="16" width="26.28125" style="6" bestFit="1" customWidth="1"/>
    <col min="17" max="17" width="20.8515625" style="6" bestFit="1" customWidth="1"/>
    <col min="18" max="18" width="10.140625" style="6" bestFit="1" customWidth="1"/>
    <col min="19" max="19" width="26.8515625" style="6" bestFit="1" customWidth="1"/>
    <col min="20" max="20" width="20.8515625" style="6" bestFit="1" customWidth="1"/>
    <col min="21" max="21" width="8.7109375" style="6" customWidth="1"/>
    <col min="22" max="22" width="26.8515625" style="6" bestFit="1" customWidth="1"/>
    <col min="23" max="23" width="22.421875" style="6" bestFit="1" customWidth="1"/>
    <col min="24" max="24" width="8.7109375" style="6" customWidth="1"/>
    <col min="25" max="25" width="28.28125" style="6" bestFit="1" customWidth="1"/>
    <col min="26" max="26" width="19.28125" style="6" bestFit="1" customWidth="1"/>
    <col min="27" max="27" width="9.140625" style="6" customWidth="1"/>
    <col min="28" max="28" width="25.140625" style="6" bestFit="1" customWidth="1"/>
    <col min="29" max="29" width="20.28125" style="6" bestFit="1" customWidth="1"/>
    <col min="30" max="30" width="9.140625" style="6" customWidth="1"/>
    <col min="31" max="31" width="26.28125" style="6" bestFit="1" customWidth="1"/>
    <col min="32" max="32" width="20.57421875" style="6" bestFit="1" customWidth="1"/>
    <col min="33" max="33" width="7.7109375" style="6" customWidth="1"/>
    <col min="34" max="34" width="26.57421875" style="6" bestFit="1" customWidth="1"/>
    <col min="35" max="35" width="19.57421875" style="6" bestFit="1" customWidth="1"/>
    <col min="36" max="36" width="7.7109375" style="6" customWidth="1"/>
    <col min="37" max="37" width="25.57421875" style="6" bestFit="1" customWidth="1"/>
    <col min="38" max="38" width="19.57421875" style="6" bestFit="1" customWidth="1"/>
    <col min="39" max="39" width="9.140625" style="6" customWidth="1"/>
    <col min="40" max="40" width="25.57421875" style="6" bestFit="1" customWidth="1"/>
    <col min="41" max="41" width="18.140625" style="6" bestFit="1" customWidth="1"/>
    <col min="42" max="42" width="7.7109375" style="6" customWidth="1"/>
    <col min="43" max="43" width="24.00390625" style="6" bestFit="1" customWidth="1"/>
    <col min="44" max="44" width="19.57421875" style="6" bestFit="1" customWidth="1"/>
    <col min="45" max="45" width="7.7109375" style="6" customWidth="1"/>
    <col min="46" max="46" width="25.57421875" style="6" bestFit="1" customWidth="1"/>
    <col min="47" max="47" width="19.57421875" style="6" bestFit="1" customWidth="1"/>
    <col min="48" max="48" width="9.140625" style="6" customWidth="1"/>
    <col min="49" max="49" width="25.57421875" style="6" bestFit="1" customWidth="1"/>
    <col min="50" max="50" width="19.57421875" style="6" bestFit="1" customWidth="1"/>
    <col min="51" max="51" width="7.7109375" style="6" customWidth="1"/>
    <col min="52" max="52" width="25.57421875" style="6" bestFit="1" customWidth="1"/>
    <col min="53" max="53" width="19.57421875" style="6" bestFit="1" customWidth="1"/>
    <col min="54" max="54" width="7.7109375" style="6" customWidth="1"/>
    <col min="55" max="55" width="25.57421875" style="6" bestFit="1" customWidth="1"/>
    <col min="56" max="56" width="19.57421875" style="6" bestFit="1" customWidth="1"/>
    <col min="57" max="57" width="8.7109375" style="6" customWidth="1"/>
    <col min="58" max="58" width="25.57421875" style="6" bestFit="1" customWidth="1"/>
    <col min="59" max="59" width="19.57421875" style="6" bestFit="1" customWidth="1"/>
    <col min="60" max="60" width="7.7109375" style="6" customWidth="1"/>
    <col min="61" max="61" width="25.57421875" style="6" bestFit="1" customWidth="1"/>
    <col min="62" max="62" width="19.57421875" style="6" bestFit="1" customWidth="1"/>
    <col min="63" max="63" width="8.7109375" style="6" customWidth="1"/>
    <col min="64" max="64" width="25.57421875" style="6" bestFit="1" customWidth="1"/>
    <col min="65" max="65" width="19.57421875" style="6" bestFit="1" customWidth="1"/>
    <col min="66" max="66" width="8.7109375" style="6" customWidth="1"/>
    <col min="67" max="67" width="25.57421875" style="6" bestFit="1" customWidth="1"/>
    <col min="68" max="68" width="20.140625" style="6" bestFit="1" customWidth="1"/>
    <col min="69" max="69" width="10.140625" style="6" bestFit="1" customWidth="1"/>
    <col min="70" max="70" width="26.140625" style="6" bestFit="1" customWidth="1"/>
    <col min="71" max="71" width="20.140625" style="6" bestFit="1" customWidth="1"/>
    <col min="72" max="72" width="8.7109375" style="6" customWidth="1"/>
    <col min="73" max="73" width="26.140625" style="6" bestFit="1" customWidth="1"/>
    <col min="74" max="74" width="21.7109375" style="6" bestFit="1" customWidth="1"/>
    <col min="75" max="75" width="8.7109375" style="6" customWidth="1"/>
    <col min="76" max="76" width="27.57421875" style="6" bestFit="1" customWidth="1"/>
    <col min="77" max="77" width="18.57421875" style="6" bestFit="1" customWidth="1"/>
    <col min="78" max="78" width="7.7109375" style="6" customWidth="1"/>
    <col min="79" max="79" width="24.421875" style="6" bestFit="1" customWidth="1"/>
    <col min="80" max="80" width="19.57421875" style="6" bestFit="1" customWidth="1"/>
    <col min="81" max="81" width="7.7109375" style="6" customWidth="1"/>
    <col min="82" max="82" width="25.57421875" style="6" bestFit="1" customWidth="1"/>
    <col min="83" max="83" width="19.7109375" style="6" bestFit="1" customWidth="1"/>
    <col min="84" max="84" width="7.7109375" style="6" customWidth="1"/>
    <col min="85" max="85" width="25.7109375" style="6" bestFit="1" customWidth="1"/>
    <col min="86" max="86" width="19.7109375" style="6" bestFit="1" customWidth="1"/>
    <col min="87" max="87" width="8.7109375" style="6" customWidth="1"/>
    <col min="88" max="88" width="25.7109375" style="6" bestFit="1" customWidth="1"/>
    <col min="89" max="89" width="19.7109375" style="6" bestFit="1" customWidth="1"/>
    <col min="90" max="90" width="8.7109375" style="6" customWidth="1"/>
    <col min="91" max="91" width="25.7109375" style="6" bestFit="1" customWidth="1"/>
    <col min="92" max="92" width="19.7109375" style="6" bestFit="1" customWidth="1"/>
    <col min="93" max="93" width="8.7109375" style="6" customWidth="1"/>
    <col min="94" max="94" width="25.7109375" style="6" bestFit="1" customWidth="1"/>
    <col min="95" max="95" width="19.7109375" style="6" bestFit="1" customWidth="1"/>
    <col min="96" max="96" width="7.7109375" style="6" customWidth="1"/>
    <col min="97" max="97" width="25.7109375" style="6" bestFit="1" customWidth="1"/>
    <col min="98" max="98" width="19.7109375" style="6" bestFit="1" customWidth="1"/>
    <col min="99" max="99" width="7.7109375" style="6" customWidth="1"/>
    <col min="100" max="100" width="25.7109375" style="6" bestFit="1" customWidth="1"/>
    <col min="101" max="101" width="19.7109375" style="6" bestFit="1" customWidth="1"/>
    <col min="102" max="102" width="8.7109375" style="6" customWidth="1"/>
    <col min="103" max="103" width="25.7109375" style="6" bestFit="1" customWidth="1"/>
    <col min="104" max="104" width="19.7109375" style="6" bestFit="1" customWidth="1"/>
    <col min="105" max="105" width="8.7109375" style="6" customWidth="1"/>
    <col min="106" max="106" width="25.7109375" style="6" bestFit="1" customWidth="1"/>
    <col min="107" max="107" width="19.7109375" style="6" bestFit="1" customWidth="1"/>
    <col min="108" max="108" width="8.7109375" style="6" customWidth="1"/>
    <col min="109" max="109" width="25.7109375" style="6" bestFit="1" customWidth="1"/>
    <col min="110" max="110" width="19.7109375" style="6" bestFit="1" customWidth="1"/>
    <col min="111" max="111" width="8.7109375" style="6" customWidth="1"/>
    <col min="112" max="112" width="25.7109375" style="6" bestFit="1" customWidth="1"/>
    <col min="113" max="113" width="19.7109375" style="6" bestFit="1" customWidth="1"/>
    <col min="114" max="114" width="8.7109375" style="6" customWidth="1"/>
    <col min="115" max="115" width="25.7109375" style="6" bestFit="1" customWidth="1"/>
    <col min="116" max="116" width="19.7109375" style="6" bestFit="1" customWidth="1"/>
    <col min="117" max="117" width="8.7109375" style="6" customWidth="1"/>
    <col min="118" max="118" width="25.7109375" style="6" bestFit="1" customWidth="1"/>
    <col min="119" max="119" width="19.7109375" style="6" bestFit="1" customWidth="1"/>
    <col min="120" max="120" width="8.7109375" style="6" customWidth="1"/>
    <col min="121" max="121" width="25.7109375" style="6" bestFit="1" customWidth="1"/>
    <col min="122" max="122" width="19.7109375" style="6" bestFit="1" customWidth="1"/>
    <col min="123" max="123" width="8.7109375" style="6" customWidth="1"/>
    <col min="124" max="124" width="25.7109375" style="6" bestFit="1" customWidth="1"/>
    <col min="125" max="125" width="19.7109375" style="6" bestFit="1" customWidth="1"/>
    <col min="126" max="126" width="8.7109375" style="6" customWidth="1"/>
    <col min="127" max="127" width="25.7109375" style="6" bestFit="1" customWidth="1"/>
    <col min="128" max="128" width="19.7109375" style="6" bestFit="1" customWidth="1"/>
    <col min="129" max="129" width="8.7109375" style="6" customWidth="1"/>
    <col min="130" max="130" width="25.7109375" style="6" bestFit="1" customWidth="1"/>
    <col min="131" max="131" width="19.28125" style="6" bestFit="1" customWidth="1"/>
    <col min="132" max="132" width="8.7109375" style="6" customWidth="1"/>
    <col min="133" max="133" width="25.140625" style="6" bestFit="1" customWidth="1"/>
    <col min="134" max="134" width="19.7109375" style="6" bestFit="1" customWidth="1"/>
    <col min="135" max="135" width="8.7109375" style="6" customWidth="1"/>
    <col min="136" max="136" width="25.7109375" style="6" bestFit="1" customWidth="1"/>
    <col min="137" max="137" width="17.7109375" style="6" bestFit="1" customWidth="1"/>
    <col min="138" max="138" width="7.7109375" style="6" customWidth="1"/>
    <col min="139" max="139" width="23.57421875" style="6" bestFit="1" customWidth="1"/>
    <col min="140" max="140" width="17.7109375" style="6" bestFit="1" customWidth="1"/>
    <col min="141" max="141" width="7.7109375" style="6" customWidth="1"/>
    <col min="142" max="142" width="23.57421875" style="6" bestFit="1" customWidth="1"/>
    <col min="143" max="143" width="17.7109375" style="6" bestFit="1" customWidth="1"/>
    <col min="144" max="144" width="7.7109375" style="6" customWidth="1"/>
    <col min="145" max="145" width="23.57421875" style="6" bestFit="1" customWidth="1"/>
    <col min="146" max="146" width="17.7109375" style="6" bestFit="1" customWidth="1"/>
    <col min="147" max="147" width="7.7109375" style="6" customWidth="1"/>
    <col min="148" max="148" width="23.57421875" style="6" bestFit="1" customWidth="1"/>
    <col min="149" max="149" width="17.7109375" style="6" bestFit="1" customWidth="1"/>
    <col min="150" max="150" width="7.7109375" style="6" customWidth="1"/>
    <col min="151" max="151" width="23.57421875" style="6" bestFit="1" customWidth="1"/>
    <col min="152" max="152" width="17.7109375" style="6" bestFit="1" customWidth="1"/>
    <col min="153" max="153" width="7.7109375" style="6" customWidth="1"/>
    <col min="154" max="154" width="23.57421875" style="6" bestFit="1" customWidth="1"/>
    <col min="155" max="155" width="17.7109375" style="6" bestFit="1" customWidth="1"/>
    <col min="156" max="156" width="7.7109375" style="6" customWidth="1"/>
    <col min="157" max="157" width="23.57421875" style="6" bestFit="1" customWidth="1"/>
    <col min="158" max="158" width="17.7109375" style="6" bestFit="1" customWidth="1"/>
    <col min="159" max="159" width="7.7109375" style="6" customWidth="1"/>
    <col min="160" max="160" width="23.57421875" style="6" bestFit="1" customWidth="1"/>
    <col min="161" max="161" width="17.7109375" style="6" bestFit="1" customWidth="1"/>
    <col min="162" max="162" width="7.7109375" style="6" customWidth="1"/>
    <col min="163" max="163" width="23.57421875" style="6" bestFit="1" customWidth="1"/>
    <col min="164" max="164" width="17.7109375" style="6" bestFit="1" customWidth="1"/>
    <col min="165" max="165" width="7.7109375" style="6" customWidth="1"/>
    <col min="166" max="166" width="23.57421875" style="6" bestFit="1" customWidth="1"/>
    <col min="167" max="167" width="17.7109375" style="6" bestFit="1" customWidth="1"/>
    <col min="168" max="168" width="7.7109375" style="6" customWidth="1"/>
    <col min="169" max="169" width="23.57421875" style="6" bestFit="1" customWidth="1"/>
    <col min="170" max="170" width="17.7109375" style="6" bestFit="1" customWidth="1"/>
    <col min="171" max="171" width="7.7109375" style="6" customWidth="1"/>
    <col min="172" max="172" width="23.57421875" style="6" bestFit="1" customWidth="1"/>
    <col min="173" max="173" width="17.7109375" style="6" bestFit="1" customWidth="1"/>
    <col min="174" max="174" width="7.7109375" style="6" customWidth="1"/>
    <col min="175" max="175" width="23.57421875" style="6" bestFit="1" customWidth="1"/>
    <col min="176" max="16384" width="23.57421875" style="6" customWidth="1"/>
  </cols>
  <sheetData>
    <row r="1" ht="39" customHeight="1"/>
    <row r="2" spans="2:4" ht="46.5" customHeight="1">
      <c r="B2" s="140" t="s">
        <v>659</v>
      </c>
      <c r="C2" s="21"/>
      <c r="D2" s="21"/>
    </row>
    <row r="3" spans="1:171" s="53" customFormat="1" ht="39" customHeight="1">
      <c r="A3" s="51" t="s">
        <v>0</v>
      </c>
      <c r="B3" s="81" t="s">
        <v>581</v>
      </c>
      <c r="C3" s="81"/>
      <c r="D3" s="81"/>
      <c r="E3" s="281" t="s">
        <v>71</v>
      </c>
      <c r="F3" s="82" t="s">
        <v>70</v>
      </c>
      <c r="G3" s="82" t="s">
        <v>103</v>
      </c>
      <c r="H3" s="82" t="s">
        <v>104</v>
      </c>
      <c r="I3" s="82" t="s">
        <v>99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</row>
    <row r="4" spans="1:171" s="57" customFormat="1" ht="31.5" customHeight="1">
      <c r="A4" s="55"/>
      <c r="B4" s="55" t="s">
        <v>5</v>
      </c>
      <c r="C4" s="56" t="s">
        <v>2</v>
      </c>
      <c r="D4" s="60" t="s">
        <v>10</v>
      </c>
      <c r="E4" s="90">
        <v>2400</v>
      </c>
      <c r="F4" s="90">
        <v>2400</v>
      </c>
      <c r="G4" s="90">
        <v>2400</v>
      </c>
      <c r="H4" s="90">
        <v>2400</v>
      </c>
      <c r="I4" s="90">
        <v>2400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</row>
    <row r="5" spans="1:9" s="57" customFormat="1" ht="31.5" customHeight="1">
      <c r="A5" s="55"/>
      <c r="B5" s="55" t="s">
        <v>524</v>
      </c>
      <c r="C5" s="56" t="s">
        <v>2</v>
      </c>
      <c r="D5" s="60" t="s">
        <v>11</v>
      </c>
      <c r="E5" s="91">
        <v>5</v>
      </c>
      <c r="F5" s="91">
        <v>5</v>
      </c>
      <c r="G5" s="91">
        <v>5</v>
      </c>
      <c r="H5" s="91">
        <v>5</v>
      </c>
      <c r="I5" s="91">
        <v>5</v>
      </c>
    </row>
    <row r="6" spans="1:9" s="57" customFormat="1" ht="31.5" customHeight="1">
      <c r="A6" s="55"/>
      <c r="B6" s="55" t="s">
        <v>627</v>
      </c>
      <c r="C6" s="56" t="s">
        <v>2</v>
      </c>
      <c r="D6" s="60" t="s">
        <v>11</v>
      </c>
      <c r="E6" s="91">
        <f>E5/4</f>
        <v>1.25</v>
      </c>
      <c r="F6" s="91">
        <f>F5/4</f>
        <v>1.25</v>
      </c>
      <c r="G6" s="91">
        <f>G5/4</f>
        <v>1.25</v>
      </c>
      <c r="H6" s="91">
        <f>H5/4</f>
        <v>1.25</v>
      </c>
      <c r="I6" s="91">
        <f>I5/4</f>
        <v>1.25</v>
      </c>
    </row>
    <row r="7" spans="1:9" s="57" customFormat="1" ht="31.5" customHeight="1">
      <c r="A7" s="55"/>
      <c r="B7" s="55" t="s">
        <v>638</v>
      </c>
      <c r="C7" s="56" t="s">
        <v>2</v>
      </c>
      <c r="D7" s="60" t="s">
        <v>9</v>
      </c>
      <c r="E7" s="91">
        <v>2</v>
      </c>
      <c r="F7" s="91">
        <v>2</v>
      </c>
      <c r="G7" s="91">
        <v>2</v>
      </c>
      <c r="H7" s="91">
        <v>2</v>
      </c>
      <c r="I7" s="91">
        <v>2</v>
      </c>
    </row>
    <row r="8" spans="1:9" s="57" customFormat="1" ht="31.5" customHeight="1">
      <c r="A8" s="63" t="s">
        <v>539</v>
      </c>
      <c r="B8" s="64" t="s">
        <v>536</v>
      </c>
      <c r="C8" s="64"/>
      <c r="D8" s="62"/>
      <c r="E8" s="92" t="s">
        <v>538</v>
      </c>
      <c r="F8" s="92" t="s">
        <v>538</v>
      </c>
      <c r="G8" s="92" t="s">
        <v>538</v>
      </c>
      <c r="H8" s="92" t="s">
        <v>538</v>
      </c>
      <c r="I8" s="92" t="s">
        <v>538</v>
      </c>
    </row>
    <row r="9" spans="1:9" s="57" customFormat="1" ht="31.5" customHeight="1">
      <c r="A9" s="55"/>
      <c r="B9" s="55" t="s">
        <v>537</v>
      </c>
      <c r="C9" s="56" t="s">
        <v>2</v>
      </c>
      <c r="D9" s="65" t="s">
        <v>9</v>
      </c>
      <c r="E9" s="93">
        <v>2</v>
      </c>
      <c r="F9" s="93">
        <v>2</v>
      </c>
      <c r="G9" s="93">
        <v>2</v>
      </c>
      <c r="H9" s="93">
        <v>2</v>
      </c>
      <c r="I9" s="93">
        <v>2</v>
      </c>
    </row>
    <row r="10" spans="1:9" s="57" customFormat="1" ht="31.5" customHeight="1">
      <c r="A10" s="55"/>
      <c r="B10" s="55" t="s">
        <v>577</v>
      </c>
      <c r="C10" s="56" t="s">
        <v>2</v>
      </c>
      <c r="D10" s="65" t="s">
        <v>9</v>
      </c>
      <c r="E10" s="134">
        <v>2</v>
      </c>
      <c r="F10" s="134">
        <v>2</v>
      </c>
      <c r="G10" s="134">
        <v>3</v>
      </c>
      <c r="H10" s="134">
        <v>4</v>
      </c>
      <c r="I10" s="134">
        <v>4</v>
      </c>
    </row>
    <row r="11" spans="1:9" s="57" customFormat="1" ht="31.5" customHeight="1">
      <c r="A11" s="55"/>
      <c r="B11" s="55" t="s">
        <v>578</v>
      </c>
      <c r="C11" s="56" t="s">
        <v>2</v>
      </c>
      <c r="D11" s="65" t="s">
        <v>9</v>
      </c>
      <c r="E11" s="134">
        <v>8</v>
      </c>
      <c r="F11" s="134">
        <v>8</v>
      </c>
      <c r="G11" s="134">
        <v>10</v>
      </c>
      <c r="H11" s="134">
        <v>15</v>
      </c>
      <c r="I11" s="134">
        <v>20</v>
      </c>
    </row>
    <row r="12" spans="1:9" s="57" customFormat="1" ht="31.5" customHeight="1">
      <c r="A12" s="55"/>
      <c r="B12" s="55" t="s">
        <v>644</v>
      </c>
      <c r="C12" s="56" t="s">
        <v>2</v>
      </c>
      <c r="D12" s="65" t="s">
        <v>9</v>
      </c>
      <c r="E12" s="134">
        <v>8</v>
      </c>
      <c r="F12" s="134">
        <v>8</v>
      </c>
      <c r="G12" s="134">
        <v>10</v>
      </c>
      <c r="H12" s="134">
        <v>15</v>
      </c>
      <c r="I12" s="134">
        <v>20</v>
      </c>
    </row>
    <row r="13" spans="1:9" s="57" customFormat="1" ht="31.5" customHeight="1">
      <c r="A13" s="55"/>
      <c r="B13" s="55" t="s">
        <v>579</v>
      </c>
      <c r="C13" s="56" t="s">
        <v>2</v>
      </c>
      <c r="D13" s="65" t="s">
        <v>9</v>
      </c>
      <c r="E13" s="93">
        <v>6</v>
      </c>
      <c r="F13" s="93">
        <v>6</v>
      </c>
      <c r="G13" s="93">
        <v>6</v>
      </c>
      <c r="H13" s="93">
        <v>6</v>
      </c>
      <c r="I13" s="93">
        <v>6</v>
      </c>
    </row>
    <row r="14" spans="1:9" s="57" customFormat="1" ht="31.5" customHeight="1">
      <c r="A14" s="55"/>
      <c r="B14" s="55" t="s">
        <v>544</v>
      </c>
      <c r="C14" s="56" t="s">
        <v>2</v>
      </c>
      <c r="D14" s="65" t="s">
        <v>9</v>
      </c>
      <c r="E14" s="93">
        <v>1</v>
      </c>
      <c r="F14" s="93">
        <v>1.2</v>
      </c>
      <c r="G14" s="93">
        <v>1.2</v>
      </c>
      <c r="H14" s="93">
        <v>1.6</v>
      </c>
      <c r="I14" s="93">
        <v>1.6</v>
      </c>
    </row>
    <row r="15" spans="1:9" s="57" customFormat="1" ht="31.5" customHeight="1">
      <c r="A15" s="55"/>
      <c r="B15" s="55" t="s">
        <v>558</v>
      </c>
      <c r="C15" s="56" t="s">
        <v>2</v>
      </c>
      <c r="D15" s="65" t="s">
        <v>9</v>
      </c>
      <c r="E15" s="93">
        <v>0.8</v>
      </c>
      <c r="F15" s="93">
        <v>0.8</v>
      </c>
      <c r="G15" s="93">
        <v>6</v>
      </c>
      <c r="H15" s="93">
        <v>0.8</v>
      </c>
      <c r="I15" s="93">
        <v>0.8</v>
      </c>
    </row>
    <row r="16" spans="1:171" s="57" customFormat="1" ht="31.5" customHeight="1">
      <c r="A16" s="141">
        <v>3</v>
      </c>
      <c r="B16" s="64" t="s">
        <v>525</v>
      </c>
      <c r="C16" s="64"/>
      <c r="D16" s="62"/>
      <c r="E16" s="94"/>
      <c r="F16" s="94"/>
      <c r="G16" s="94"/>
      <c r="H16" s="94"/>
      <c r="I16" s="94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</row>
    <row r="17" spans="1:171" s="57" customFormat="1" ht="31.5" customHeight="1">
      <c r="A17" s="55"/>
      <c r="B17" s="55" t="s">
        <v>1</v>
      </c>
      <c r="C17" s="56" t="s">
        <v>2</v>
      </c>
      <c r="D17" s="60" t="s">
        <v>7</v>
      </c>
      <c r="E17" s="95">
        <f>INDEX(steel,MATCH(E$3,st_name,0),4)</f>
        <v>100</v>
      </c>
      <c r="F17" s="95">
        <f>INDEX(steel,MATCH(F$3,st_name,0),4)</f>
        <v>100</v>
      </c>
      <c r="G17" s="95">
        <f>INDEX(steel,MATCH(G$3,st_name,0),4)</f>
        <v>75</v>
      </c>
      <c r="H17" s="95">
        <f>INDEX(steel,MATCH(H$3,st_name,0),4)</f>
        <v>75</v>
      </c>
      <c r="I17" s="95">
        <f>INDEX(steel,MATCH(I$3,st_name,0),4)</f>
        <v>65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</row>
    <row r="18" spans="1:171" s="57" customFormat="1" ht="31.5" customHeight="1">
      <c r="A18" s="55"/>
      <c r="B18" s="55" t="s">
        <v>3</v>
      </c>
      <c r="C18" s="56" t="s">
        <v>2</v>
      </c>
      <c r="D18" s="60" t="s">
        <v>7</v>
      </c>
      <c r="E18" s="95">
        <f>INDEX(steel,MATCH(E$3,st_name,0),6)</f>
        <v>100</v>
      </c>
      <c r="F18" s="95">
        <f>INDEX(steel,MATCH(F$3,st_name,0),6)</f>
        <v>100</v>
      </c>
      <c r="G18" s="95">
        <f>INDEX(steel,MATCH(G$3,st_name,0),6)</f>
        <v>75</v>
      </c>
      <c r="H18" s="95">
        <f>INDEX(steel,MATCH(H$3,st_name,0),6)</f>
        <v>75</v>
      </c>
      <c r="I18" s="95">
        <f>INDEX(steel,MATCH(I$3,st_name,0),6)</f>
        <v>65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</row>
    <row r="19" spans="1:9" s="57" customFormat="1" ht="31.5" customHeight="1">
      <c r="A19" s="55"/>
      <c r="B19" s="55" t="s">
        <v>13</v>
      </c>
      <c r="C19" s="56" t="s">
        <v>2</v>
      </c>
      <c r="D19" s="60" t="s">
        <v>7</v>
      </c>
      <c r="E19" s="95">
        <f>INDEX(steel,MATCH(E$3,st_name,0),9)</f>
        <v>10</v>
      </c>
      <c r="F19" s="95">
        <f>INDEX(steel,MATCH(F$3,st_name,0),9)</f>
        <v>7</v>
      </c>
      <c r="G19" s="95">
        <f>INDEX(steel,MATCH(G$3,st_name,0),9)</f>
        <v>6</v>
      </c>
      <c r="H19" s="95">
        <f>INDEX(steel,MATCH(H$3,st_name,0),9)</f>
        <v>9</v>
      </c>
      <c r="I19" s="95">
        <f>INDEX(steel,MATCH(I$3,st_name,0),9)</f>
        <v>6</v>
      </c>
    </row>
    <row r="20" spans="1:9" s="57" customFormat="1" ht="31.5" customHeight="1">
      <c r="A20" s="55"/>
      <c r="B20" s="55" t="s">
        <v>12</v>
      </c>
      <c r="C20" s="56" t="s">
        <v>2</v>
      </c>
      <c r="D20" s="60" t="s">
        <v>7</v>
      </c>
      <c r="E20" s="95">
        <f>INDEX(steel,MATCH(E$3,st_name,0),10)</f>
        <v>10</v>
      </c>
      <c r="F20" s="95">
        <f>INDEX(steel,MATCH(F$3,st_name,0),10)</f>
        <v>7</v>
      </c>
      <c r="G20" s="95">
        <f>INDEX(steel,MATCH(G$3,st_name,0),10)</f>
        <v>6</v>
      </c>
      <c r="H20" s="95">
        <f>INDEX(steel,MATCH(H$3,st_name,0),10)</f>
        <v>9</v>
      </c>
      <c r="I20" s="95">
        <f>INDEX(steel,MATCH(I$3,st_name,0),10)</f>
        <v>6</v>
      </c>
    </row>
    <row r="21" spans="1:9" s="57" customFormat="1" ht="31.5" customHeight="1">
      <c r="A21" s="55"/>
      <c r="B21" s="55" t="s">
        <v>647</v>
      </c>
      <c r="C21" s="56" t="s">
        <v>2</v>
      </c>
      <c r="D21" s="135" t="s">
        <v>651</v>
      </c>
      <c r="E21" s="95">
        <f>INDEX(steel,MATCH(E$3,st_name,0),11)</f>
        <v>19</v>
      </c>
      <c r="F21" s="95">
        <f>INDEX(steel,MATCH(F$3,st_name,0),11)</f>
        <v>13.62</v>
      </c>
      <c r="G21" s="95">
        <f>INDEX(steel,MATCH(G$3,st_name,0),11)</f>
        <v>8.727</v>
      </c>
      <c r="H21" s="95">
        <f>INDEX(steel,MATCH(H$3,st_name,0),11)</f>
        <v>12.69</v>
      </c>
      <c r="I21" s="95">
        <f>INDEX(steel,MATCH(I$3,st_name,0),11)</f>
        <v>7.527</v>
      </c>
    </row>
    <row r="22" spans="1:9" s="57" customFormat="1" ht="31.5" customHeight="1">
      <c r="A22" s="55"/>
      <c r="B22" s="55" t="s">
        <v>580</v>
      </c>
      <c r="C22" s="56" t="s">
        <v>2</v>
      </c>
      <c r="D22" s="60" t="s">
        <v>9</v>
      </c>
      <c r="E22" s="95">
        <f>INDEX(steel,MATCH(E$3,st_name,0),14)</f>
        <v>3.04</v>
      </c>
      <c r="F22" s="95">
        <f>INDEX(steel,MATCH(F$3,st_name,0),14)</f>
        <v>3.08</v>
      </c>
      <c r="G22" s="95">
        <f>INDEX(steel,MATCH(G$3,st_name,0),14)</f>
        <v>2.3</v>
      </c>
      <c r="H22" s="95">
        <f>INDEX(steel,MATCH(H$3,st_name,0),14)</f>
        <v>2.25</v>
      </c>
      <c r="I22" s="95">
        <f>INDEX(steel,MATCH(I$3,st_name,0),14)</f>
        <v>1.98</v>
      </c>
    </row>
    <row r="23" spans="1:9" s="57" customFormat="1" ht="31.5" customHeight="1">
      <c r="A23" s="55"/>
      <c r="B23" s="55" t="s">
        <v>6</v>
      </c>
      <c r="C23" s="56" t="s">
        <v>2</v>
      </c>
      <c r="D23" s="60" t="s">
        <v>9</v>
      </c>
      <c r="E23" s="95">
        <f>INDEX(steel,MATCH(E$3,st_name,0),15)</f>
        <v>3.04</v>
      </c>
      <c r="F23" s="95">
        <f>INDEX(steel,MATCH(F$3,st_name,0),15)</f>
        <v>3.08</v>
      </c>
      <c r="G23" s="95">
        <f>INDEX(steel,MATCH(G$3,st_name,0),15)</f>
        <v>2.3</v>
      </c>
      <c r="H23" s="95">
        <f>INDEX(steel,MATCH(H$3,st_name,0),15)</f>
        <v>2.25</v>
      </c>
      <c r="I23" s="95">
        <f>INDEX(steel,MATCH(I$3,st_name,0),15)</f>
        <v>1.98</v>
      </c>
    </row>
    <row r="24" spans="1:9" s="57" customFormat="1" ht="31.5" customHeight="1">
      <c r="A24" s="55"/>
      <c r="B24" s="55" t="s">
        <v>689</v>
      </c>
      <c r="C24" s="56" t="s">
        <v>2</v>
      </c>
      <c r="D24" s="60" t="s">
        <v>9</v>
      </c>
      <c r="E24" s="95">
        <f>INDEX(steel,MATCH(E$3,st_name,0),20)</f>
        <v>1.95</v>
      </c>
      <c r="F24" s="95">
        <f>INDEX(steel,MATCH(F$3,st_name,0),20)</f>
        <v>1.98</v>
      </c>
      <c r="G24" s="95">
        <f>INDEX(steel,MATCH(G$3,st_name,0),20)</f>
        <v>1.48</v>
      </c>
      <c r="H24" s="95">
        <f>INDEX(steel,MATCH(H$3,st_name,0),20)</f>
        <v>1.45</v>
      </c>
      <c r="I24" s="95">
        <f>INDEX(steel,MATCH(I$3,st_name,0),20)</f>
        <v>1.27</v>
      </c>
    </row>
    <row r="25" spans="1:9" s="57" customFormat="1" ht="31.5" customHeight="1">
      <c r="A25" s="55"/>
      <c r="B25" s="55" t="s">
        <v>526</v>
      </c>
      <c r="C25" s="56" t="s">
        <v>2</v>
      </c>
      <c r="D25" s="60" t="s">
        <v>652</v>
      </c>
      <c r="E25" s="95">
        <f>INDEX(steel,MATCH(E$3,st_name,0),16)</f>
        <v>24.4</v>
      </c>
      <c r="F25" s="95">
        <f>INDEX(steel,MATCH(F$3,st_name,0),16)</f>
        <v>17.7</v>
      </c>
      <c r="G25" s="95">
        <f>INDEX(steel,MATCH(G$3,st_name,0),16)</f>
        <v>8.47</v>
      </c>
      <c r="H25" s="95">
        <f>INDEX(steel,MATCH(H$3,st_name,0),16)</f>
        <v>12.1</v>
      </c>
      <c r="I25" s="95">
        <f>INDEX(steel,MATCH(I$3,st_name,0),16)</f>
        <v>6.26</v>
      </c>
    </row>
    <row r="26" spans="1:9" s="57" customFormat="1" ht="31.5" customHeight="1">
      <c r="A26" s="55"/>
      <c r="B26" s="55" t="s">
        <v>690</v>
      </c>
      <c r="C26" s="56" t="s">
        <v>2</v>
      </c>
      <c r="D26" s="60"/>
      <c r="E26" s="95">
        <f>E18/E19</f>
        <v>10</v>
      </c>
      <c r="F26" s="95">
        <f>F18/F19</f>
        <v>14.285714285714286</v>
      </c>
      <c r="G26" s="95">
        <f>G18/G19</f>
        <v>12.5</v>
      </c>
      <c r="H26" s="95">
        <f>H18/H19</f>
        <v>8.333333333333334</v>
      </c>
      <c r="I26" s="95">
        <f>I18/I19</f>
        <v>10.833333333333334</v>
      </c>
    </row>
    <row r="27" spans="1:9" s="57" customFormat="1" ht="31.5" customHeight="1">
      <c r="A27" s="55"/>
      <c r="B27" s="55" t="s">
        <v>691</v>
      </c>
      <c r="C27" s="56" t="s">
        <v>2</v>
      </c>
      <c r="E27" s="95">
        <f>76/SQRT(36)</f>
        <v>12.666666666666666</v>
      </c>
      <c r="F27" s="95">
        <f>76/SQRT(36)</f>
        <v>12.666666666666666</v>
      </c>
      <c r="G27" s="95">
        <f>76/SQRT(36)</f>
        <v>12.666666666666666</v>
      </c>
      <c r="H27" s="95">
        <f>76/SQRT(36)</f>
        <v>12.666666666666666</v>
      </c>
      <c r="I27" s="95">
        <f>76/SQRT(36)</f>
        <v>12.666666666666666</v>
      </c>
    </row>
    <row r="28" spans="1:9" s="57" customFormat="1" ht="31.5" customHeight="1">
      <c r="A28" s="55"/>
      <c r="B28" s="283" t="str">
        <f>IF(E26&lt;E27,"Compact Section","Slender Section")</f>
        <v>Compact Section</v>
      </c>
      <c r="C28" s="56"/>
      <c r="E28" s="282"/>
      <c r="F28" s="282"/>
      <c r="G28" s="282"/>
      <c r="H28" s="282"/>
      <c r="I28" s="282"/>
    </row>
    <row r="29" spans="1:9" s="57" customFormat="1" ht="31.5" customHeight="1">
      <c r="A29" s="63" t="s">
        <v>535</v>
      </c>
      <c r="B29" s="64" t="s">
        <v>692</v>
      </c>
      <c r="C29" s="64"/>
      <c r="D29" s="62"/>
      <c r="E29" s="92"/>
      <c r="F29" s="92"/>
      <c r="G29" s="92"/>
      <c r="H29" s="92"/>
      <c r="I29" s="92"/>
    </row>
    <row r="30" spans="1:9" s="57" customFormat="1" ht="31.5" customHeight="1">
      <c r="A30" s="63"/>
      <c r="B30" s="57" t="s">
        <v>609</v>
      </c>
      <c r="C30" s="56" t="s">
        <v>2</v>
      </c>
      <c r="D30" s="62"/>
      <c r="E30" s="92">
        <f>1*E5*100/E22</f>
        <v>164.4736842105263</v>
      </c>
      <c r="F30" s="92">
        <f>1*F5*100/F22</f>
        <v>162.33766233766232</v>
      </c>
      <c r="G30" s="92">
        <f>1*G5*100/G22</f>
        <v>217.3913043478261</v>
      </c>
      <c r="H30" s="92">
        <f>1*H5*100/H22</f>
        <v>222.22222222222223</v>
      </c>
      <c r="I30" s="92">
        <f>1*I5*100/I22</f>
        <v>252.52525252525254</v>
      </c>
    </row>
    <row r="31" spans="1:9" s="57" customFormat="1" ht="31.5" customHeight="1">
      <c r="A31" s="63"/>
      <c r="B31" s="57" t="s">
        <v>610</v>
      </c>
      <c r="C31" s="56" t="s">
        <v>2</v>
      </c>
      <c r="D31" s="62"/>
      <c r="E31" s="92">
        <f>1*E5*100/E23</f>
        <v>164.4736842105263</v>
      </c>
      <c r="F31" s="92">
        <f>1*F5*100/F23</f>
        <v>162.33766233766232</v>
      </c>
      <c r="G31" s="92">
        <f>1*G5*100/G23</f>
        <v>217.3913043478261</v>
      </c>
      <c r="H31" s="92">
        <f>1*H5*100/H23</f>
        <v>222.22222222222223</v>
      </c>
      <c r="I31" s="92">
        <f>1*I5*100/I23</f>
        <v>252.52525252525254</v>
      </c>
    </row>
    <row r="32" spans="1:9" s="57" customFormat="1" ht="31.5" customHeight="1">
      <c r="A32" s="63"/>
      <c r="B32" s="79" t="s">
        <v>611</v>
      </c>
      <c r="C32" s="56" t="s">
        <v>2</v>
      </c>
      <c r="D32" s="62"/>
      <c r="E32" s="92">
        <f>1*E5*100/E24</f>
        <v>256.4102564102564</v>
      </c>
      <c r="F32" s="92">
        <f>1*F5*100/F24</f>
        <v>252.52525252525254</v>
      </c>
      <c r="G32" s="92">
        <f>1*G5*100/G24</f>
        <v>337.83783783783787</v>
      </c>
      <c r="H32" s="92">
        <f>1*H5*100/H24</f>
        <v>344.82758620689657</v>
      </c>
      <c r="I32" s="92">
        <f>1*I5*100/I24</f>
        <v>393.7007874015748</v>
      </c>
    </row>
    <row r="33" spans="1:9" s="57" customFormat="1" ht="31.5" customHeight="1">
      <c r="A33" s="63"/>
      <c r="C33" s="56" t="s">
        <v>2</v>
      </c>
      <c r="D33" s="62"/>
      <c r="E33" s="92">
        <v>129.58</v>
      </c>
      <c r="F33" s="92">
        <v>129.58</v>
      </c>
      <c r="G33" s="92">
        <v>129.58</v>
      </c>
      <c r="H33" s="92">
        <v>129.58</v>
      </c>
      <c r="I33" s="92">
        <v>129.58</v>
      </c>
    </row>
    <row r="34" spans="1:9" s="57" customFormat="1" ht="31.5" customHeight="1">
      <c r="A34" s="63"/>
      <c r="B34" s="57" t="s">
        <v>612</v>
      </c>
      <c r="C34" s="56" t="s">
        <v>2</v>
      </c>
      <c r="D34" s="62"/>
      <c r="E34" s="109">
        <f>E32/E33</f>
        <v>1.9787795679136932</v>
      </c>
      <c r="F34" s="109">
        <f>F32/F33</f>
        <v>1.9487980593089405</v>
      </c>
      <c r="G34" s="109">
        <f>G32/G33</f>
        <v>2.6071757820484476</v>
      </c>
      <c r="H34" s="109">
        <f>H32/H33</f>
        <v>2.661117349952898</v>
      </c>
      <c r="I34" s="109">
        <f>I32/I33</f>
        <v>3.0382835885288992</v>
      </c>
    </row>
    <row r="35" spans="1:9" s="57" customFormat="1" ht="31.5" customHeight="1">
      <c r="A35" s="63"/>
      <c r="B35" s="57" t="s">
        <v>613</v>
      </c>
      <c r="C35" s="56" t="s">
        <v>2</v>
      </c>
      <c r="D35" s="62"/>
      <c r="E35" s="92">
        <f>IF(E32&lt;E33,5/3+3/8*E34-(1/8*E34^3),23/12)</f>
        <v>1.9166666666666667</v>
      </c>
      <c r="F35" s="92">
        <f>IF(F32&lt;F33,5/3+3/8*F34-(1/8*F34^3),23/12)</f>
        <v>1.9166666666666667</v>
      </c>
      <c r="G35" s="92">
        <f>IF(G32&lt;G33,5/3+3/8*G34-(1/8*G34^3),23/12)</f>
        <v>1.9166666666666667</v>
      </c>
      <c r="H35" s="92">
        <f>IF(H32&lt;H33,5/3+3/8*H34-(1/8*H34^3),23/12)</f>
        <v>1.9166666666666667</v>
      </c>
      <c r="I35" s="92">
        <f>IF(I32&lt;I33,5/3+3/8*I34-(1/8*I34^3),23/12)</f>
        <v>1.9166666666666667</v>
      </c>
    </row>
    <row r="36" spans="1:9" s="57" customFormat="1" ht="31.5" customHeight="1">
      <c r="A36" s="55"/>
      <c r="B36" s="57" t="s">
        <v>614</v>
      </c>
      <c r="C36" s="56" t="s">
        <v>2</v>
      </c>
      <c r="D36" s="62" t="s">
        <v>10</v>
      </c>
      <c r="E36" s="95">
        <f>IF(E32&lt;E33,(1-0.5*(E32*E32))*E4/E35,3.14*3.14*2000000/(E32*E32))</f>
        <v>299.929032</v>
      </c>
      <c r="F36" s="95">
        <f>IF(F32&lt;F33,(1-0.5*(F32*F32))*F4/F35,3.14*3.14*2000000/(F32*F32))</f>
        <v>309.22860671999996</v>
      </c>
      <c r="G36" s="95">
        <f>IF(G32&lt;G33,(1-0.5*(G32*G32))*G4/G35,3.14*3.14*2000000/(G32*G32))</f>
        <v>172.77174271999996</v>
      </c>
      <c r="H36" s="95">
        <f>IF(H32&lt;H33,(1-0.5*(H32*H32))*H4/H35,3.14*3.14*2000000/(H32*H32))</f>
        <v>165.838472</v>
      </c>
      <c r="I36" s="95">
        <f>IF(I32&lt;I33,(1-0.5*(I32*I32))*I4/I35,3.14*3.14*2000000/(I32*I32))</f>
        <v>127.22039072</v>
      </c>
    </row>
    <row r="37" spans="1:9" s="85" customFormat="1" ht="31.5" customHeight="1">
      <c r="A37" s="113"/>
      <c r="B37" s="120" t="s">
        <v>623</v>
      </c>
      <c r="C37" s="121" t="s">
        <v>2</v>
      </c>
      <c r="D37" s="122" t="s">
        <v>533</v>
      </c>
      <c r="E37" s="123">
        <f>E36*E21/1000</f>
        <v>5.6986516080000005</v>
      </c>
      <c r="F37" s="123">
        <f>F36*F21/1000</f>
        <v>4.211693623526399</v>
      </c>
      <c r="G37" s="123">
        <f>G36*G21/1000</f>
        <v>1.5077789987174397</v>
      </c>
      <c r="H37" s="123">
        <f>H36*H21/1000</f>
        <v>2.10449020968</v>
      </c>
      <c r="I37" s="123">
        <f>I36*I21/1000</f>
        <v>0.95758788094944</v>
      </c>
    </row>
    <row r="38" spans="1:9" s="57" customFormat="1" ht="31.5" customHeight="1">
      <c r="A38" s="66" t="s">
        <v>540</v>
      </c>
      <c r="B38" s="67" t="s">
        <v>547</v>
      </c>
      <c r="C38" s="64"/>
      <c r="D38" s="62"/>
      <c r="E38" s="92"/>
      <c r="F38" s="92"/>
      <c r="G38" s="92"/>
      <c r="H38" s="92"/>
      <c r="I38" s="92"/>
    </row>
    <row r="39" spans="1:9" s="57" customFormat="1" ht="31.5" customHeight="1">
      <c r="A39" s="55"/>
      <c r="B39" s="55" t="s">
        <v>541</v>
      </c>
      <c r="C39" s="56" t="s">
        <v>2</v>
      </c>
      <c r="D39" s="60" t="s">
        <v>9</v>
      </c>
      <c r="E39" s="95">
        <f>((E10-1)*E11+E13-E10*(E9+0.2))</f>
        <v>9.6</v>
      </c>
      <c r="F39" s="95">
        <f>((F10-1)*F11+F13-F10*(F9+0.2))</f>
        <v>9.6</v>
      </c>
      <c r="G39" s="95">
        <f>((G10-1)*G11+G13-G10*(G9+0.2))</f>
        <v>19.4</v>
      </c>
      <c r="H39" s="95">
        <f>((H10-1)*H11+H13-H10*(H9+0.2))</f>
        <v>42.2</v>
      </c>
      <c r="I39" s="95">
        <f>((I10-1)*I11+I13-I10*(I9+0.2))</f>
        <v>57.2</v>
      </c>
    </row>
    <row r="40" spans="1:9" s="57" customFormat="1" ht="31.5" customHeight="1">
      <c r="A40" s="55"/>
      <c r="B40" s="55" t="s">
        <v>542</v>
      </c>
      <c r="C40" s="56" t="s">
        <v>2</v>
      </c>
      <c r="D40" s="60" t="s">
        <v>9</v>
      </c>
      <c r="E40" s="95">
        <f>E12-2*(E10+0.2)</f>
        <v>3.5999999999999996</v>
      </c>
      <c r="F40" s="95">
        <f>F12-2*(F10+0.2)</f>
        <v>3.5999999999999996</v>
      </c>
      <c r="G40" s="95">
        <f>G12-2*(G10+0.2)</f>
        <v>3.5999999999999996</v>
      </c>
      <c r="H40" s="95">
        <f>H12-2*(H10+0.2)</f>
        <v>6.6</v>
      </c>
      <c r="I40" s="95">
        <f>I12-2*(I10+0.2)</f>
        <v>11.6</v>
      </c>
    </row>
    <row r="41" spans="1:9" s="57" customFormat="1" ht="31.5" customHeight="1">
      <c r="A41" s="55"/>
      <c r="B41" s="55" t="s">
        <v>543</v>
      </c>
      <c r="C41" s="56" t="s">
        <v>2</v>
      </c>
      <c r="D41" s="60" t="s">
        <v>533</v>
      </c>
      <c r="E41" s="96">
        <f>4000*(0.3*E39+0.5*E40)*E14/1000</f>
        <v>18.72</v>
      </c>
      <c r="F41" s="96">
        <f>4000*(0.3*F39+0.5*F40)*F14/1000</f>
        <v>22.464</v>
      </c>
      <c r="G41" s="96">
        <f>4000*(0.3*G39+0.5*G40)*G14/1000</f>
        <v>36.57599999999999</v>
      </c>
      <c r="H41" s="96">
        <f>4000*(0.3*H39+0.5*H40)*H14/1000</f>
        <v>102.144</v>
      </c>
      <c r="I41" s="96">
        <f>4000*(0.3*I39+0.5*I40)*I14/1000</f>
        <v>146.944</v>
      </c>
    </row>
    <row r="42" spans="1:9" s="57" customFormat="1" ht="31.5" customHeight="1">
      <c r="A42" s="66" t="s">
        <v>545</v>
      </c>
      <c r="B42" s="67" t="s">
        <v>584</v>
      </c>
      <c r="C42" s="64"/>
      <c r="D42" s="62"/>
      <c r="E42" s="92"/>
      <c r="F42" s="92"/>
      <c r="G42" s="92"/>
      <c r="H42" s="92"/>
      <c r="I42" s="92"/>
    </row>
    <row r="43" spans="1:9" s="57" customFormat="1" ht="31.5" customHeight="1">
      <c r="A43" s="55"/>
      <c r="B43" s="55" t="s">
        <v>616</v>
      </c>
      <c r="C43" s="56" t="s">
        <v>2</v>
      </c>
      <c r="D43" s="60" t="s">
        <v>533</v>
      </c>
      <c r="E43" s="96">
        <f>0.5*4000*E14*(0.1*E17-E10*(E9+0.2))/1000</f>
        <v>11.2</v>
      </c>
      <c r="F43" s="96">
        <f>0.5*4000*F14*(0.1*F17-F10*(F9+0.2))/1000</f>
        <v>13.44</v>
      </c>
      <c r="G43" s="96">
        <f>0.5*4000*G14*(0.1*G17-G10*(G9+0.2))/1000</f>
        <v>2.159999999999999</v>
      </c>
      <c r="H43" s="96">
        <f>0.5*4000*H14*(0.1*H17-H10*(H9+0.2))/1000</f>
        <v>-4.160000000000002</v>
      </c>
      <c r="I43" s="96">
        <f>0.5*4000*I14*(0.1*I17-I10*(I9+0.2))/1000</f>
        <v>-7.360000000000002</v>
      </c>
    </row>
    <row r="44" spans="1:9" s="57" customFormat="1" ht="31.5" customHeight="1">
      <c r="A44" s="55"/>
      <c r="B44" s="55" t="s">
        <v>617</v>
      </c>
      <c r="C44" s="56" t="s">
        <v>2</v>
      </c>
      <c r="D44" s="60" t="s">
        <v>533</v>
      </c>
      <c r="E44" s="96">
        <f>0.6*E4*(E17*0.1*E14)/1000</f>
        <v>14.4</v>
      </c>
      <c r="F44" s="96">
        <f>0.6*F4*(F17*0.1*F14)/1000</f>
        <v>17.28</v>
      </c>
      <c r="G44" s="96">
        <f>0.6*G4*(G17*0.1*G14)/1000</f>
        <v>12.96</v>
      </c>
      <c r="H44" s="96">
        <f>0.6*H4*(H17*0.1*H14)/1000</f>
        <v>17.28</v>
      </c>
      <c r="I44" s="96">
        <f>0.6*I4*(I17*0.1*I14)/1000</f>
        <v>14.976</v>
      </c>
    </row>
    <row r="45" spans="1:9" s="57" customFormat="1" ht="31.5" customHeight="1">
      <c r="A45" s="66" t="s">
        <v>583</v>
      </c>
      <c r="B45" s="67" t="s">
        <v>546</v>
      </c>
      <c r="C45" s="62"/>
      <c r="D45" s="62"/>
      <c r="E45" s="100"/>
      <c r="F45" s="100"/>
      <c r="G45" s="100"/>
      <c r="H45" s="100"/>
      <c r="I45" s="100"/>
    </row>
    <row r="46" spans="1:9" s="57" customFormat="1" ht="31.5" customHeight="1">
      <c r="A46" s="55"/>
      <c r="B46" s="55" t="s">
        <v>653</v>
      </c>
      <c r="C46" s="56" t="s">
        <v>2</v>
      </c>
      <c r="D46" s="60" t="s">
        <v>533</v>
      </c>
      <c r="E46" s="99">
        <f>E10*(E9+0.2)*E14*1.2*4000/1000</f>
        <v>21.12</v>
      </c>
      <c r="F46" s="99">
        <f>F10*(F9+0.2)*F14*1.2*4000/1000</f>
        <v>25.344</v>
      </c>
      <c r="G46" s="99">
        <f>G10*(G9+0.2)*G14*1.2*4000/1000</f>
        <v>38.016</v>
      </c>
      <c r="H46" s="99">
        <f>H10*(H9+0.2)*H14*1.2*4000/1000</f>
        <v>67.584</v>
      </c>
      <c r="I46" s="99">
        <f>I10*(I9+0.2)*I14*1.2*4000/1000</f>
        <v>67.584</v>
      </c>
    </row>
    <row r="47" spans="1:9" s="71" customFormat="1" ht="31.5" customHeight="1">
      <c r="A47" s="66" t="s">
        <v>552</v>
      </c>
      <c r="B47" s="67" t="s">
        <v>648</v>
      </c>
      <c r="C47" s="67"/>
      <c r="D47" s="67"/>
      <c r="E47" s="98"/>
      <c r="F47" s="100"/>
      <c r="G47" s="100"/>
      <c r="H47" s="100"/>
      <c r="I47" s="100"/>
    </row>
    <row r="48" spans="1:9" s="71" customFormat="1" ht="31.5" customHeight="1">
      <c r="A48" s="63"/>
      <c r="B48" s="110" t="s">
        <v>618</v>
      </c>
      <c r="C48" s="61" t="s">
        <v>2</v>
      </c>
      <c r="D48" s="55" t="s">
        <v>533</v>
      </c>
      <c r="E48" s="101">
        <f>2*(0.3*0.707*E15*4900*(E17*0.1))/1000</f>
        <v>16.62864</v>
      </c>
      <c r="F48" s="101">
        <f>2*(0.3*0.707*F15*4900*(F17*0.1))/1000</f>
        <v>16.62864</v>
      </c>
      <c r="G48" s="101">
        <f>2*(0.3*0.707*G15*4900*(G17*0.1))/1000</f>
        <v>93.53609999999999</v>
      </c>
      <c r="H48" s="101">
        <f>2*(0.3*0.707*H15*4900*(H17*0.1))/1000</f>
        <v>12.47148</v>
      </c>
      <c r="I48" s="101">
        <f>2*(0.3*0.707*I15*4900*(I17*0.1))/1000</f>
        <v>10.808616</v>
      </c>
    </row>
    <row r="49" spans="1:9" s="57" customFormat="1" ht="31.5" customHeight="1">
      <c r="A49" s="119">
        <v>10</v>
      </c>
      <c r="B49" s="67" t="s">
        <v>619</v>
      </c>
      <c r="C49" s="111"/>
      <c r="D49" s="124"/>
      <c r="E49" s="103"/>
      <c r="F49" s="103"/>
      <c r="G49" s="103"/>
      <c r="H49" s="103"/>
      <c r="I49" s="103"/>
    </row>
    <row r="50" spans="1:9" s="57" customFormat="1" ht="31.5" customHeight="1">
      <c r="A50" s="55"/>
      <c r="B50" s="112" t="s">
        <v>621</v>
      </c>
      <c r="C50" s="117" t="s">
        <v>2</v>
      </c>
      <c r="D50" s="118" t="s">
        <v>620</v>
      </c>
      <c r="E50" s="103">
        <f>0.75*2400*(E17*0.1*E14*E14/6)/1000</f>
        <v>3</v>
      </c>
      <c r="F50" s="103">
        <f>0.75*2400*(F17*0.1*F14*F14/6)/1000</f>
        <v>4.32</v>
      </c>
      <c r="G50" s="103">
        <f>0.75*2400*(G17*0.1*G14*G14/6)/1000</f>
        <v>3.2399999999999993</v>
      </c>
      <c r="H50" s="103">
        <f>0.75*2400*(H17*0.1*H14*H14/6)/1000</f>
        <v>5.760000000000001</v>
      </c>
      <c r="I50" s="103">
        <f>0.75*2400*(I17*0.1*I14*I14/6)/1000</f>
        <v>4.992</v>
      </c>
    </row>
    <row r="51" spans="1:9" s="57" customFormat="1" ht="31.5" customHeight="1">
      <c r="A51" s="113"/>
      <c r="B51" s="114" t="s">
        <v>624</v>
      </c>
      <c r="C51" s="115" t="s">
        <v>2</v>
      </c>
      <c r="D51" s="116" t="s">
        <v>533</v>
      </c>
      <c r="E51" s="139">
        <f>E50/0.5/(E14+0.1*E19)</f>
        <v>3</v>
      </c>
      <c r="F51" s="139">
        <f>F50/0.5/(F14+0.1*F19)</f>
        <v>4.547368421052632</v>
      </c>
      <c r="G51" s="139">
        <f>G50/0.5/(G14+0.1*G19)</f>
        <v>3.599999999999999</v>
      </c>
      <c r="H51" s="139">
        <f>H50/0.5/(H14+0.1*H19)</f>
        <v>4.6080000000000005</v>
      </c>
      <c r="I51" s="139">
        <f>I50/0.5/(I14+0.1*I19)</f>
        <v>4.538181818181818</v>
      </c>
    </row>
    <row r="52" spans="1:9" s="57" customFormat="1" ht="31.5" customHeight="1">
      <c r="A52" s="72" t="s">
        <v>588</v>
      </c>
      <c r="B52" s="73" t="s">
        <v>622</v>
      </c>
      <c r="C52" s="62"/>
      <c r="D52" s="62"/>
      <c r="E52" s="106"/>
      <c r="F52" s="106"/>
      <c r="G52" s="106"/>
      <c r="H52" s="106"/>
      <c r="I52" s="106"/>
    </row>
    <row r="53" spans="1:9" s="57" customFormat="1" ht="31.5" customHeight="1">
      <c r="A53" s="63"/>
      <c r="B53" s="62" t="s">
        <v>660</v>
      </c>
      <c r="C53" s="61" t="s">
        <v>2</v>
      </c>
      <c r="D53" s="62" t="s">
        <v>533</v>
      </c>
      <c r="E53" s="96">
        <f>0.6*E4*(0.75*E21)/1000</f>
        <v>20.52</v>
      </c>
      <c r="F53" s="96">
        <f>0.6*F4*(0.75*F21)/1000</f>
        <v>14.7096</v>
      </c>
      <c r="G53" s="96">
        <f>0.6*G4*(0.75*G21)/1000</f>
        <v>9.42516</v>
      </c>
      <c r="H53" s="96">
        <f>0.6*H4*(0.75*H21)/1000</f>
        <v>13.705200000000001</v>
      </c>
      <c r="I53" s="96">
        <f>0.6*I4*(0.75*I21)/1000</f>
        <v>8.12916</v>
      </c>
    </row>
    <row r="54" spans="1:9" s="57" customFormat="1" ht="31.5" customHeight="1">
      <c r="A54" s="55"/>
      <c r="B54" s="62" t="s">
        <v>661</v>
      </c>
      <c r="C54" s="61" t="s">
        <v>2</v>
      </c>
      <c r="D54" s="62" t="s">
        <v>533</v>
      </c>
      <c r="E54" s="103">
        <f>0.75*(0.5*4000*(0.5*E21-2*(E9+0.2)*E19*0.1))/1000</f>
        <v>7.65</v>
      </c>
      <c r="F54" s="103">
        <f>0.75*(0.5*4000*(0.5*F21-2*(F9+0.2)*F19*0.1))/1000</f>
        <v>5.594999999999998</v>
      </c>
      <c r="G54" s="103">
        <f>0.75*(0.5*4000*(0.5*G21-2*(G9+0.2)*G19*0.1))/1000</f>
        <v>2.585249999999999</v>
      </c>
      <c r="H54" s="103">
        <f>0.75*(0.5*4000*(0.5*H21-2*(H9+0.2)*H19*0.1))/1000</f>
        <v>3.5774999999999992</v>
      </c>
      <c r="I54" s="103">
        <f>0.75*(0.5*4000*(0.5*I21-2*(I9+0.2)*I19*0.1))/1000</f>
        <v>1.6852499999999992</v>
      </c>
    </row>
    <row r="55" spans="1:9" s="57" customFormat="1" ht="31.5" customHeight="1">
      <c r="A55" s="75" t="s">
        <v>601</v>
      </c>
      <c r="B55" s="76" t="s">
        <v>565</v>
      </c>
      <c r="C55" s="61"/>
      <c r="D55" s="69"/>
      <c r="E55" s="106"/>
      <c r="F55" s="106"/>
      <c r="G55" s="106"/>
      <c r="H55" s="106"/>
      <c r="I55" s="106"/>
    </row>
    <row r="56" spans="1:9" s="71" customFormat="1" ht="31.5" customHeight="1">
      <c r="A56" s="55"/>
      <c r="B56" s="55" t="s">
        <v>654</v>
      </c>
      <c r="C56" s="61" t="s">
        <v>2</v>
      </c>
      <c r="D56" s="62" t="s">
        <v>566</v>
      </c>
      <c r="E56" s="105">
        <f>(E37)/(2*E10)</f>
        <v>1.4246629020000001</v>
      </c>
      <c r="F56" s="105">
        <f>(F37)/(2*F10)</f>
        <v>1.0529234058815997</v>
      </c>
      <c r="G56" s="105">
        <f>(G37)/(2*G10)</f>
        <v>0.25129649978623997</v>
      </c>
      <c r="H56" s="105">
        <f>(H37)/(2*H10)</f>
        <v>0.26306127621</v>
      </c>
      <c r="I56" s="105">
        <f>(I37)/(2*I10)</f>
        <v>0.11969848511868</v>
      </c>
    </row>
    <row r="57" spans="1:9" s="57" customFormat="1" ht="31.5" customHeight="1">
      <c r="A57" s="55"/>
      <c r="B57" s="55" t="s">
        <v>576</v>
      </c>
      <c r="C57" s="61" t="s">
        <v>2</v>
      </c>
      <c r="D57" s="62" t="s">
        <v>566</v>
      </c>
      <c r="E57" s="105">
        <f>1.45*(3.14*E9*E9/4)</f>
        <v>4.553</v>
      </c>
      <c r="F57" s="105">
        <f>1.45*(3.14*F9*F9/4)</f>
        <v>4.553</v>
      </c>
      <c r="G57" s="105">
        <f>1.45*(3.14*G9*G9/4)</f>
        <v>4.553</v>
      </c>
      <c r="H57" s="105">
        <f>1.45*(3.14*H9*H9/4)</f>
        <v>4.553</v>
      </c>
      <c r="I57" s="105">
        <f>1.45*(3.14*I9*I9/4)</f>
        <v>4.553</v>
      </c>
    </row>
    <row r="58" spans="1:9" s="37" customFormat="1" ht="31.5" customHeight="1">
      <c r="A58" s="137">
        <v>13</v>
      </c>
      <c r="B58" s="76" t="s">
        <v>628</v>
      </c>
      <c r="C58" s="39"/>
      <c r="D58" s="38"/>
      <c r="E58" s="39"/>
      <c r="F58" s="39"/>
      <c r="G58" s="39"/>
      <c r="H58" s="39"/>
      <c r="I58" s="39"/>
    </row>
    <row r="59" spans="1:9" s="37" customFormat="1" ht="31.5" customHeight="1">
      <c r="A59" s="136"/>
      <c r="B59" s="55" t="s">
        <v>630</v>
      </c>
      <c r="C59" s="61" t="s">
        <v>2</v>
      </c>
      <c r="D59" s="105"/>
      <c r="E59" s="105">
        <f>1*E6*100/(E23/2)</f>
        <v>82.23684210526315</v>
      </c>
      <c r="F59" s="105">
        <f>1*F6*100/(F23/2)</f>
        <v>81.16883116883116</v>
      </c>
      <c r="G59" s="105">
        <f>1*G6*100/(G23/2)</f>
        <v>108.69565217391305</v>
      </c>
      <c r="H59" s="105">
        <f>1*H6*100/(H23/2)</f>
        <v>111.11111111111111</v>
      </c>
      <c r="I59" s="105">
        <f>1*I6*100/(I23/2)</f>
        <v>126.26262626262627</v>
      </c>
    </row>
    <row r="60" spans="1:9" s="37" customFormat="1" ht="31.5" customHeight="1">
      <c r="A60" s="136"/>
      <c r="B60" s="55" t="s">
        <v>629</v>
      </c>
      <c r="C60" s="61" t="s">
        <v>2</v>
      </c>
      <c r="D60" s="105"/>
      <c r="E60" s="105">
        <f>E32*0.75</f>
        <v>192.30769230769232</v>
      </c>
      <c r="F60" s="105">
        <f>F32*0.75</f>
        <v>189.3939393939394</v>
      </c>
      <c r="G60" s="105">
        <f>G32*0.75</f>
        <v>253.3783783783784</v>
      </c>
      <c r="H60" s="105">
        <f>H32*0.75</f>
        <v>258.62068965517244</v>
      </c>
      <c r="I60" s="105">
        <f>I32*0.75</f>
        <v>295.2755905511811</v>
      </c>
    </row>
    <row r="61" spans="1:9" s="133" customFormat="1" ht="31.5" customHeight="1">
      <c r="A61" s="138"/>
      <c r="B61" s="132" t="s">
        <v>657</v>
      </c>
      <c r="C61" s="41"/>
      <c r="D61" s="103"/>
      <c r="E61" s="96" t="str">
        <f>IF(E59&lt;E60,"O.K","N.K")</f>
        <v>O.K</v>
      </c>
      <c r="F61" s="96" t="str">
        <f>IF(F59&lt;F60,"O.K","N.K")</f>
        <v>O.K</v>
      </c>
      <c r="G61" s="96" t="str">
        <f>IF(G59&lt;G60,"O.K","N.K")</f>
        <v>O.K</v>
      </c>
      <c r="H61" s="96" t="str">
        <f>IF(H59&lt;H60,"O.K","N.K")</f>
        <v>O.K</v>
      </c>
      <c r="I61" s="96" t="str">
        <f>IF(I59&lt;I60,"O.K","N.K")</f>
        <v>O.K</v>
      </c>
    </row>
    <row r="62" spans="1:9" s="37" customFormat="1" ht="31.5" customHeight="1">
      <c r="A62" s="137">
        <v>14</v>
      </c>
      <c r="B62" s="76" t="s">
        <v>633</v>
      </c>
      <c r="C62" s="38"/>
      <c r="D62" s="105"/>
      <c r="E62" s="105"/>
      <c r="F62" s="105"/>
      <c r="G62" s="105"/>
      <c r="H62" s="105"/>
      <c r="I62" s="105"/>
    </row>
    <row r="63" spans="1:9" s="37" customFormat="1" ht="31.5" customHeight="1">
      <c r="A63" s="136"/>
      <c r="B63" s="55" t="s">
        <v>631</v>
      </c>
      <c r="C63" s="61" t="s">
        <v>2</v>
      </c>
      <c r="E63" s="105">
        <f>E7/E14</f>
        <v>2</v>
      </c>
      <c r="F63" s="105">
        <f>F7/F14</f>
        <v>1.6666666666666667</v>
      </c>
      <c r="G63" s="105">
        <f>G7/G14</f>
        <v>1.6666666666666667</v>
      </c>
      <c r="H63" s="105">
        <f>H7/H14</f>
        <v>1.25</v>
      </c>
      <c r="I63" s="105">
        <f>I7/I14</f>
        <v>1.25</v>
      </c>
    </row>
    <row r="64" spans="1:9" s="37" customFormat="1" ht="31.5" customHeight="1">
      <c r="A64" s="136"/>
      <c r="B64" s="55" t="s">
        <v>632</v>
      </c>
      <c r="C64" s="61" t="s">
        <v>2</v>
      </c>
      <c r="D64" s="38"/>
      <c r="E64" s="105">
        <f>0.75*SQRT(2000000/2400)</f>
        <v>21.650635094610966</v>
      </c>
      <c r="F64" s="105">
        <f>0.75*SQRT(2000000/2400)</f>
        <v>21.650635094610966</v>
      </c>
      <c r="G64" s="105">
        <f>0.75*SQRT(2000000/2400)</f>
        <v>21.650635094610966</v>
      </c>
      <c r="H64" s="105">
        <f>0.75*SQRT(2000000/2400)</f>
        <v>21.650635094610966</v>
      </c>
      <c r="I64" s="105">
        <f>0.75*SQRT(2000000/2400)</f>
        <v>21.650635094610966</v>
      </c>
    </row>
    <row r="65" spans="1:9" s="133" customFormat="1" ht="31.5" customHeight="1">
      <c r="A65" s="138"/>
      <c r="B65" s="132" t="s">
        <v>634</v>
      </c>
      <c r="C65" s="131"/>
      <c r="D65" s="131"/>
      <c r="E65" s="96" t="str">
        <f>IF(E63&lt;E64,"O.K","N.K")</f>
        <v>O.K</v>
      </c>
      <c r="F65" s="96" t="str">
        <f>IF(F63&lt;F64,"O.K","N.K")</f>
        <v>O.K</v>
      </c>
      <c r="G65" s="96" t="str">
        <f>IF(G63&lt;G64,"O.K","N.K")</f>
        <v>O.K</v>
      </c>
      <c r="H65" s="96" t="str">
        <f>IF(H63&lt;H64,"O.K","N.K")</f>
        <v>O.K</v>
      </c>
      <c r="I65" s="96" t="str">
        <f>IF(I63&lt;I64,"O.K","N.K")</f>
        <v>O.K</v>
      </c>
    </row>
    <row r="66" spans="1:9" s="37" customFormat="1" ht="31.5" customHeight="1">
      <c r="A66" s="137">
        <v>15</v>
      </c>
      <c r="B66" s="76" t="s">
        <v>656</v>
      </c>
      <c r="C66" s="130"/>
      <c r="D66" s="38"/>
      <c r="E66" s="39"/>
      <c r="F66" s="39"/>
      <c r="G66" s="39"/>
      <c r="H66" s="39"/>
      <c r="I66" s="39"/>
    </row>
    <row r="67" spans="1:9" s="37" customFormat="1" ht="31.5" customHeight="1">
      <c r="A67" s="38"/>
      <c r="B67" s="64" t="s">
        <v>655</v>
      </c>
      <c r="C67" s="38"/>
      <c r="D67" s="38"/>
      <c r="E67" s="95">
        <f>1*E37</f>
        <v>5.6986516080000005</v>
      </c>
      <c r="F67" s="95">
        <f>1*F37</f>
        <v>4.211693623526399</v>
      </c>
      <c r="G67" s="95">
        <f>1*G37</f>
        <v>1.5077789987174397</v>
      </c>
      <c r="H67" s="95">
        <f>1*H37</f>
        <v>2.10449020968</v>
      </c>
      <c r="I67" s="95">
        <f>1*I37</f>
        <v>0.95758788094944</v>
      </c>
    </row>
    <row r="68" spans="1:9" s="37" customFormat="1" ht="31.5" customHeight="1">
      <c r="A68" s="38"/>
      <c r="B68" s="55" t="s">
        <v>635</v>
      </c>
      <c r="C68" s="61" t="s">
        <v>2</v>
      </c>
      <c r="D68" s="135" t="s">
        <v>651</v>
      </c>
      <c r="E68" s="95">
        <f>1*E14</f>
        <v>1</v>
      </c>
      <c r="F68" s="95">
        <f>1*F14</f>
        <v>1.2</v>
      </c>
      <c r="G68" s="95">
        <f>1*G14</f>
        <v>1.2</v>
      </c>
      <c r="H68" s="95">
        <f>1*H14</f>
        <v>1.6</v>
      </c>
      <c r="I68" s="95">
        <f>1*I14</f>
        <v>1.6</v>
      </c>
    </row>
    <row r="69" spans="1:9" s="37" customFormat="1" ht="31.5" customHeight="1">
      <c r="A69" s="38"/>
      <c r="B69" s="55" t="s">
        <v>636</v>
      </c>
      <c r="C69" s="61" t="s">
        <v>2</v>
      </c>
      <c r="D69" s="135" t="s">
        <v>9</v>
      </c>
      <c r="E69" s="95">
        <f>SQRT(1*E14*E14*E14*E14/(E68))</f>
        <v>1</v>
      </c>
      <c r="F69" s="95">
        <f>SQRT(1*F14*F14*F14*F14/(F68))</f>
        <v>1.3145341380123987</v>
      </c>
      <c r="G69" s="95">
        <f>SQRT(1*G14*G14*G14*G14/(G68))</f>
        <v>1.3145341380123987</v>
      </c>
      <c r="H69" s="95">
        <f>SQRT(1*H14*H14*H14*H14/(H68))</f>
        <v>2.023857702507763</v>
      </c>
      <c r="I69" s="95">
        <f>SQRT(1*I14*I14*I14*I14/(I68))</f>
        <v>2.023857702507763</v>
      </c>
    </row>
    <row r="70" spans="1:9" s="37" customFormat="1" ht="31.5" customHeight="1">
      <c r="A70" s="38"/>
      <c r="B70" s="55" t="s">
        <v>637</v>
      </c>
      <c r="C70" s="61" t="s">
        <v>2</v>
      </c>
      <c r="D70" s="135" t="s">
        <v>9</v>
      </c>
      <c r="E70" s="95">
        <f>SQRT(E14*1*1*1*1/E68)</f>
        <v>1</v>
      </c>
      <c r="F70" s="95">
        <f>SQRT(F14*1*1*1*1/F68)</f>
        <v>1</v>
      </c>
      <c r="G70" s="95">
        <f>SQRT(G14*1*1*1*1/G68)</f>
        <v>1</v>
      </c>
      <c r="H70" s="95">
        <f>SQRT(H14*1*1*1*1/H68)</f>
        <v>1</v>
      </c>
      <c r="I70" s="95">
        <f>SQRT(I14*1*1*1*1/I68)</f>
        <v>1</v>
      </c>
    </row>
    <row r="71" spans="1:9" s="37" customFormat="1" ht="31.5" customHeight="1">
      <c r="A71" s="38"/>
      <c r="B71" s="55" t="s">
        <v>650</v>
      </c>
      <c r="C71" s="61" t="s">
        <v>2</v>
      </c>
      <c r="D71" s="135" t="s">
        <v>10</v>
      </c>
      <c r="E71" s="95">
        <f>E67*1000/(E12+2*TAN(3.14/6)*((E10-1)*E11+E13))</f>
        <v>235.91138372546573</v>
      </c>
      <c r="F71" s="95">
        <f>F67*1000/(F12+2*TAN(3.14/6)*((F10-1)*F11+F13))</f>
        <v>174.35466122529692</v>
      </c>
      <c r="G71" s="95">
        <f>G67*1000/(G12+2*TAN(3.14/6)*((G10-1)*G11+G13))</f>
        <v>37.69088225378952</v>
      </c>
      <c r="H71" s="95">
        <f>H67*1000/(H12+2*TAN(3.14/6)*((H10-1)*H11+H13))</f>
        <v>28.49541896249282</v>
      </c>
      <c r="I71" s="95">
        <f>I67*1000/(I12+2*TAN(3.14/6)*((I10-1)*I11+I13))</f>
        <v>9.957911613832923</v>
      </c>
    </row>
    <row r="72" spans="1:9" s="37" customFormat="1" ht="31.5" customHeight="1">
      <c r="A72" s="38"/>
      <c r="B72" s="55" t="s">
        <v>645</v>
      </c>
      <c r="C72" s="61" t="s">
        <v>2</v>
      </c>
      <c r="D72" s="136"/>
      <c r="E72" s="95">
        <f>1.2*((E10-1)*E11+E13)/MIN(E69:E70)</f>
        <v>16.8</v>
      </c>
      <c r="F72" s="95">
        <f>1.2*((F10-1)*F11+F13)/MIN(F69:F70)</f>
        <v>16.8</v>
      </c>
      <c r="G72" s="95">
        <f>1.2*((G10-1)*G11+G13)/MIN(G69:G70)</f>
        <v>31.2</v>
      </c>
      <c r="H72" s="95">
        <f>1.2*((H10-1)*H11+H13)/MIN(H69:H70)</f>
        <v>61.199999999999996</v>
      </c>
      <c r="I72" s="95">
        <f>1.2*((I10-1)*I11+I13)/MIN(I69:I70)</f>
        <v>79.2</v>
      </c>
    </row>
    <row r="73" spans="1:9" s="37" customFormat="1" ht="31.5" customHeight="1">
      <c r="A73" s="38"/>
      <c r="B73" s="55" t="s">
        <v>639</v>
      </c>
      <c r="C73" s="61" t="s">
        <v>2</v>
      </c>
      <c r="D73" s="136"/>
      <c r="E73" s="92">
        <v>129.58</v>
      </c>
      <c r="F73" s="92">
        <v>129.58</v>
      </c>
      <c r="G73" s="92">
        <v>129.58</v>
      </c>
      <c r="H73" s="92">
        <v>129.58</v>
      </c>
      <c r="I73" s="92">
        <v>129.58</v>
      </c>
    </row>
    <row r="74" spans="1:9" s="37" customFormat="1" ht="31.5" customHeight="1">
      <c r="A74" s="38"/>
      <c r="B74" s="55" t="s">
        <v>646</v>
      </c>
      <c r="C74" s="61"/>
      <c r="D74" s="136"/>
      <c r="E74" s="92">
        <f>E72/E73</f>
        <v>0.1296496372897052</v>
      </c>
      <c r="F74" s="92">
        <f>F72/F73</f>
        <v>0.1296496372897052</v>
      </c>
      <c r="G74" s="92">
        <f>G72/G73</f>
        <v>0.2407778978237382</v>
      </c>
      <c r="H74" s="92">
        <f>H72/H73</f>
        <v>0.4722951072696403</v>
      </c>
      <c r="I74" s="92">
        <f>I72/I73</f>
        <v>0.6112054329371817</v>
      </c>
    </row>
    <row r="75" spans="1:9" s="37" customFormat="1" ht="31.5" customHeight="1">
      <c r="A75" s="38"/>
      <c r="B75" s="55" t="s">
        <v>641</v>
      </c>
      <c r="C75" s="61" t="s">
        <v>2</v>
      </c>
      <c r="D75" s="136"/>
      <c r="E75" s="92">
        <f>IF(E72&lt;E73,5/3+3/8*E74-1/8*E74^3,23/12)</f>
        <v>1.7150128700951</v>
      </c>
      <c r="F75" s="92">
        <f>IF(F72&lt;F73,5/3+3/8*F74-1/8*F74^3,23/12)</f>
        <v>1.7150128700951</v>
      </c>
      <c r="G75" s="92">
        <f>IF(G72&lt;G73,5/3+3/8*G74-1/8*G74^3,23/12)</f>
        <v>1.755213521237483</v>
      </c>
      <c r="H75" s="92">
        <f>IF(H72&lt;H73,5/3+3/8*H74-1/8*H74^3,23/12)</f>
        <v>1.8306084060332053</v>
      </c>
      <c r="I75" s="92">
        <f>IF(I72&lt;I73,5/3+3/8*I74-1/8*I74^3,23/12)</f>
        <v>1.8673275433112564</v>
      </c>
    </row>
    <row r="76" spans="1:9" s="37" customFormat="1" ht="31.5" customHeight="1">
      <c r="A76" s="38"/>
      <c r="B76" s="57" t="s">
        <v>614</v>
      </c>
      <c r="C76" s="56" t="s">
        <v>2</v>
      </c>
      <c r="D76" s="100" t="s">
        <v>10</v>
      </c>
      <c r="E76" s="95">
        <f>IF(E72&lt;E73,(1-0.5*(E74*E74))*E4/E75,3.14*3.14*2000000/(E72*E72))</f>
        <v>1387.6450768143873</v>
      </c>
      <c r="F76" s="95">
        <f>IF(F72&lt;F73,(1-0.5*(F74*F74))*F4/F75,3.14*3.14*2000000/(F72*F72))</f>
        <v>1387.6450768143873</v>
      </c>
      <c r="G76" s="95">
        <f>IF(G72&lt;G73,(1-0.5*(G74*G74))*G4/G75,3.14*3.14*2000000/(G72*G72))</f>
        <v>1327.719491962703</v>
      </c>
      <c r="H76" s="95">
        <f>IF(H72&lt;H73,(1-0.5*(H74*H74))*H4/H75,3.14*3.14*2000000/(H72*H72))</f>
        <v>1164.8175497017317</v>
      </c>
      <c r="I76" s="95">
        <f>IF(I72&lt;I73,(1-0.5*(I74*I74))*I4/I75,3.14*3.14*2000000/(I72*I72))</f>
        <v>1045.1907644637386</v>
      </c>
    </row>
    <row r="77" spans="1:9" s="133" customFormat="1" ht="31.5" customHeight="1">
      <c r="A77" s="131"/>
      <c r="B77" s="132" t="s">
        <v>642</v>
      </c>
      <c r="C77" s="131"/>
      <c r="D77" s="131"/>
      <c r="E77" s="96" t="str">
        <f>IF(E76&gt;E71,"O.K","N.K")</f>
        <v>O.K</v>
      </c>
      <c r="F77" s="96" t="str">
        <f>IF(F76&gt;F71,"O.K","N.K")</f>
        <v>O.K</v>
      </c>
      <c r="G77" s="96" t="str">
        <f>IF(G76&gt;G71,"O.K","N.K")</f>
        <v>O.K</v>
      </c>
      <c r="H77" s="96" t="str">
        <f>IF(H76&gt;H71,"O.K","N.K")</f>
        <v>O.K</v>
      </c>
      <c r="I77" s="96" t="str">
        <f>IF(I76&gt;I71,"O.K","N.K")</f>
        <v>O.K</v>
      </c>
    </row>
    <row r="78" spans="1:9" s="37" customFormat="1" ht="22.5">
      <c r="A78" s="38"/>
      <c r="B78" s="57"/>
      <c r="C78" s="38"/>
      <c r="D78" s="38"/>
      <c r="E78" s="39"/>
      <c r="F78" s="39"/>
      <c r="G78" s="39"/>
      <c r="H78" s="39"/>
      <c r="I78" s="39"/>
    </row>
    <row r="79" spans="1:9" s="37" customFormat="1" ht="14.25">
      <c r="A79" s="38"/>
      <c r="B79" s="38"/>
      <c r="C79" s="38"/>
      <c r="D79" s="38"/>
      <c r="E79" s="39"/>
      <c r="F79" s="39"/>
      <c r="G79" s="39"/>
      <c r="H79" s="39"/>
      <c r="I79" s="39"/>
    </row>
    <row r="80" spans="5:9" s="37" customFormat="1" ht="14.25">
      <c r="E80" s="44"/>
      <c r="F80" s="44"/>
      <c r="G80" s="44"/>
      <c r="H80" s="44"/>
      <c r="I80" s="44"/>
    </row>
    <row r="81" spans="5:9" s="37" customFormat="1" ht="14.25">
      <c r="E81" s="44"/>
      <c r="F81" s="44"/>
      <c r="G81" s="44"/>
      <c r="H81" s="44"/>
      <c r="I81" s="44"/>
    </row>
    <row r="82" spans="5:9" s="37" customFormat="1" ht="14.25">
      <c r="E82" s="44"/>
      <c r="F82" s="44"/>
      <c r="G82" s="44"/>
      <c r="H82" s="44"/>
      <c r="I82" s="44"/>
    </row>
    <row r="83" spans="5:9" s="37" customFormat="1" ht="14.25">
      <c r="E83" s="44"/>
      <c r="F83" s="44"/>
      <c r="G83" s="44"/>
      <c r="H83" s="44"/>
      <c r="I83" s="44"/>
    </row>
    <row r="84" spans="5:9" s="37" customFormat="1" ht="14.25">
      <c r="E84" s="44"/>
      <c r="F84" s="44"/>
      <c r="G84" s="44"/>
      <c r="H84" s="44"/>
      <c r="I84" s="44"/>
    </row>
    <row r="85" spans="5:9" s="37" customFormat="1" ht="14.25">
      <c r="E85" s="44"/>
      <c r="F85" s="44"/>
      <c r="G85" s="44"/>
      <c r="H85" s="44"/>
      <c r="I85" s="44"/>
    </row>
    <row r="86" spans="5:9" s="37" customFormat="1" ht="14.25">
      <c r="E86" s="44"/>
      <c r="F86" s="44"/>
      <c r="G86" s="44"/>
      <c r="H86" s="44"/>
      <c r="I86" s="44"/>
    </row>
    <row r="87" spans="5:9" s="37" customFormat="1" ht="14.25">
      <c r="E87" s="44"/>
      <c r="F87" s="44"/>
      <c r="G87" s="44"/>
      <c r="H87" s="44"/>
      <c r="I87" s="44"/>
    </row>
    <row r="88" spans="5:9" s="37" customFormat="1" ht="14.25">
      <c r="E88" s="44"/>
      <c r="F88" s="44"/>
      <c r="G88" s="44"/>
      <c r="H88" s="44"/>
      <c r="I88" s="44"/>
    </row>
    <row r="89" spans="5:9" s="37" customFormat="1" ht="14.25">
      <c r="E89" s="44"/>
      <c r="F89" s="44"/>
      <c r="G89" s="44"/>
      <c r="H89" s="44"/>
      <c r="I89" s="44"/>
    </row>
    <row r="90" spans="5:9" s="37" customFormat="1" ht="14.25">
      <c r="E90" s="44"/>
      <c r="F90" s="44"/>
      <c r="G90" s="44"/>
      <c r="H90" s="44"/>
      <c r="I90" s="44"/>
    </row>
    <row r="91" spans="5:9" s="37" customFormat="1" ht="14.25">
      <c r="E91" s="44"/>
      <c r="F91" s="44"/>
      <c r="G91" s="44"/>
      <c r="H91" s="44"/>
      <c r="I91" s="44"/>
    </row>
    <row r="92" spans="5:9" s="37" customFormat="1" ht="14.25">
      <c r="E92" s="44"/>
      <c r="F92" s="44"/>
      <c r="G92" s="44"/>
      <c r="H92" s="44"/>
      <c r="I92" s="44"/>
    </row>
    <row r="93" spans="5:9" s="37" customFormat="1" ht="14.25">
      <c r="E93" s="44"/>
      <c r="F93" s="44"/>
      <c r="G93" s="44"/>
      <c r="H93" s="44"/>
      <c r="I93" s="44"/>
    </row>
    <row r="94" spans="5:9" s="37" customFormat="1" ht="14.25">
      <c r="E94" s="44"/>
      <c r="F94" s="44"/>
      <c r="G94" s="44"/>
      <c r="H94" s="44"/>
      <c r="I94" s="44"/>
    </row>
    <row r="95" spans="5:9" s="37" customFormat="1" ht="14.25">
      <c r="E95" s="44"/>
      <c r="F95" s="44"/>
      <c r="G95" s="44"/>
      <c r="H95" s="44"/>
      <c r="I95" s="44"/>
    </row>
    <row r="96" spans="5:9" s="37" customFormat="1" ht="14.25">
      <c r="E96" s="44"/>
      <c r="F96" s="44"/>
      <c r="G96" s="44"/>
      <c r="H96" s="44"/>
      <c r="I96" s="44"/>
    </row>
    <row r="97" spans="5:9" s="37" customFormat="1" ht="14.25">
      <c r="E97" s="44"/>
      <c r="F97" s="44"/>
      <c r="G97" s="44"/>
      <c r="H97" s="44"/>
      <c r="I97" s="44"/>
    </row>
    <row r="98" spans="5:9" s="37" customFormat="1" ht="14.25">
      <c r="E98" s="44"/>
      <c r="F98" s="44"/>
      <c r="G98" s="44"/>
      <c r="H98" s="44"/>
      <c r="I98" s="44"/>
    </row>
    <row r="99" spans="5:9" s="37" customFormat="1" ht="14.25">
      <c r="E99" s="44"/>
      <c r="F99" s="44"/>
      <c r="G99" s="44"/>
      <c r="H99" s="44"/>
      <c r="I99" s="44"/>
    </row>
    <row r="100" spans="5:9" s="37" customFormat="1" ht="14.25">
      <c r="E100" s="44"/>
      <c r="F100" s="44"/>
      <c r="G100" s="44"/>
      <c r="H100" s="44"/>
      <c r="I100" s="44"/>
    </row>
    <row r="101" spans="5:9" s="37" customFormat="1" ht="14.25">
      <c r="E101" s="44"/>
      <c r="F101" s="44"/>
      <c r="G101" s="44"/>
      <c r="H101" s="44"/>
      <c r="I101" s="44"/>
    </row>
    <row r="102" spans="5:9" s="37" customFormat="1" ht="14.25">
      <c r="E102" s="44"/>
      <c r="F102" s="44"/>
      <c r="G102" s="44"/>
      <c r="H102" s="44"/>
      <c r="I102" s="44"/>
    </row>
    <row r="103" spans="5:9" s="37" customFormat="1" ht="14.25">
      <c r="E103" s="44"/>
      <c r="F103" s="44"/>
      <c r="G103" s="44"/>
      <c r="H103" s="44"/>
      <c r="I103" s="44"/>
    </row>
    <row r="104" spans="5:9" s="37" customFormat="1" ht="14.25">
      <c r="E104" s="44"/>
      <c r="F104" s="44"/>
      <c r="G104" s="44"/>
      <c r="H104" s="44"/>
      <c r="I104" s="44"/>
    </row>
    <row r="105" spans="5:9" s="37" customFormat="1" ht="14.25">
      <c r="E105" s="44"/>
      <c r="F105" s="44"/>
      <c r="G105" s="44"/>
      <c r="H105" s="44"/>
      <c r="I105" s="44"/>
    </row>
    <row r="106" spans="5:9" s="37" customFormat="1" ht="14.25">
      <c r="E106" s="44"/>
      <c r="F106" s="44"/>
      <c r="G106" s="44"/>
      <c r="H106" s="44"/>
      <c r="I106" s="44"/>
    </row>
    <row r="107" spans="5:9" s="37" customFormat="1" ht="14.25">
      <c r="E107" s="44"/>
      <c r="F107" s="44"/>
      <c r="G107" s="44"/>
      <c r="H107" s="44"/>
      <c r="I107" s="44"/>
    </row>
    <row r="108" spans="5:9" s="37" customFormat="1" ht="14.25">
      <c r="E108" s="44"/>
      <c r="F108" s="44"/>
      <c r="G108" s="44"/>
      <c r="H108" s="44"/>
      <c r="I108" s="44"/>
    </row>
    <row r="109" spans="5:9" s="37" customFormat="1" ht="14.25">
      <c r="E109" s="44"/>
      <c r="F109" s="44"/>
      <c r="G109" s="44"/>
      <c r="H109" s="44"/>
      <c r="I109" s="44"/>
    </row>
    <row r="110" spans="5:9" s="37" customFormat="1" ht="14.25">
      <c r="E110" s="44"/>
      <c r="F110" s="44"/>
      <c r="G110" s="44"/>
      <c r="H110" s="44"/>
      <c r="I110" s="44"/>
    </row>
    <row r="111" spans="5:9" s="37" customFormat="1" ht="14.25">
      <c r="E111" s="44"/>
      <c r="F111" s="44"/>
      <c r="G111" s="44"/>
      <c r="H111" s="44"/>
      <c r="I111" s="44"/>
    </row>
    <row r="112" spans="5:9" s="37" customFormat="1" ht="14.25">
      <c r="E112" s="44"/>
      <c r="F112" s="44"/>
      <c r="G112" s="44"/>
      <c r="H112" s="44"/>
      <c r="I112" s="44"/>
    </row>
    <row r="113" spans="5:9" s="37" customFormat="1" ht="14.25">
      <c r="E113" s="44"/>
      <c r="F113" s="44"/>
      <c r="G113" s="44"/>
      <c r="H113" s="44"/>
      <c r="I113" s="44"/>
    </row>
    <row r="114" spans="5:9" s="37" customFormat="1" ht="14.25">
      <c r="E114" s="44"/>
      <c r="F114" s="44"/>
      <c r="G114" s="44"/>
      <c r="H114" s="44"/>
      <c r="I114" s="44"/>
    </row>
    <row r="115" spans="5:9" s="37" customFormat="1" ht="14.25">
      <c r="E115" s="44"/>
      <c r="F115" s="44"/>
      <c r="G115" s="44"/>
      <c r="H115" s="44"/>
      <c r="I115" s="44"/>
    </row>
    <row r="116" spans="5:9" s="37" customFormat="1" ht="14.25">
      <c r="E116" s="44"/>
      <c r="F116" s="44"/>
      <c r="G116" s="44"/>
      <c r="H116" s="44"/>
      <c r="I116" s="44"/>
    </row>
    <row r="117" spans="5:9" s="37" customFormat="1" ht="14.25">
      <c r="E117" s="44"/>
      <c r="F117" s="44"/>
      <c r="G117" s="44"/>
      <c r="H117" s="44"/>
      <c r="I117" s="44"/>
    </row>
    <row r="118" spans="5:9" s="37" customFormat="1" ht="14.25">
      <c r="E118" s="44"/>
      <c r="F118" s="44"/>
      <c r="G118" s="44"/>
      <c r="H118" s="44"/>
      <c r="I118" s="44"/>
    </row>
    <row r="119" spans="5:9" s="37" customFormat="1" ht="14.25">
      <c r="E119" s="44"/>
      <c r="F119" s="44"/>
      <c r="G119" s="44"/>
      <c r="H119" s="44"/>
      <c r="I119" s="44"/>
    </row>
  </sheetData>
  <dataValidations count="1">
    <dataValidation type="list" allowBlank="1" showInputMessage="1" showErrorMessage="1" sqref="E3:I3">
      <formula1>st_name</formula1>
    </dataValidation>
  </dataValidations>
  <printOptions/>
  <pageMargins left="0.94" right="0.41" top="0.26" bottom="0.3" header="0.17" footer="0.17"/>
  <pageSetup horizontalDpi="600" verticalDpi="600" orientation="landscape" paperSize="9" scale="25" r:id="rId5"/>
  <drawing r:id="rId4"/>
  <legacyDrawing r:id="rId3"/>
  <oleObjects>
    <oleObject progId="Equation.3" shapeId="1164786" r:id="rId1"/>
    <oleObject progId="MSPhotoEd.3" shapeId="1164787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474"/>
  <sheetViews>
    <sheetView workbookViewId="0" topLeftCell="H325">
      <selection activeCell="T338" sqref="T338"/>
    </sheetView>
  </sheetViews>
  <sheetFormatPr defaultColWidth="9.140625" defaultRowHeight="21.75"/>
  <cols>
    <col min="1" max="1" width="24.00390625" style="2" customWidth="1"/>
    <col min="2" max="2" width="20.57421875" style="2" customWidth="1"/>
    <col min="3" max="3" width="19.421875" style="2" customWidth="1"/>
    <col min="4" max="4" width="10.140625" style="2" bestFit="1" customWidth="1"/>
    <col min="5" max="5" width="6.00390625" style="2" bestFit="1" customWidth="1"/>
    <col min="6" max="6" width="5.7109375" style="2" bestFit="1" customWidth="1"/>
    <col min="7" max="7" width="27.7109375" style="2" customWidth="1"/>
    <col min="8" max="8" width="8.28125" style="2" bestFit="1" customWidth="1"/>
    <col min="9" max="9" width="5.8515625" style="2" bestFit="1" customWidth="1"/>
    <col min="10" max="10" width="7.57421875" style="2" bestFit="1" customWidth="1"/>
    <col min="11" max="11" width="7.140625" style="2" bestFit="1" customWidth="1"/>
    <col min="12" max="12" width="7.00390625" style="2" bestFit="1" customWidth="1"/>
    <col min="13" max="13" width="9.00390625" style="2" bestFit="1" customWidth="1"/>
    <col min="14" max="14" width="10.00390625" style="2" bestFit="1" customWidth="1"/>
    <col min="15" max="15" width="9.00390625" style="27" bestFit="1" customWidth="1"/>
    <col min="16" max="16" width="8.57421875" style="29" bestFit="1" customWidth="1"/>
    <col min="17" max="17" width="9.00390625" style="2" bestFit="1" customWidth="1"/>
    <col min="18" max="18" width="4.8515625" style="2" bestFit="1" customWidth="1"/>
    <col min="19" max="19" width="5.140625" style="2" bestFit="1" customWidth="1"/>
    <col min="20" max="20" width="9.140625" style="2" customWidth="1"/>
    <col min="21" max="21" width="6.00390625" style="2" bestFit="1" customWidth="1"/>
    <col min="22" max="22" width="7.00390625" style="2" bestFit="1" customWidth="1"/>
    <col min="24" max="16384" width="9.140625" style="2" customWidth="1"/>
  </cols>
  <sheetData>
    <row r="1" spans="1:22" ht="21.75">
      <c r="A1" s="1" t="s">
        <v>362</v>
      </c>
      <c r="B1" s="1" t="s">
        <v>363</v>
      </c>
      <c r="C1" s="1" t="s">
        <v>364</v>
      </c>
      <c r="D1" s="1" t="s">
        <v>18</v>
      </c>
      <c r="E1" s="1" t="s">
        <v>365</v>
      </c>
      <c r="F1" s="1" t="s">
        <v>19</v>
      </c>
      <c r="G1" s="1" t="s">
        <v>14</v>
      </c>
      <c r="H1" s="1" t="s">
        <v>366</v>
      </c>
      <c r="I1" s="1" t="s">
        <v>16</v>
      </c>
      <c r="J1" s="1" t="s">
        <v>17</v>
      </c>
      <c r="K1" s="1" t="s">
        <v>367</v>
      </c>
      <c r="L1" s="1" t="s">
        <v>368</v>
      </c>
      <c r="M1" s="1" t="s">
        <v>369</v>
      </c>
      <c r="N1" s="1" t="s">
        <v>370</v>
      </c>
      <c r="O1" s="23" t="s">
        <v>371</v>
      </c>
      <c r="P1" s="28" t="s">
        <v>372</v>
      </c>
      <c r="Q1" s="1" t="s">
        <v>373</v>
      </c>
      <c r="R1" s="1" t="s">
        <v>374</v>
      </c>
      <c r="S1" s="1" t="s">
        <v>375</v>
      </c>
      <c r="T1" s="2" t="s">
        <v>688</v>
      </c>
      <c r="U1" s="1" t="s">
        <v>376</v>
      </c>
      <c r="V1" s="1" t="s">
        <v>377</v>
      </c>
    </row>
    <row r="2" spans="1:22" ht="21.75">
      <c r="A2" s="3">
        <v>0</v>
      </c>
      <c r="B2" s="4" t="s">
        <v>378</v>
      </c>
      <c r="C2" s="4" t="s">
        <v>378</v>
      </c>
      <c r="D2" s="3">
        <v>125</v>
      </c>
      <c r="E2" s="3">
        <v>4.51</v>
      </c>
      <c r="F2" s="3">
        <v>50</v>
      </c>
      <c r="G2" s="4" t="s">
        <v>397</v>
      </c>
      <c r="H2" s="3" t="b">
        <v>1</v>
      </c>
      <c r="I2" s="3">
        <v>2.3</v>
      </c>
      <c r="J2" s="3">
        <v>2.3</v>
      </c>
      <c r="K2" s="3">
        <v>5.747</v>
      </c>
      <c r="L2" s="3">
        <v>137</v>
      </c>
      <c r="M2" s="3">
        <v>20.6</v>
      </c>
      <c r="N2" s="3">
        <v>4.88</v>
      </c>
      <c r="O2" s="24">
        <v>1.89</v>
      </c>
      <c r="P2" s="29">
        <v>21.9</v>
      </c>
      <c r="Q2" s="3">
        <v>6.22</v>
      </c>
      <c r="R2" s="3"/>
      <c r="S2" s="3"/>
      <c r="U2" s="3"/>
      <c r="V2" s="3"/>
    </row>
    <row r="3" spans="1:22" ht="21.75">
      <c r="A3" s="3">
        <v>0</v>
      </c>
      <c r="B3" s="4" t="s">
        <v>378</v>
      </c>
      <c r="C3" s="4" t="s">
        <v>378</v>
      </c>
      <c r="D3" s="3">
        <v>150</v>
      </c>
      <c r="E3" s="3">
        <v>4.93</v>
      </c>
      <c r="F3" s="3">
        <v>50</v>
      </c>
      <c r="G3" s="4" t="s">
        <v>398</v>
      </c>
      <c r="H3" s="3" t="b">
        <v>1</v>
      </c>
      <c r="I3" s="3">
        <v>2.3</v>
      </c>
      <c r="J3" s="3">
        <v>2.3</v>
      </c>
      <c r="K3" s="3">
        <v>6.322</v>
      </c>
      <c r="L3" s="3">
        <v>210</v>
      </c>
      <c r="M3" s="3">
        <v>21.9</v>
      </c>
      <c r="N3" s="3">
        <v>5.77</v>
      </c>
      <c r="O3" s="25">
        <v>1.86</v>
      </c>
      <c r="P3" s="30">
        <v>28</v>
      </c>
      <c r="Q3" s="3">
        <v>6.33</v>
      </c>
      <c r="R3" s="3"/>
      <c r="S3" s="3"/>
      <c r="U3" s="3"/>
      <c r="V3" s="3"/>
    </row>
    <row r="4" spans="1:22" ht="21.75">
      <c r="A4" s="3">
        <v>0</v>
      </c>
      <c r="B4" s="4" t="s">
        <v>378</v>
      </c>
      <c r="C4" s="4" t="s">
        <v>378</v>
      </c>
      <c r="D4" s="3">
        <v>125</v>
      </c>
      <c r="E4" s="3">
        <v>9.02</v>
      </c>
      <c r="F4" s="3">
        <v>50</v>
      </c>
      <c r="G4" s="4" t="s">
        <v>399</v>
      </c>
      <c r="H4" s="3" t="b">
        <v>1</v>
      </c>
      <c r="I4" s="3">
        <v>2.3</v>
      </c>
      <c r="J4" s="3">
        <v>2.3</v>
      </c>
      <c r="K4" s="3">
        <v>11.494</v>
      </c>
      <c r="L4" s="3">
        <v>274</v>
      </c>
      <c r="M4" s="3">
        <v>41.2</v>
      </c>
      <c r="N4" s="3">
        <v>9.76</v>
      </c>
      <c r="O4" s="25">
        <v>3.78</v>
      </c>
      <c r="P4" s="30">
        <v>43.8</v>
      </c>
      <c r="Q4" s="3">
        <v>12.44</v>
      </c>
      <c r="R4" s="3"/>
      <c r="S4" s="3"/>
      <c r="U4" s="3"/>
      <c r="V4" s="3"/>
    </row>
    <row r="5" spans="1:22" ht="21.75">
      <c r="A5" s="3">
        <v>0</v>
      </c>
      <c r="B5" s="4" t="s">
        <v>378</v>
      </c>
      <c r="C5" s="4" t="s">
        <v>378</v>
      </c>
      <c r="D5" s="3">
        <v>200</v>
      </c>
      <c r="E5" s="3">
        <v>9.52</v>
      </c>
      <c r="F5" s="3">
        <v>75</v>
      </c>
      <c r="G5" s="4" t="s">
        <v>395</v>
      </c>
      <c r="H5" s="3" t="b">
        <v>1</v>
      </c>
      <c r="I5" s="3">
        <v>3.2</v>
      </c>
      <c r="J5" s="3">
        <v>3.2</v>
      </c>
      <c r="K5" s="3">
        <v>12.13</v>
      </c>
      <c r="L5" s="3">
        <v>736</v>
      </c>
      <c r="M5" s="3">
        <v>92.3</v>
      </c>
      <c r="N5" s="3">
        <v>7.7</v>
      </c>
      <c r="O5" s="24">
        <v>2.76</v>
      </c>
      <c r="P5" s="29">
        <v>73.6</v>
      </c>
      <c r="Q5" s="3">
        <v>17.8</v>
      </c>
      <c r="R5" s="3"/>
      <c r="S5" s="3"/>
      <c r="U5" s="3"/>
      <c r="V5" s="3"/>
    </row>
    <row r="6" spans="1:22" ht="21.75">
      <c r="A6" s="3">
        <v>0</v>
      </c>
      <c r="B6" s="4" t="s">
        <v>378</v>
      </c>
      <c r="C6" s="4" t="s">
        <v>378</v>
      </c>
      <c r="D6" s="3">
        <v>150</v>
      </c>
      <c r="E6" s="3">
        <v>9.86</v>
      </c>
      <c r="F6" s="3">
        <v>50</v>
      </c>
      <c r="G6" s="4" t="s">
        <v>392</v>
      </c>
      <c r="H6" s="3" t="b">
        <v>1</v>
      </c>
      <c r="I6" s="3">
        <v>2.3</v>
      </c>
      <c r="J6" s="3">
        <v>2.3</v>
      </c>
      <c r="K6" s="3">
        <v>12.644</v>
      </c>
      <c r="L6" s="3">
        <v>420</v>
      </c>
      <c r="M6" s="3">
        <v>43.8</v>
      </c>
      <c r="N6" s="3">
        <v>11.54</v>
      </c>
      <c r="O6" s="24">
        <v>3.72</v>
      </c>
      <c r="P6" s="29">
        <v>56</v>
      </c>
      <c r="Q6" s="3">
        <v>12.66</v>
      </c>
      <c r="R6" s="3"/>
      <c r="S6" s="3"/>
      <c r="U6" s="3"/>
      <c r="V6" s="3"/>
    </row>
    <row r="7" spans="1:22" ht="21.75">
      <c r="A7" s="3">
        <v>0</v>
      </c>
      <c r="B7" s="4" t="s">
        <v>378</v>
      </c>
      <c r="C7" s="4" t="s">
        <v>378</v>
      </c>
      <c r="D7" s="3">
        <v>200</v>
      </c>
      <c r="E7" s="3">
        <v>11.7</v>
      </c>
      <c r="F7" s="3">
        <v>75</v>
      </c>
      <c r="G7" s="4" t="s">
        <v>396</v>
      </c>
      <c r="H7" s="3" t="b">
        <v>1</v>
      </c>
      <c r="I7" s="3">
        <v>4</v>
      </c>
      <c r="J7" s="3">
        <v>4</v>
      </c>
      <c r="K7" s="3">
        <v>14.95</v>
      </c>
      <c r="L7" s="3">
        <v>895</v>
      </c>
      <c r="M7" s="3">
        <v>110</v>
      </c>
      <c r="N7" s="3">
        <v>7.74</v>
      </c>
      <c r="O7" s="24">
        <v>2.72</v>
      </c>
      <c r="P7" s="29">
        <v>89.5</v>
      </c>
      <c r="Q7" s="3">
        <v>21.3</v>
      </c>
      <c r="R7" s="3"/>
      <c r="S7" s="3"/>
      <c r="U7" s="3"/>
      <c r="V7" s="3"/>
    </row>
    <row r="8" spans="1:22" ht="21.75">
      <c r="A8" s="3">
        <v>0</v>
      </c>
      <c r="B8" s="4" t="s">
        <v>378</v>
      </c>
      <c r="C8" s="4" t="s">
        <v>378</v>
      </c>
      <c r="D8" s="3">
        <v>150</v>
      </c>
      <c r="E8" s="3">
        <f>8.27*2</f>
        <v>16.54</v>
      </c>
      <c r="F8" s="3">
        <v>75</v>
      </c>
      <c r="G8" s="4" t="s">
        <v>393</v>
      </c>
      <c r="H8" s="3" t="b">
        <v>1</v>
      </c>
      <c r="I8" s="3">
        <v>3.2</v>
      </c>
      <c r="J8" s="3">
        <v>3.2</v>
      </c>
      <c r="K8" s="3">
        <f>10.53*2</f>
        <v>21.06</v>
      </c>
      <c r="L8" s="3">
        <f>375*2</f>
        <v>750</v>
      </c>
      <c r="M8" s="3">
        <f>83.6*2</f>
        <v>167.2</v>
      </c>
      <c r="N8" s="3">
        <f>5.97*2</f>
        <v>11.94</v>
      </c>
      <c r="O8" s="24">
        <f>2.82*2</f>
        <v>5.64</v>
      </c>
      <c r="P8" s="29">
        <f>50*2</f>
        <v>100</v>
      </c>
      <c r="Q8" s="3">
        <f>17.3*2</f>
        <v>34.6</v>
      </c>
      <c r="R8" s="3"/>
      <c r="S8" s="3"/>
      <c r="U8" s="3"/>
      <c r="V8" s="3"/>
    </row>
    <row r="9" spans="1:22" ht="21.75">
      <c r="A9" s="3">
        <v>0</v>
      </c>
      <c r="B9" s="4" t="s">
        <v>378</v>
      </c>
      <c r="C9" s="4" t="s">
        <v>378</v>
      </c>
      <c r="D9" s="3">
        <v>150</v>
      </c>
      <c r="E9" s="3">
        <f>10.2*2</f>
        <v>20.4</v>
      </c>
      <c r="F9" s="3">
        <v>75</v>
      </c>
      <c r="G9" s="4" t="s">
        <v>394</v>
      </c>
      <c r="H9" s="3" t="b">
        <v>1</v>
      </c>
      <c r="I9" s="3">
        <v>4</v>
      </c>
      <c r="J9" s="3">
        <v>4</v>
      </c>
      <c r="K9" s="3">
        <f>12.95*2</f>
        <v>25.9</v>
      </c>
      <c r="L9" s="3">
        <f>455*2</f>
        <v>910</v>
      </c>
      <c r="M9" s="3">
        <f>99.8*2</f>
        <v>199.6</v>
      </c>
      <c r="N9" s="3">
        <f>5.93*2</f>
        <v>11.86</v>
      </c>
      <c r="O9" s="24">
        <f>2.78*2</f>
        <v>5.56</v>
      </c>
      <c r="P9" s="29">
        <f>60.6*2</f>
        <v>121.2</v>
      </c>
      <c r="Q9" s="3">
        <f>20.6*2</f>
        <v>41.2</v>
      </c>
      <c r="R9" s="3"/>
      <c r="S9" s="3"/>
      <c r="U9" s="3"/>
      <c r="V9" s="3"/>
    </row>
    <row r="10" spans="1:22" ht="21.75">
      <c r="A10"/>
      <c r="B10" t="s">
        <v>403</v>
      </c>
      <c r="C10" t="s">
        <v>403</v>
      </c>
      <c r="D10">
        <v>21.7</v>
      </c>
      <c r="E10">
        <f>7850*K10/100/100</f>
        <v>0.9734</v>
      </c>
      <c r="F10">
        <v>21.7</v>
      </c>
      <c r="G10" t="s">
        <v>404</v>
      </c>
      <c r="H10" s="3" t="b">
        <v>1</v>
      </c>
      <c r="I10">
        <v>2</v>
      </c>
      <c r="J10">
        <v>2</v>
      </c>
      <c r="K10">
        <v>1.24</v>
      </c>
      <c r="L10">
        <v>0.6</v>
      </c>
      <c r="M10">
        <v>0.6</v>
      </c>
      <c r="N10">
        <f>SQRT(L10/K10)</f>
        <v>0.6956083436402524</v>
      </c>
      <c r="O10" s="26">
        <f>SQRT(M10/K10)</f>
        <v>0.6956083436402524</v>
      </c>
      <c r="P10" s="31">
        <f aca="true" t="shared" si="0" ref="P10:P41">L10/U10</f>
        <v>0.5529953917050692</v>
      </c>
      <c r="Q10">
        <f aca="true" t="shared" si="1" ref="Q10:Q41">M10/V10</f>
        <v>0.5529953917050692</v>
      </c>
      <c r="R10"/>
      <c r="S10"/>
      <c r="T10"/>
      <c r="U10" s="5">
        <f>F10/10/2</f>
        <v>1.085</v>
      </c>
      <c r="V10" s="5">
        <f>F10/10/2</f>
        <v>1.085</v>
      </c>
    </row>
    <row r="11" spans="1:22" ht="21.75">
      <c r="A11"/>
      <c r="B11" t="s">
        <v>403</v>
      </c>
      <c r="C11" t="s">
        <v>403</v>
      </c>
      <c r="D11">
        <v>27.2</v>
      </c>
      <c r="E11">
        <f aca="true" t="shared" si="2" ref="E11:E74">7850*K11/100/100</f>
        <v>1.2403</v>
      </c>
      <c r="F11">
        <v>27.2</v>
      </c>
      <c r="G11" t="s">
        <v>405</v>
      </c>
      <c r="H11" s="3" t="b">
        <v>1</v>
      </c>
      <c r="I11">
        <v>2</v>
      </c>
      <c r="J11">
        <v>2</v>
      </c>
      <c r="K11">
        <v>1.58</v>
      </c>
      <c r="L11">
        <v>1.26</v>
      </c>
      <c r="M11">
        <v>1.26</v>
      </c>
      <c r="N11">
        <f>SQRT(L11/K11)</f>
        <v>0.8930108366813807</v>
      </c>
      <c r="O11" s="26">
        <f>SQRT(M11/K11)</f>
        <v>0.8930108366813807</v>
      </c>
      <c r="P11" s="31">
        <f t="shared" si="0"/>
        <v>0.9264705882352942</v>
      </c>
      <c r="Q11">
        <f t="shared" si="1"/>
        <v>0.9264705882352942</v>
      </c>
      <c r="R11"/>
      <c r="S11"/>
      <c r="T11"/>
      <c r="U11" s="5">
        <f aca="true" t="shared" si="3" ref="U11:U74">F11/10/2</f>
        <v>1.3599999999999999</v>
      </c>
      <c r="V11" s="5">
        <f aca="true" t="shared" si="4" ref="V11:V74">F11/10/2</f>
        <v>1.3599999999999999</v>
      </c>
    </row>
    <row r="12" spans="1:22" ht="21.75">
      <c r="A12"/>
      <c r="B12" t="s">
        <v>403</v>
      </c>
      <c r="C12" t="s">
        <v>403</v>
      </c>
      <c r="D12">
        <v>27.2</v>
      </c>
      <c r="E12">
        <f t="shared" si="2"/>
        <v>1.413</v>
      </c>
      <c r="F12">
        <v>27.2</v>
      </c>
      <c r="G12" t="s">
        <v>406</v>
      </c>
      <c r="H12" s="3" t="b">
        <v>1</v>
      </c>
      <c r="I12">
        <v>2.3</v>
      </c>
      <c r="J12">
        <v>2.3</v>
      </c>
      <c r="K12">
        <v>1.8</v>
      </c>
      <c r="L12">
        <v>1.41</v>
      </c>
      <c r="M12">
        <v>1.41</v>
      </c>
      <c r="N12">
        <f>SQRT(L12/K12)</f>
        <v>0.8850612031567835</v>
      </c>
      <c r="O12" s="26">
        <f>SQRT(M12/K12)</f>
        <v>0.8850612031567835</v>
      </c>
      <c r="P12" s="31">
        <f t="shared" si="0"/>
        <v>1.036764705882353</v>
      </c>
      <c r="Q12">
        <f t="shared" si="1"/>
        <v>1.036764705882353</v>
      </c>
      <c r="R12"/>
      <c r="S12"/>
      <c r="T12"/>
      <c r="U12" s="5">
        <f t="shared" si="3"/>
        <v>1.3599999999999999</v>
      </c>
      <c r="V12" s="5">
        <f t="shared" si="4"/>
        <v>1.3599999999999999</v>
      </c>
    </row>
    <row r="13" spans="1:22" ht="21.75">
      <c r="A13"/>
      <c r="B13" t="s">
        <v>403</v>
      </c>
      <c r="C13" t="s">
        <v>403</v>
      </c>
      <c r="D13">
        <v>34</v>
      </c>
      <c r="E13">
        <f t="shared" si="2"/>
        <v>1.79765</v>
      </c>
      <c r="F13">
        <v>34</v>
      </c>
      <c r="G13" t="s">
        <v>407</v>
      </c>
      <c r="H13" s="3" t="b">
        <v>1</v>
      </c>
      <c r="I13">
        <v>2.3</v>
      </c>
      <c r="J13">
        <v>2.3</v>
      </c>
      <c r="K13">
        <v>2.29</v>
      </c>
      <c r="L13">
        <v>2.89</v>
      </c>
      <c r="M13">
        <v>2.89</v>
      </c>
      <c r="N13">
        <f aca="true" t="shared" si="5" ref="N13:N76">SQRT(L13/K13)</f>
        <v>1.1233916207736525</v>
      </c>
      <c r="O13" s="26">
        <f aca="true" t="shared" si="6" ref="O13:O76">SQRT(M13/K13)</f>
        <v>1.1233916207736525</v>
      </c>
      <c r="P13" s="31">
        <f t="shared" si="0"/>
        <v>1.7000000000000002</v>
      </c>
      <c r="Q13">
        <f t="shared" si="1"/>
        <v>1.7000000000000002</v>
      </c>
      <c r="R13"/>
      <c r="S13"/>
      <c r="T13"/>
      <c r="U13" s="5">
        <f t="shared" si="3"/>
        <v>1.7</v>
      </c>
      <c r="V13" s="5">
        <f t="shared" si="4"/>
        <v>1.7</v>
      </c>
    </row>
    <row r="14" spans="1:22" ht="21.75">
      <c r="A14"/>
      <c r="B14" t="s">
        <v>403</v>
      </c>
      <c r="C14" t="s">
        <v>403</v>
      </c>
      <c r="D14">
        <v>42.7</v>
      </c>
      <c r="E14">
        <f t="shared" si="2"/>
        <v>2.2922</v>
      </c>
      <c r="F14">
        <v>42.7</v>
      </c>
      <c r="G14" t="s">
        <v>408</v>
      </c>
      <c r="H14" s="3" t="b">
        <v>1</v>
      </c>
      <c r="I14">
        <v>2.3</v>
      </c>
      <c r="J14">
        <v>2.3</v>
      </c>
      <c r="K14">
        <v>2.92</v>
      </c>
      <c r="L14">
        <v>5.97</v>
      </c>
      <c r="M14">
        <v>5.97</v>
      </c>
      <c r="N14">
        <f t="shared" si="5"/>
        <v>1.4298673183009694</v>
      </c>
      <c r="O14" s="26">
        <f t="shared" si="6"/>
        <v>1.4298673183009694</v>
      </c>
      <c r="P14" s="31">
        <f t="shared" si="0"/>
        <v>2.796252927400468</v>
      </c>
      <c r="Q14">
        <f t="shared" si="1"/>
        <v>2.796252927400468</v>
      </c>
      <c r="R14"/>
      <c r="S14"/>
      <c r="T14"/>
      <c r="U14" s="5">
        <f t="shared" si="3"/>
        <v>2.1350000000000002</v>
      </c>
      <c r="V14" s="5">
        <f t="shared" si="4"/>
        <v>2.1350000000000002</v>
      </c>
    </row>
    <row r="15" spans="1:22" ht="21.75">
      <c r="A15"/>
      <c r="B15" t="s">
        <v>403</v>
      </c>
      <c r="C15" t="s">
        <v>403</v>
      </c>
      <c r="D15">
        <v>42.7</v>
      </c>
      <c r="E15">
        <f t="shared" si="2"/>
        <v>2.4806</v>
      </c>
      <c r="F15">
        <v>42.7</v>
      </c>
      <c r="G15" t="s">
        <v>409</v>
      </c>
      <c r="H15" s="3" t="b">
        <v>1</v>
      </c>
      <c r="I15">
        <v>2.5</v>
      </c>
      <c r="J15">
        <v>2.5</v>
      </c>
      <c r="K15">
        <v>3.16</v>
      </c>
      <c r="L15">
        <v>6.4</v>
      </c>
      <c r="M15">
        <v>6.4</v>
      </c>
      <c r="N15">
        <f t="shared" si="5"/>
        <v>1.4231361339296402</v>
      </c>
      <c r="O15" s="26">
        <f t="shared" si="6"/>
        <v>1.4231361339296402</v>
      </c>
      <c r="P15" s="31">
        <f t="shared" si="0"/>
        <v>2.9976580796252925</v>
      </c>
      <c r="Q15">
        <f t="shared" si="1"/>
        <v>2.9976580796252925</v>
      </c>
      <c r="R15"/>
      <c r="S15"/>
      <c r="T15"/>
      <c r="U15" s="5">
        <f t="shared" si="3"/>
        <v>2.1350000000000002</v>
      </c>
      <c r="V15" s="5">
        <f t="shared" si="4"/>
        <v>2.1350000000000002</v>
      </c>
    </row>
    <row r="16" spans="1:22" ht="21.75">
      <c r="A16"/>
      <c r="B16" t="s">
        <v>403</v>
      </c>
      <c r="C16" t="s">
        <v>403</v>
      </c>
      <c r="D16">
        <v>42.7</v>
      </c>
      <c r="E16">
        <f t="shared" si="2"/>
        <v>2.7553500000000004</v>
      </c>
      <c r="F16">
        <v>42.7</v>
      </c>
      <c r="G16" t="s">
        <v>410</v>
      </c>
      <c r="H16" s="3" t="b">
        <v>1</v>
      </c>
      <c r="I16">
        <v>2.8</v>
      </c>
      <c r="J16">
        <v>2.8</v>
      </c>
      <c r="K16">
        <v>3.51</v>
      </c>
      <c r="L16">
        <v>7.02</v>
      </c>
      <c r="M16">
        <v>7.02</v>
      </c>
      <c r="N16">
        <f t="shared" si="5"/>
        <v>1.4142135623730951</v>
      </c>
      <c r="O16" s="26">
        <f t="shared" si="6"/>
        <v>1.4142135623730951</v>
      </c>
      <c r="P16" s="31">
        <f t="shared" si="0"/>
        <v>3.2880562060889926</v>
      </c>
      <c r="Q16">
        <f t="shared" si="1"/>
        <v>3.2880562060889926</v>
      </c>
      <c r="R16"/>
      <c r="S16"/>
      <c r="T16"/>
      <c r="U16" s="5">
        <f t="shared" si="3"/>
        <v>2.1350000000000002</v>
      </c>
      <c r="V16" s="5">
        <f t="shared" si="4"/>
        <v>2.1350000000000002</v>
      </c>
    </row>
    <row r="17" spans="2:22" ht="21.75">
      <c r="B17" t="s">
        <v>403</v>
      </c>
      <c r="C17" t="s">
        <v>403</v>
      </c>
      <c r="D17">
        <v>48.6</v>
      </c>
      <c r="E17">
        <f t="shared" si="2"/>
        <v>2.62975</v>
      </c>
      <c r="F17">
        <v>48.6</v>
      </c>
      <c r="G17" t="s">
        <v>411</v>
      </c>
      <c r="H17" s="3" t="b">
        <v>1</v>
      </c>
      <c r="I17">
        <v>2.3</v>
      </c>
      <c r="J17">
        <v>2.3</v>
      </c>
      <c r="K17">
        <v>3.35</v>
      </c>
      <c r="L17">
        <v>8.99</v>
      </c>
      <c r="M17">
        <v>8.99</v>
      </c>
      <c r="N17">
        <f t="shared" si="5"/>
        <v>1.6381642437656363</v>
      </c>
      <c r="O17" s="26">
        <f t="shared" si="6"/>
        <v>1.6381642437656363</v>
      </c>
      <c r="P17" s="31">
        <f t="shared" si="0"/>
        <v>3.699588477366255</v>
      </c>
      <c r="Q17">
        <f t="shared" si="1"/>
        <v>3.699588477366255</v>
      </c>
      <c r="U17" s="5">
        <f t="shared" si="3"/>
        <v>2.43</v>
      </c>
      <c r="V17" s="5">
        <f t="shared" si="4"/>
        <v>2.43</v>
      </c>
    </row>
    <row r="18" spans="2:22" ht="21.75">
      <c r="B18" t="s">
        <v>403</v>
      </c>
      <c r="C18" t="s">
        <v>403</v>
      </c>
      <c r="D18">
        <v>48.6</v>
      </c>
      <c r="E18">
        <f t="shared" si="2"/>
        <v>2.8417000000000003</v>
      </c>
      <c r="F18">
        <v>48.6</v>
      </c>
      <c r="G18" t="s">
        <v>412</v>
      </c>
      <c r="H18" s="3" t="b">
        <v>1</v>
      </c>
      <c r="I18">
        <v>2.5</v>
      </c>
      <c r="J18">
        <v>2.5</v>
      </c>
      <c r="K18">
        <v>3.62</v>
      </c>
      <c r="L18">
        <v>9.65</v>
      </c>
      <c r="M18">
        <v>9.65</v>
      </c>
      <c r="N18">
        <f t="shared" si="5"/>
        <v>1.6327111980854394</v>
      </c>
      <c r="O18" s="26">
        <f t="shared" si="6"/>
        <v>1.6327111980854394</v>
      </c>
      <c r="P18" s="31">
        <f t="shared" si="0"/>
        <v>3.97119341563786</v>
      </c>
      <c r="Q18">
        <f t="shared" si="1"/>
        <v>3.97119341563786</v>
      </c>
      <c r="U18" s="5">
        <f t="shared" si="3"/>
        <v>2.43</v>
      </c>
      <c r="V18" s="5">
        <f t="shared" si="4"/>
        <v>2.43</v>
      </c>
    </row>
    <row r="19" spans="2:22" ht="21.75">
      <c r="B19" t="s">
        <v>403</v>
      </c>
      <c r="C19" t="s">
        <v>403</v>
      </c>
      <c r="D19">
        <v>48.6</v>
      </c>
      <c r="E19">
        <f t="shared" si="2"/>
        <v>3.1635500000000003</v>
      </c>
      <c r="F19">
        <v>48.6</v>
      </c>
      <c r="G19" t="s">
        <v>413</v>
      </c>
      <c r="H19" s="3" t="b">
        <v>1</v>
      </c>
      <c r="I19">
        <v>2.8</v>
      </c>
      <c r="J19">
        <v>2.8</v>
      </c>
      <c r="K19">
        <v>4.03</v>
      </c>
      <c r="L19">
        <v>10.6</v>
      </c>
      <c r="M19">
        <v>10.6</v>
      </c>
      <c r="N19">
        <f t="shared" si="5"/>
        <v>1.621811626809229</v>
      </c>
      <c r="O19" s="26">
        <f t="shared" si="6"/>
        <v>1.621811626809229</v>
      </c>
      <c r="P19" s="31">
        <f t="shared" si="0"/>
        <v>4.3621399176954725</v>
      </c>
      <c r="Q19">
        <f t="shared" si="1"/>
        <v>4.3621399176954725</v>
      </c>
      <c r="U19" s="5">
        <f t="shared" si="3"/>
        <v>2.43</v>
      </c>
      <c r="V19" s="5">
        <f t="shared" si="4"/>
        <v>2.43</v>
      </c>
    </row>
    <row r="20" spans="2:22" ht="21.75">
      <c r="B20" t="s">
        <v>403</v>
      </c>
      <c r="C20" t="s">
        <v>403</v>
      </c>
      <c r="D20">
        <v>48.6</v>
      </c>
      <c r="E20">
        <f t="shared" si="2"/>
        <v>3.5795999999999997</v>
      </c>
      <c r="F20">
        <v>48.6</v>
      </c>
      <c r="G20" t="s">
        <v>414</v>
      </c>
      <c r="H20" s="3" t="b">
        <v>1</v>
      </c>
      <c r="I20">
        <v>3.2</v>
      </c>
      <c r="J20">
        <v>3.2</v>
      </c>
      <c r="K20">
        <v>4.56</v>
      </c>
      <c r="L20">
        <v>11.8</v>
      </c>
      <c r="M20">
        <v>11.8</v>
      </c>
      <c r="N20">
        <f t="shared" si="5"/>
        <v>1.6086389583264524</v>
      </c>
      <c r="O20" s="26">
        <f t="shared" si="6"/>
        <v>1.6086389583264524</v>
      </c>
      <c r="P20" s="31">
        <f t="shared" si="0"/>
        <v>4.8559670781893</v>
      </c>
      <c r="Q20">
        <f t="shared" si="1"/>
        <v>4.8559670781893</v>
      </c>
      <c r="U20" s="5">
        <f t="shared" si="3"/>
        <v>2.43</v>
      </c>
      <c r="V20" s="5">
        <f t="shared" si="4"/>
        <v>2.43</v>
      </c>
    </row>
    <row r="21" spans="2:22" ht="21.75">
      <c r="B21" t="s">
        <v>403</v>
      </c>
      <c r="C21" t="s">
        <v>403</v>
      </c>
      <c r="D21">
        <v>60.5</v>
      </c>
      <c r="E21">
        <f t="shared" si="2"/>
        <v>3.30485</v>
      </c>
      <c r="F21">
        <v>60.5</v>
      </c>
      <c r="G21" t="s">
        <v>415</v>
      </c>
      <c r="H21" s="3" t="b">
        <v>1</v>
      </c>
      <c r="I21">
        <v>2.3</v>
      </c>
      <c r="J21">
        <v>2.3</v>
      </c>
      <c r="K21">
        <v>4.21</v>
      </c>
      <c r="L21">
        <v>17.8</v>
      </c>
      <c r="M21">
        <v>17.8</v>
      </c>
      <c r="N21">
        <f t="shared" si="5"/>
        <v>2.056217037076326</v>
      </c>
      <c r="O21" s="26">
        <f t="shared" si="6"/>
        <v>2.056217037076326</v>
      </c>
      <c r="P21" s="31">
        <f t="shared" si="0"/>
        <v>5.884297520661158</v>
      </c>
      <c r="Q21">
        <f t="shared" si="1"/>
        <v>5.884297520661158</v>
      </c>
      <c r="U21" s="5">
        <f t="shared" si="3"/>
        <v>3.025</v>
      </c>
      <c r="V21" s="5">
        <f t="shared" si="4"/>
        <v>3.025</v>
      </c>
    </row>
    <row r="22" spans="2:22" ht="21.75">
      <c r="B22" t="s">
        <v>403</v>
      </c>
      <c r="C22" t="s">
        <v>403</v>
      </c>
      <c r="D22">
        <v>60.5</v>
      </c>
      <c r="E22">
        <f t="shared" si="2"/>
        <v>4.5216</v>
      </c>
      <c r="F22">
        <v>60.5</v>
      </c>
      <c r="G22" t="s">
        <v>416</v>
      </c>
      <c r="H22" s="3" t="b">
        <v>1</v>
      </c>
      <c r="I22">
        <v>3.2</v>
      </c>
      <c r="J22">
        <v>3.2</v>
      </c>
      <c r="K22">
        <v>5.76</v>
      </c>
      <c r="L22">
        <v>23.7</v>
      </c>
      <c r="M22">
        <v>23.7</v>
      </c>
      <c r="N22">
        <f t="shared" si="5"/>
        <v>2.0284435741063476</v>
      </c>
      <c r="O22" s="26">
        <f t="shared" si="6"/>
        <v>2.0284435741063476</v>
      </c>
      <c r="P22" s="31">
        <f t="shared" si="0"/>
        <v>7.8347107438016526</v>
      </c>
      <c r="Q22">
        <f t="shared" si="1"/>
        <v>7.8347107438016526</v>
      </c>
      <c r="U22" s="5">
        <f t="shared" si="3"/>
        <v>3.025</v>
      </c>
      <c r="V22" s="5">
        <f t="shared" si="4"/>
        <v>3.025</v>
      </c>
    </row>
    <row r="23" spans="2:22" ht="21.75">
      <c r="B23" t="s">
        <v>403</v>
      </c>
      <c r="C23" t="s">
        <v>403</v>
      </c>
      <c r="D23">
        <v>60.5</v>
      </c>
      <c r="E23">
        <f t="shared" si="2"/>
        <v>5.5735</v>
      </c>
      <c r="F23">
        <v>60.5</v>
      </c>
      <c r="G23" t="s">
        <v>417</v>
      </c>
      <c r="H23" s="3" t="b">
        <v>1</v>
      </c>
      <c r="I23">
        <v>3</v>
      </c>
      <c r="J23">
        <v>3</v>
      </c>
      <c r="K23">
        <v>7.1</v>
      </c>
      <c r="L23">
        <v>28.5</v>
      </c>
      <c r="M23">
        <v>28.5</v>
      </c>
      <c r="N23">
        <f t="shared" si="5"/>
        <v>2.0035180326221806</v>
      </c>
      <c r="O23" s="26">
        <f t="shared" si="6"/>
        <v>2.0035180326221806</v>
      </c>
      <c r="P23" s="31">
        <f t="shared" si="0"/>
        <v>9.421487603305785</v>
      </c>
      <c r="Q23">
        <f t="shared" si="1"/>
        <v>9.421487603305785</v>
      </c>
      <c r="U23" s="5">
        <f t="shared" si="3"/>
        <v>3.025</v>
      </c>
      <c r="V23" s="5">
        <f t="shared" si="4"/>
        <v>3.025</v>
      </c>
    </row>
    <row r="24" spans="2:22" ht="21.75">
      <c r="B24" t="s">
        <v>403</v>
      </c>
      <c r="C24" t="s">
        <v>403</v>
      </c>
      <c r="D24">
        <v>76.3</v>
      </c>
      <c r="E24">
        <f t="shared" si="2"/>
        <v>5.07895</v>
      </c>
      <c r="F24">
        <v>76.3</v>
      </c>
      <c r="G24" t="s">
        <v>418</v>
      </c>
      <c r="H24" s="3" t="b">
        <v>1</v>
      </c>
      <c r="I24">
        <v>2.8</v>
      </c>
      <c r="J24">
        <v>2.8</v>
      </c>
      <c r="K24">
        <v>6.47</v>
      </c>
      <c r="L24">
        <v>43.7</v>
      </c>
      <c r="M24">
        <v>43.7</v>
      </c>
      <c r="N24">
        <f t="shared" si="5"/>
        <v>2.598894069868713</v>
      </c>
      <c r="O24" s="26">
        <f t="shared" si="6"/>
        <v>2.598894069868713</v>
      </c>
      <c r="P24" s="31">
        <f t="shared" si="0"/>
        <v>11.45478374836173</v>
      </c>
      <c r="Q24">
        <f t="shared" si="1"/>
        <v>11.45478374836173</v>
      </c>
      <c r="U24" s="5">
        <f t="shared" si="3"/>
        <v>3.815</v>
      </c>
      <c r="V24" s="5">
        <f t="shared" si="4"/>
        <v>3.815</v>
      </c>
    </row>
    <row r="25" spans="2:22" ht="21.75">
      <c r="B25" t="s">
        <v>403</v>
      </c>
      <c r="C25" t="s">
        <v>403</v>
      </c>
      <c r="D25">
        <v>76.3</v>
      </c>
      <c r="E25">
        <f t="shared" si="2"/>
        <v>5.76975</v>
      </c>
      <c r="F25">
        <v>76.3</v>
      </c>
      <c r="G25" t="s">
        <v>419</v>
      </c>
      <c r="H25" s="3" t="b">
        <v>1</v>
      </c>
      <c r="I25">
        <v>3.2</v>
      </c>
      <c r="J25">
        <v>3.2</v>
      </c>
      <c r="K25">
        <v>7.35</v>
      </c>
      <c r="L25">
        <v>49.2</v>
      </c>
      <c r="M25">
        <v>49.2</v>
      </c>
      <c r="N25">
        <f t="shared" si="5"/>
        <v>2.5872528966106905</v>
      </c>
      <c r="O25" s="26">
        <f t="shared" si="6"/>
        <v>2.5872528966106905</v>
      </c>
      <c r="P25" s="31">
        <f t="shared" si="0"/>
        <v>12.89646133682831</v>
      </c>
      <c r="Q25">
        <f t="shared" si="1"/>
        <v>12.89646133682831</v>
      </c>
      <c r="U25" s="5">
        <f t="shared" si="3"/>
        <v>3.815</v>
      </c>
      <c r="V25" s="5">
        <f t="shared" si="4"/>
        <v>3.815</v>
      </c>
    </row>
    <row r="26" spans="2:22" ht="21.75">
      <c r="B26" t="s">
        <v>403</v>
      </c>
      <c r="C26" t="s">
        <v>403</v>
      </c>
      <c r="D26">
        <v>76.3</v>
      </c>
      <c r="E26">
        <f t="shared" si="2"/>
        <v>7.135650000000001</v>
      </c>
      <c r="F26">
        <v>76.3</v>
      </c>
      <c r="G26" t="s">
        <v>420</v>
      </c>
      <c r="H26" s="3" t="b">
        <v>1</v>
      </c>
      <c r="I26">
        <v>4</v>
      </c>
      <c r="J26">
        <v>4</v>
      </c>
      <c r="K26">
        <v>9.09</v>
      </c>
      <c r="L26">
        <v>59.5</v>
      </c>
      <c r="M26">
        <v>59.5</v>
      </c>
      <c r="N26">
        <f t="shared" si="5"/>
        <v>2.5584476866757595</v>
      </c>
      <c r="O26" s="26">
        <f t="shared" si="6"/>
        <v>2.5584476866757595</v>
      </c>
      <c r="P26" s="31">
        <f t="shared" si="0"/>
        <v>15.596330275229358</v>
      </c>
      <c r="Q26">
        <f t="shared" si="1"/>
        <v>15.596330275229358</v>
      </c>
      <c r="U26" s="5">
        <f t="shared" si="3"/>
        <v>3.815</v>
      </c>
      <c r="V26" s="5">
        <f t="shared" si="4"/>
        <v>3.815</v>
      </c>
    </row>
    <row r="27" spans="2:22" ht="21.75">
      <c r="B27" t="s">
        <v>403</v>
      </c>
      <c r="C27" t="s">
        <v>403</v>
      </c>
      <c r="D27">
        <v>89.1</v>
      </c>
      <c r="E27">
        <f t="shared" si="2"/>
        <v>5.958150000000001</v>
      </c>
      <c r="F27">
        <v>89.1</v>
      </c>
      <c r="G27" t="s">
        <v>421</v>
      </c>
      <c r="H27" s="3" t="b">
        <v>1</v>
      </c>
      <c r="I27">
        <v>2.8</v>
      </c>
      <c r="J27">
        <v>2.8</v>
      </c>
      <c r="K27">
        <v>7.59</v>
      </c>
      <c r="L27">
        <v>70.7</v>
      </c>
      <c r="M27">
        <v>70.7</v>
      </c>
      <c r="N27">
        <f t="shared" si="5"/>
        <v>3.0520301457456456</v>
      </c>
      <c r="O27" s="26">
        <f t="shared" si="6"/>
        <v>3.0520301457456456</v>
      </c>
      <c r="P27" s="31">
        <f t="shared" si="0"/>
        <v>15.869809203142538</v>
      </c>
      <c r="Q27">
        <f t="shared" si="1"/>
        <v>15.869809203142538</v>
      </c>
      <c r="U27" s="5">
        <f t="shared" si="3"/>
        <v>4.455</v>
      </c>
      <c r="V27" s="5">
        <f t="shared" si="4"/>
        <v>4.455</v>
      </c>
    </row>
    <row r="28" spans="2:22" ht="21.75">
      <c r="B28" t="s">
        <v>403</v>
      </c>
      <c r="C28" t="s">
        <v>403</v>
      </c>
      <c r="D28">
        <v>89.1</v>
      </c>
      <c r="E28">
        <f t="shared" si="2"/>
        <v>6.7824</v>
      </c>
      <c r="F28">
        <v>89.1</v>
      </c>
      <c r="G28" t="s">
        <v>422</v>
      </c>
      <c r="H28" s="3" t="b">
        <v>1</v>
      </c>
      <c r="I28">
        <v>3.2</v>
      </c>
      <c r="J28">
        <v>3.2</v>
      </c>
      <c r="K28">
        <v>8.64</v>
      </c>
      <c r="L28">
        <v>79.8</v>
      </c>
      <c r="M28">
        <v>79.8</v>
      </c>
      <c r="N28">
        <f t="shared" si="5"/>
        <v>3.0390970881350783</v>
      </c>
      <c r="O28" s="26">
        <f t="shared" si="6"/>
        <v>3.0390970881350783</v>
      </c>
      <c r="P28" s="31">
        <f t="shared" si="0"/>
        <v>17.91245791245791</v>
      </c>
      <c r="Q28">
        <f t="shared" si="1"/>
        <v>17.91245791245791</v>
      </c>
      <c r="U28" s="5">
        <f t="shared" si="3"/>
        <v>4.455</v>
      </c>
      <c r="V28" s="5">
        <f t="shared" si="4"/>
        <v>4.455</v>
      </c>
    </row>
    <row r="29" spans="2:22" ht="21.75">
      <c r="B29" t="s">
        <v>403</v>
      </c>
      <c r="C29" t="s">
        <v>403</v>
      </c>
      <c r="D29">
        <v>89.1</v>
      </c>
      <c r="E29">
        <f t="shared" si="2"/>
        <v>8.39165</v>
      </c>
      <c r="F29">
        <v>89.1</v>
      </c>
      <c r="G29" t="s">
        <v>423</v>
      </c>
      <c r="H29" s="3" t="b">
        <v>1</v>
      </c>
      <c r="I29">
        <v>4</v>
      </c>
      <c r="J29">
        <v>4</v>
      </c>
      <c r="K29">
        <v>10.69</v>
      </c>
      <c r="L29">
        <v>97</v>
      </c>
      <c r="M29">
        <v>97</v>
      </c>
      <c r="N29">
        <f t="shared" si="5"/>
        <v>3.0122916263051835</v>
      </c>
      <c r="O29" s="26">
        <f t="shared" si="6"/>
        <v>3.0122916263051835</v>
      </c>
      <c r="P29" s="31">
        <f t="shared" si="0"/>
        <v>21.773288439955106</v>
      </c>
      <c r="Q29">
        <f t="shared" si="1"/>
        <v>21.773288439955106</v>
      </c>
      <c r="U29" s="5">
        <f t="shared" si="3"/>
        <v>4.455</v>
      </c>
      <c r="V29" s="5">
        <f t="shared" si="4"/>
        <v>4.455</v>
      </c>
    </row>
    <row r="30" spans="2:22" ht="21.75">
      <c r="B30" t="s">
        <v>403</v>
      </c>
      <c r="C30" t="s">
        <v>403</v>
      </c>
      <c r="D30">
        <v>101.6</v>
      </c>
      <c r="E30">
        <f t="shared" si="2"/>
        <v>7.76365</v>
      </c>
      <c r="F30">
        <v>101.6</v>
      </c>
      <c r="G30" t="s">
        <v>424</v>
      </c>
      <c r="H30" s="3" t="b">
        <v>1</v>
      </c>
      <c r="I30">
        <v>3.2</v>
      </c>
      <c r="J30">
        <v>3.2</v>
      </c>
      <c r="K30">
        <v>9.89</v>
      </c>
      <c r="L30">
        <v>120</v>
      </c>
      <c r="M30">
        <v>120</v>
      </c>
      <c r="N30">
        <f t="shared" si="5"/>
        <v>3.483312812488437</v>
      </c>
      <c r="O30" s="26">
        <f t="shared" si="6"/>
        <v>3.483312812488437</v>
      </c>
      <c r="P30" s="31">
        <f t="shared" si="0"/>
        <v>23.62204724409449</v>
      </c>
      <c r="Q30">
        <f t="shared" si="1"/>
        <v>23.62204724409449</v>
      </c>
      <c r="U30" s="5">
        <f t="shared" si="3"/>
        <v>5.08</v>
      </c>
      <c r="V30" s="5">
        <f t="shared" si="4"/>
        <v>5.08</v>
      </c>
    </row>
    <row r="31" spans="2:22" ht="21.75">
      <c r="B31" t="s">
        <v>403</v>
      </c>
      <c r="C31" t="s">
        <v>403</v>
      </c>
      <c r="D31">
        <v>101.6</v>
      </c>
      <c r="E31">
        <f t="shared" si="2"/>
        <v>9.6241</v>
      </c>
      <c r="F31">
        <v>101.6</v>
      </c>
      <c r="G31" t="s">
        <v>425</v>
      </c>
      <c r="H31" s="3" t="b">
        <v>1</v>
      </c>
      <c r="I31">
        <v>4</v>
      </c>
      <c r="J31">
        <v>4</v>
      </c>
      <c r="K31">
        <v>12.26</v>
      </c>
      <c r="L31">
        <v>146</v>
      </c>
      <c r="M31">
        <v>146</v>
      </c>
      <c r="N31">
        <f t="shared" si="5"/>
        <v>3.45089061015597</v>
      </c>
      <c r="O31" s="26">
        <f t="shared" si="6"/>
        <v>3.45089061015597</v>
      </c>
      <c r="P31" s="31">
        <f t="shared" si="0"/>
        <v>28.74015748031496</v>
      </c>
      <c r="Q31">
        <f t="shared" si="1"/>
        <v>28.74015748031496</v>
      </c>
      <c r="U31" s="5">
        <f t="shared" si="3"/>
        <v>5.08</v>
      </c>
      <c r="V31" s="5">
        <f t="shared" si="4"/>
        <v>5.08</v>
      </c>
    </row>
    <row r="32" spans="2:22" ht="21.75">
      <c r="B32" t="s">
        <v>403</v>
      </c>
      <c r="C32" t="s">
        <v>403</v>
      </c>
      <c r="D32">
        <v>101.6</v>
      </c>
      <c r="E32">
        <f t="shared" si="2"/>
        <v>11.90845</v>
      </c>
      <c r="F32">
        <v>101.6</v>
      </c>
      <c r="G32" t="s">
        <v>426</v>
      </c>
      <c r="H32" s="3" t="b">
        <v>1</v>
      </c>
      <c r="I32">
        <v>5</v>
      </c>
      <c r="J32">
        <v>5</v>
      </c>
      <c r="K32">
        <v>15.17</v>
      </c>
      <c r="L32">
        <v>177</v>
      </c>
      <c r="M32">
        <v>177</v>
      </c>
      <c r="N32">
        <f t="shared" si="5"/>
        <v>3.4158110788364615</v>
      </c>
      <c r="O32" s="26">
        <f t="shared" si="6"/>
        <v>3.4158110788364615</v>
      </c>
      <c r="P32" s="31">
        <f t="shared" si="0"/>
        <v>34.84251968503937</v>
      </c>
      <c r="Q32">
        <f t="shared" si="1"/>
        <v>34.84251968503937</v>
      </c>
      <c r="U32" s="5">
        <f t="shared" si="3"/>
        <v>5.08</v>
      </c>
      <c r="V32" s="5">
        <f t="shared" si="4"/>
        <v>5.08</v>
      </c>
    </row>
    <row r="33" spans="2:22" ht="21.75">
      <c r="B33" t="s">
        <v>403</v>
      </c>
      <c r="C33" t="s">
        <v>403</v>
      </c>
      <c r="D33">
        <v>114.3</v>
      </c>
      <c r="E33">
        <f t="shared" si="2"/>
        <v>8.76845</v>
      </c>
      <c r="F33">
        <v>114.3</v>
      </c>
      <c r="G33" t="s">
        <v>427</v>
      </c>
      <c r="H33" s="3" t="b">
        <v>1</v>
      </c>
      <c r="I33">
        <v>3.2</v>
      </c>
      <c r="J33">
        <v>3.2</v>
      </c>
      <c r="K33">
        <v>11.17</v>
      </c>
      <c r="L33">
        <v>172</v>
      </c>
      <c r="M33">
        <v>172</v>
      </c>
      <c r="N33">
        <f t="shared" si="5"/>
        <v>3.9240780497760372</v>
      </c>
      <c r="O33" s="26">
        <f t="shared" si="6"/>
        <v>3.9240780497760372</v>
      </c>
      <c r="P33" s="31">
        <f t="shared" si="0"/>
        <v>30.096237970253718</v>
      </c>
      <c r="Q33">
        <f t="shared" si="1"/>
        <v>30.096237970253718</v>
      </c>
      <c r="U33" s="5">
        <f t="shared" si="3"/>
        <v>5.715</v>
      </c>
      <c r="V33" s="5">
        <f t="shared" si="4"/>
        <v>5.715</v>
      </c>
    </row>
    <row r="34" spans="2:22" ht="21.75">
      <c r="B34" t="s">
        <v>403</v>
      </c>
      <c r="C34" t="s">
        <v>403</v>
      </c>
      <c r="D34">
        <v>114.3</v>
      </c>
      <c r="E34">
        <f t="shared" si="2"/>
        <v>9.8282</v>
      </c>
      <c r="F34">
        <v>114.3</v>
      </c>
      <c r="G34" t="s">
        <v>428</v>
      </c>
      <c r="H34" s="3" t="b">
        <v>1</v>
      </c>
      <c r="I34">
        <v>3.6</v>
      </c>
      <c r="J34">
        <v>3.6</v>
      </c>
      <c r="K34">
        <v>12.52</v>
      </c>
      <c r="L34">
        <v>192</v>
      </c>
      <c r="M34">
        <v>192</v>
      </c>
      <c r="N34">
        <f t="shared" si="5"/>
        <v>3.9160519989890257</v>
      </c>
      <c r="O34" s="26">
        <f t="shared" si="6"/>
        <v>3.9160519989890257</v>
      </c>
      <c r="P34" s="31">
        <f t="shared" si="0"/>
        <v>33.59580052493438</v>
      </c>
      <c r="Q34">
        <f t="shared" si="1"/>
        <v>33.59580052493438</v>
      </c>
      <c r="U34" s="5">
        <f t="shared" si="3"/>
        <v>5.715</v>
      </c>
      <c r="V34" s="5">
        <f t="shared" si="4"/>
        <v>5.715</v>
      </c>
    </row>
    <row r="35" spans="2:22" ht="21.75">
      <c r="B35" t="s">
        <v>403</v>
      </c>
      <c r="C35" t="s">
        <v>403</v>
      </c>
      <c r="D35">
        <v>114.3</v>
      </c>
      <c r="E35">
        <f t="shared" si="2"/>
        <v>12.1832</v>
      </c>
      <c r="F35">
        <v>114.3</v>
      </c>
      <c r="G35" t="s">
        <v>429</v>
      </c>
      <c r="H35" s="3" t="b">
        <v>1</v>
      </c>
      <c r="I35">
        <v>4.5</v>
      </c>
      <c r="J35">
        <v>4.5</v>
      </c>
      <c r="K35">
        <v>15.52</v>
      </c>
      <c r="L35">
        <v>234</v>
      </c>
      <c r="M35">
        <v>234</v>
      </c>
      <c r="N35">
        <f t="shared" si="5"/>
        <v>3.8829524318009443</v>
      </c>
      <c r="O35" s="26">
        <f t="shared" si="6"/>
        <v>3.8829524318009443</v>
      </c>
      <c r="P35" s="31">
        <f t="shared" si="0"/>
        <v>40.94488188976378</v>
      </c>
      <c r="Q35">
        <f t="shared" si="1"/>
        <v>40.94488188976378</v>
      </c>
      <c r="U35" s="5">
        <f t="shared" si="3"/>
        <v>5.715</v>
      </c>
      <c r="V35" s="5">
        <f t="shared" si="4"/>
        <v>5.715</v>
      </c>
    </row>
    <row r="36" spans="2:22" ht="21.75">
      <c r="B36" t="s">
        <v>403</v>
      </c>
      <c r="C36" t="s">
        <v>403</v>
      </c>
      <c r="D36">
        <v>114.3</v>
      </c>
      <c r="E36">
        <f t="shared" si="2"/>
        <v>15.0092</v>
      </c>
      <c r="F36">
        <v>114.3</v>
      </c>
      <c r="G36" t="s">
        <v>430</v>
      </c>
      <c r="H36" s="3" t="b">
        <v>1</v>
      </c>
      <c r="I36">
        <v>5.6</v>
      </c>
      <c r="J36">
        <v>5.6</v>
      </c>
      <c r="K36">
        <v>19.12</v>
      </c>
      <c r="L36">
        <v>283</v>
      </c>
      <c r="M36">
        <v>283</v>
      </c>
      <c r="N36">
        <f t="shared" si="5"/>
        <v>3.8472399496425385</v>
      </c>
      <c r="O36" s="26">
        <f t="shared" si="6"/>
        <v>3.8472399496425385</v>
      </c>
      <c r="P36" s="31">
        <f t="shared" si="0"/>
        <v>49.51881014873141</v>
      </c>
      <c r="Q36">
        <f t="shared" si="1"/>
        <v>49.51881014873141</v>
      </c>
      <c r="U36" s="5">
        <f t="shared" si="3"/>
        <v>5.715</v>
      </c>
      <c r="V36" s="5">
        <f t="shared" si="4"/>
        <v>5.715</v>
      </c>
    </row>
    <row r="37" spans="2:22" ht="21.75">
      <c r="B37" t="s">
        <v>403</v>
      </c>
      <c r="C37" t="s">
        <v>403</v>
      </c>
      <c r="D37">
        <v>139.8</v>
      </c>
      <c r="E37">
        <f t="shared" si="2"/>
        <v>12.089</v>
      </c>
      <c r="F37">
        <v>139.8</v>
      </c>
      <c r="G37" t="s">
        <v>431</v>
      </c>
      <c r="H37" s="3" t="b">
        <v>1</v>
      </c>
      <c r="I37">
        <v>3.6</v>
      </c>
      <c r="J37">
        <v>3.6</v>
      </c>
      <c r="K37">
        <v>15.4</v>
      </c>
      <c r="L37">
        <v>357</v>
      </c>
      <c r="M37">
        <v>357</v>
      </c>
      <c r="N37">
        <f t="shared" si="5"/>
        <v>4.814750064314676</v>
      </c>
      <c r="O37" s="26">
        <f t="shared" si="6"/>
        <v>4.814750064314676</v>
      </c>
      <c r="P37" s="31">
        <f t="shared" si="0"/>
        <v>51.072961373390555</v>
      </c>
      <c r="Q37">
        <f t="shared" si="1"/>
        <v>51.072961373390555</v>
      </c>
      <c r="U37" s="5">
        <f t="shared" si="3"/>
        <v>6.99</v>
      </c>
      <c r="V37" s="5">
        <f t="shared" si="4"/>
        <v>6.99</v>
      </c>
    </row>
    <row r="38" spans="2:22" ht="21.75">
      <c r="B38" t="s">
        <v>403</v>
      </c>
      <c r="C38" t="s">
        <v>403</v>
      </c>
      <c r="D38">
        <v>139.8</v>
      </c>
      <c r="E38">
        <f t="shared" si="2"/>
        <v>13.399949999999999</v>
      </c>
      <c r="F38">
        <v>139.8</v>
      </c>
      <c r="G38" t="s">
        <v>432</v>
      </c>
      <c r="H38" s="3" t="b">
        <v>1</v>
      </c>
      <c r="I38">
        <v>4</v>
      </c>
      <c r="J38">
        <v>4</v>
      </c>
      <c r="K38">
        <v>17.07</v>
      </c>
      <c r="L38">
        <v>394</v>
      </c>
      <c r="M38">
        <v>394</v>
      </c>
      <c r="N38">
        <f t="shared" si="5"/>
        <v>4.804313625099707</v>
      </c>
      <c r="O38" s="26">
        <f t="shared" si="6"/>
        <v>4.804313625099707</v>
      </c>
      <c r="P38" s="31">
        <f t="shared" si="0"/>
        <v>56.366237482117306</v>
      </c>
      <c r="Q38">
        <f t="shared" si="1"/>
        <v>56.366237482117306</v>
      </c>
      <c r="U38" s="5">
        <f t="shared" si="3"/>
        <v>6.99</v>
      </c>
      <c r="V38" s="5">
        <f t="shared" si="4"/>
        <v>6.99</v>
      </c>
    </row>
    <row r="39" spans="2:22" ht="21.75">
      <c r="B39" t="s">
        <v>403</v>
      </c>
      <c r="C39" t="s">
        <v>403</v>
      </c>
      <c r="D39">
        <v>139.8</v>
      </c>
      <c r="E39">
        <f t="shared" si="2"/>
        <v>15.01705</v>
      </c>
      <c r="F39">
        <v>139.8</v>
      </c>
      <c r="G39" t="s">
        <v>433</v>
      </c>
      <c r="H39" s="3" t="b">
        <v>1</v>
      </c>
      <c r="I39">
        <v>4.5</v>
      </c>
      <c r="J39">
        <v>4.5</v>
      </c>
      <c r="K39">
        <v>19.13</v>
      </c>
      <c r="L39">
        <v>438</v>
      </c>
      <c r="M39">
        <v>438</v>
      </c>
      <c r="N39">
        <f t="shared" si="5"/>
        <v>4.7849738670676825</v>
      </c>
      <c r="O39" s="26">
        <f t="shared" si="6"/>
        <v>4.7849738670676825</v>
      </c>
      <c r="P39" s="31">
        <f t="shared" si="0"/>
        <v>62.66094420600858</v>
      </c>
      <c r="Q39">
        <f t="shared" si="1"/>
        <v>62.66094420600858</v>
      </c>
      <c r="U39" s="5">
        <f t="shared" si="3"/>
        <v>6.99</v>
      </c>
      <c r="V39" s="5">
        <f t="shared" si="4"/>
        <v>6.99</v>
      </c>
    </row>
    <row r="40" spans="2:22" ht="21.75">
      <c r="B40" t="s">
        <v>403</v>
      </c>
      <c r="C40" t="s">
        <v>403</v>
      </c>
      <c r="D40">
        <v>139.8</v>
      </c>
      <c r="E40">
        <f t="shared" si="2"/>
        <v>19.7977</v>
      </c>
      <c r="F40">
        <v>139.8</v>
      </c>
      <c r="G40" t="s">
        <v>434</v>
      </c>
      <c r="H40" s="3" t="b">
        <v>1</v>
      </c>
      <c r="I40">
        <v>6</v>
      </c>
      <c r="J40">
        <v>6</v>
      </c>
      <c r="K40">
        <v>25.22</v>
      </c>
      <c r="L40">
        <v>566</v>
      </c>
      <c r="M40">
        <v>566</v>
      </c>
      <c r="N40">
        <f t="shared" si="5"/>
        <v>4.737352208529633</v>
      </c>
      <c r="O40" s="26">
        <f t="shared" si="6"/>
        <v>4.737352208529633</v>
      </c>
      <c r="P40" s="31">
        <f t="shared" si="0"/>
        <v>80.97281831187411</v>
      </c>
      <c r="Q40">
        <f t="shared" si="1"/>
        <v>80.97281831187411</v>
      </c>
      <c r="U40" s="5">
        <f t="shared" si="3"/>
        <v>6.99</v>
      </c>
      <c r="V40" s="5">
        <f t="shared" si="4"/>
        <v>6.99</v>
      </c>
    </row>
    <row r="41" spans="2:22" ht="21.75">
      <c r="B41" t="s">
        <v>403</v>
      </c>
      <c r="C41" t="s">
        <v>403</v>
      </c>
      <c r="D41">
        <v>165.2</v>
      </c>
      <c r="E41">
        <f t="shared" si="2"/>
        <v>17.8352</v>
      </c>
      <c r="F41">
        <v>165.2</v>
      </c>
      <c r="G41" t="s">
        <v>435</v>
      </c>
      <c r="H41" s="3" t="b">
        <v>1</v>
      </c>
      <c r="I41">
        <v>4.5</v>
      </c>
      <c r="J41">
        <v>4.5</v>
      </c>
      <c r="K41">
        <v>22.72</v>
      </c>
      <c r="L41">
        <v>734</v>
      </c>
      <c r="M41">
        <v>734</v>
      </c>
      <c r="N41">
        <f t="shared" si="5"/>
        <v>5.683866468185984</v>
      </c>
      <c r="O41" s="26">
        <f t="shared" si="6"/>
        <v>5.683866468185984</v>
      </c>
      <c r="P41" s="31">
        <f t="shared" si="0"/>
        <v>88.86198547215497</v>
      </c>
      <c r="Q41">
        <f t="shared" si="1"/>
        <v>88.86198547215497</v>
      </c>
      <c r="U41" s="5">
        <f t="shared" si="3"/>
        <v>8.26</v>
      </c>
      <c r="V41" s="5">
        <f t="shared" si="4"/>
        <v>8.26</v>
      </c>
    </row>
    <row r="42" spans="2:22" ht="21.75">
      <c r="B42" t="s">
        <v>403</v>
      </c>
      <c r="C42" t="s">
        <v>403</v>
      </c>
      <c r="D42">
        <v>165.2</v>
      </c>
      <c r="E42">
        <f t="shared" si="2"/>
        <v>19.7506</v>
      </c>
      <c r="F42">
        <v>165.2</v>
      </c>
      <c r="G42" t="s">
        <v>436</v>
      </c>
      <c r="H42" s="3" t="b">
        <v>1</v>
      </c>
      <c r="I42">
        <v>5</v>
      </c>
      <c r="J42">
        <v>5</v>
      </c>
      <c r="K42">
        <v>25.16</v>
      </c>
      <c r="L42">
        <v>808</v>
      </c>
      <c r="M42">
        <v>808</v>
      </c>
      <c r="N42">
        <f t="shared" si="5"/>
        <v>5.666962802823489</v>
      </c>
      <c r="O42" s="26">
        <f t="shared" si="6"/>
        <v>5.666962802823489</v>
      </c>
      <c r="P42" s="31">
        <f aca="true" t="shared" si="7" ref="P42:P73">L42/U42</f>
        <v>97.82082324455206</v>
      </c>
      <c r="Q42">
        <f aca="true" t="shared" si="8" ref="Q42:Q73">M42/V42</f>
        <v>97.82082324455206</v>
      </c>
      <c r="U42" s="5">
        <f t="shared" si="3"/>
        <v>8.26</v>
      </c>
      <c r="V42" s="5">
        <f t="shared" si="4"/>
        <v>8.26</v>
      </c>
    </row>
    <row r="43" spans="2:22" ht="21.75">
      <c r="B43" t="s">
        <v>403</v>
      </c>
      <c r="C43" t="s">
        <v>403</v>
      </c>
      <c r="D43">
        <v>165.2</v>
      </c>
      <c r="E43">
        <f t="shared" si="2"/>
        <v>23.55785</v>
      </c>
      <c r="F43">
        <v>165.2</v>
      </c>
      <c r="G43" t="s">
        <v>437</v>
      </c>
      <c r="H43" s="3" t="b">
        <v>1</v>
      </c>
      <c r="I43">
        <v>6</v>
      </c>
      <c r="J43">
        <v>6</v>
      </c>
      <c r="K43">
        <v>30.01</v>
      </c>
      <c r="L43">
        <v>952</v>
      </c>
      <c r="M43">
        <v>952</v>
      </c>
      <c r="N43">
        <f t="shared" si="5"/>
        <v>5.632296075341438</v>
      </c>
      <c r="O43" s="26">
        <f t="shared" si="6"/>
        <v>5.632296075341438</v>
      </c>
      <c r="P43" s="31">
        <f t="shared" si="7"/>
        <v>115.2542372881356</v>
      </c>
      <c r="Q43">
        <f t="shared" si="8"/>
        <v>115.2542372881356</v>
      </c>
      <c r="U43" s="5">
        <f t="shared" si="3"/>
        <v>8.26</v>
      </c>
      <c r="V43" s="5">
        <f t="shared" si="4"/>
        <v>8.26</v>
      </c>
    </row>
    <row r="44" spans="2:22" ht="21.75">
      <c r="B44" t="s">
        <v>403</v>
      </c>
      <c r="C44" t="s">
        <v>403</v>
      </c>
      <c r="D44">
        <v>165.2</v>
      </c>
      <c r="E44">
        <f t="shared" si="2"/>
        <v>27.31015</v>
      </c>
      <c r="F44">
        <v>165.2</v>
      </c>
      <c r="G44" t="s">
        <v>438</v>
      </c>
      <c r="H44" s="3" t="b">
        <v>1</v>
      </c>
      <c r="I44">
        <v>7</v>
      </c>
      <c r="J44">
        <v>7</v>
      </c>
      <c r="K44">
        <v>34.79</v>
      </c>
      <c r="L44">
        <v>1090</v>
      </c>
      <c r="M44">
        <v>1090</v>
      </c>
      <c r="N44">
        <f t="shared" si="5"/>
        <v>5.597396019224774</v>
      </c>
      <c r="O44" s="26">
        <f t="shared" si="6"/>
        <v>5.597396019224774</v>
      </c>
      <c r="P44" s="31">
        <f t="shared" si="7"/>
        <v>131.96125907990316</v>
      </c>
      <c r="Q44">
        <f t="shared" si="8"/>
        <v>131.96125907990316</v>
      </c>
      <c r="U44" s="5">
        <f t="shared" si="3"/>
        <v>8.26</v>
      </c>
      <c r="V44" s="5">
        <f t="shared" si="4"/>
        <v>8.26</v>
      </c>
    </row>
    <row r="45" spans="2:22" ht="21.75">
      <c r="B45" t="s">
        <v>403</v>
      </c>
      <c r="C45" t="s">
        <v>403</v>
      </c>
      <c r="D45">
        <v>190.7</v>
      </c>
      <c r="E45">
        <f t="shared" si="2"/>
        <v>20.661199999999997</v>
      </c>
      <c r="F45">
        <v>190.7</v>
      </c>
      <c r="G45" t="s">
        <v>439</v>
      </c>
      <c r="H45" s="3" t="b">
        <v>1</v>
      </c>
      <c r="I45">
        <v>4.5</v>
      </c>
      <c r="J45">
        <v>4.5</v>
      </c>
      <c r="K45">
        <v>26.32</v>
      </c>
      <c r="L45">
        <v>1140</v>
      </c>
      <c r="M45">
        <v>1140</v>
      </c>
      <c r="N45">
        <f t="shared" si="5"/>
        <v>6.581266588493023</v>
      </c>
      <c r="O45" s="26">
        <f t="shared" si="6"/>
        <v>6.581266588493023</v>
      </c>
      <c r="P45" s="31">
        <f t="shared" si="7"/>
        <v>119.55951756685894</v>
      </c>
      <c r="Q45">
        <f t="shared" si="8"/>
        <v>119.55951756685894</v>
      </c>
      <c r="U45" s="5">
        <f t="shared" si="3"/>
        <v>9.535</v>
      </c>
      <c r="V45" s="5">
        <f t="shared" si="4"/>
        <v>9.535</v>
      </c>
    </row>
    <row r="46" spans="2:22" ht="21.75">
      <c r="B46" t="s">
        <v>403</v>
      </c>
      <c r="C46" t="s">
        <v>403</v>
      </c>
      <c r="D46">
        <v>190.7</v>
      </c>
      <c r="E46">
        <f t="shared" si="2"/>
        <v>22.898449999999997</v>
      </c>
      <c r="F46">
        <v>190.7</v>
      </c>
      <c r="G46" t="s">
        <v>440</v>
      </c>
      <c r="H46" s="3" t="b">
        <v>1</v>
      </c>
      <c r="I46">
        <v>5</v>
      </c>
      <c r="J46">
        <v>5</v>
      </c>
      <c r="K46">
        <v>29.17</v>
      </c>
      <c r="L46">
        <v>1260</v>
      </c>
      <c r="M46">
        <v>1260</v>
      </c>
      <c r="N46">
        <f t="shared" si="5"/>
        <v>6.572295141069311</v>
      </c>
      <c r="O46" s="26">
        <f t="shared" si="6"/>
        <v>6.572295141069311</v>
      </c>
      <c r="P46" s="31">
        <f t="shared" si="7"/>
        <v>132.14472994231778</v>
      </c>
      <c r="Q46">
        <f t="shared" si="8"/>
        <v>132.14472994231778</v>
      </c>
      <c r="U46" s="5">
        <f t="shared" si="3"/>
        <v>9.535</v>
      </c>
      <c r="V46" s="5">
        <f t="shared" si="4"/>
        <v>9.535</v>
      </c>
    </row>
    <row r="47" spans="2:22" ht="21.75">
      <c r="B47" t="s">
        <v>403</v>
      </c>
      <c r="C47" t="s">
        <v>403</v>
      </c>
      <c r="D47">
        <v>190.7</v>
      </c>
      <c r="E47">
        <f t="shared" si="2"/>
        <v>27.3337</v>
      </c>
      <c r="F47">
        <v>190.7</v>
      </c>
      <c r="G47" t="s">
        <v>441</v>
      </c>
      <c r="H47" s="3" t="b">
        <v>1</v>
      </c>
      <c r="I47">
        <v>6</v>
      </c>
      <c r="J47">
        <v>6</v>
      </c>
      <c r="K47">
        <v>34.82</v>
      </c>
      <c r="L47">
        <v>1490</v>
      </c>
      <c r="M47">
        <v>1490</v>
      </c>
      <c r="N47">
        <f t="shared" si="5"/>
        <v>6.541521163951561</v>
      </c>
      <c r="O47" s="26">
        <f t="shared" si="6"/>
        <v>6.541521163951561</v>
      </c>
      <c r="P47" s="31">
        <f t="shared" si="7"/>
        <v>156.26638699528056</v>
      </c>
      <c r="Q47">
        <f t="shared" si="8"/>
        <v>156.26638699528056</v>
      </c>
      <c r="U47" s="5">
        <f t="shared" si="3"/>
        <v>9.535</v>
      </c>
      <c r="V47" s="5">
        <f t="shared" si="4"/>
        <v>9.535</v>
      </c>
    </row>
    <row r="48" spans="2:22" ht="21.75">
      <c r="B48" t="s">
        <v>403</v>
      </c>
      <c r="C48" t="s">
        <v>403</v>
      </c>
      <c r="D48">
        <v>190.7</v>
      </c>
      <c r="E48">
        <f t="shared" si="2"/>
        <v>31.714000000000002</v>
      </c>
      <c r="F48">
        <v>190.7</v>
      </c>
      <c r="G48" t="s">
        <v>442</v>
      </c>
      <c r="H48" s="3" t="b">
        <v>1</v>
      </c>
      <c r="I48">
        <v>7</v>
      </c>
      <c r="J48">
        <v>7</v>
      </c>
      <c r="K48">
        <v>40.4</v>
      </c>
      <c r="L48">
        <v>1710</v>
      </c>
      <c r="M48">
        <v>1710</v>
      </c>
      <c r="N48">
        <f t="shared" si="5"/>
        <v>6.505899835785003</v>
      </c>
      <c r="O48" s="26">
        <f t="shared" si="6"/>
        <v>6.505899835785003</v>
      </c>
      <c r="P48" s="31">
        <f t="shared" si="7"/>
        <v>179.3392763502884</v>
      </c>
      <c r="Q48">
        <f t="shared" si="8"/>
        <v>179.3392763502884</v>
      </c>
      <c r="U48" s="5">
        <f t="shared" si="3"/>
        <v>9.535</v>
      </c>
      <c r="V48" s="5">
        <f t="shared" si="4"/>
        <v>9.535</v>
      </c>
    </row>
    <row r="49" spans="2:22" ht="21.75">
      <c r="B49" t="s">
        <v>403</v>
      </c>
      <c r="C49" t="s">
        <v>403</v>
      </c>
      <c r="D49">
        <v>216.3</v>
      </c>
      <c r="E49">
        <f t="shared" si="2"/>
        <v>23.5029</v>
      </c>
      <c r="F49">
        <v>216.3</v>
      </c>
      <c r="G49" t="s">
        <v>443</v>
      </c>
      <c r="H49" s="3" t="b">
        <v>1</v>
      </c>
      <c r="I49">
        <v>4.5</v>
      </c>
      <c r="J49">
        <v>4.5</v>
      </c>
      <c r="K49">
        <v>29.94</v>
      </c>
      <c r="L49">
        <v>1680</v>
      </c>
      <c r="M49">
        <v>1680</v>
      </c>
      <c r="N49">
        <f t="shared" si="5"/>
        <v>7.490809332034676</v>
      </c>
      <c r="O49" s="26">
        <f t="shared" si="6"/>
        <v>7.490809332034676</v>
      </c>
      <c r="P49" s="31">
        <f t="shared" si="7"/>
        <v>155.3398058252427</v>
      </c>
      <c r="Q49">
        <f t="shared" si="8"/>
        <v>155.3398058252427</v>
      </c>
      <c r="U49" s="5">
        <f t="shared" si="3"/>
        <v>10.815000000000001</v>
      </c>
      <c r="V49" s="5">
        <f t="shared" si="4"/>
        <v>10.815000000000001</v>
      </c>
    </row>
    <row r="50" spans="2:22" ht="21.75">
      <c r="B50" t="s">
        <v>403</v>
      </c>
      <c r="C50" t="s">
        <v>403</v>
      </c>
      <c r="D50">
        <v>216.3</v>
      </c>
      <c r="E50">
        <f t="shared" si="2"/>
        <v>31.093850000000003</v>
      </c>
      <c r="F50">
        <v>216.3</v>
      </c>
      <c r="G50" t="s">
        <v>444</v>
      </c>
      <c r="H50" s="3" t="b">
        <v>1</v>
      </c>
      <c r="I50">
        <v>6</v>
      </c>
      <c r="J50">
        <v>6</v>
      </c>
      <c r="K50">
        <v>39.61</v>
      </c>
      <c r="L50">
        <v>2190</v>
      </c>
      <c r="M50">
        <v>2190</v>
      </c>
      <c r="N50">
        <f t="shared" si="5"/>
        <v>7.435661935367046</v>
      </c>
      <c r="O50" s="26">
        <f t="shared" si="6"/>
        <v>7.435661935367046</v>
      </c>
      <c r="P50" s="31">
        <f t="shared" si="7"/>
        <v>202.49653259361995</v>
      </c>
      <c r="Q50">
        <f t="shared" si="8"/>
        <v>202.49653259361995</v>
      </c>
      <c r="U50" s="5">
        <f t="shared" si="3"/>
        <v>10.815000000000001</v>
      </c>
      <c r="V50" s="5">
        <f t="shared" si="4"/>
        <v>10.815000000000001</v>
      </c>
    </row>
    <row r="51" spans="2:22" ht="21.75">
      <c r="B51" t="s">
        <v>403</v>
      </c>
      <c r="C51" t="s">
        <v>403</v>
      </c>
      <c r="D51">
        <v>216.3</v>
      </c>
      <c r="E51">
        <f t="shared" si="2"/>
        <v>36.13355</v>
      </c>
      <c r="F51">
        <v>216.3</v>
      </c>
      <c r="G51" t="s">
        <v>445</v>
      </c>
      <c r="H51" s="3" t="b">
        <v>1</v>
      </c>
      <c r="I51">
        <v>7</v>
      </c>
      <c r="J51">
        <v>7</v>
      </c>
      <c r="K51">
        <v>46.03</v>
      </c>
      <c r="L51">
        <v>2520</v>
      </c>
      <c r="M51">
        <v>2520</v>
      </c>
      <c r="N51">
        <f t="shared" si="5"/>
        <v>7.399115095260896</v>
      </c>
      <c r="O51" s="26">
        <f t="shared" si="6"/>
        <v>7.399115095260896</v>
      </c>
      <c r="P51" s="31">
        <f t="shared" si="7"/>
        <v>233.00970873786406</v>
      </c>
      <c r="Q51">
        <f t="shared" si="8"/>
        <v>233.00970873786406</v>
      </c>
      <c r="U51" s="5">
        <f t="shared" si="3"/>
        <v>10.815000000000001</v>
      </c>
      <c r="V51" s="5">
        <f t="shared" si="4"/>
        <v>10.815000000000001</v>
      </c>
    </row>
    <row r="52" spans="2:22" ht="21.75">
      <c r="B52" t="s">
        <v>403</v>
      </c>
      <c r="C52" t="s">
        <v>403</v>
      </c>
      <c r="D52">
        <v>216.3</v>
      </c>
      <c r="E52">
        <f t="shared" si="2"/>
        <v>41.094750000000005</v>
      </c>
      <c r="F52">
        <v>216.3</v>
      </c>
      <c r="G52" t="s">
        <v>446</v>
      </c>
      <c r="H52" s="3" t="b">
        <v>1</v>
      </c>
      <c r="I52">
        <v>8</v>
      </c>
      <c r="J52">
        <v>8</v>
      </c>
      <c r="K52">
        <v>52.35</v>
      </c>
      <c r="L52">
        <v>2840</v>
      </c>
      <c r="M52">
        <v>2840</v>
      </c>
      <c r="N52">
        <f t="shared" si="5"/>
        <v>7.365476140580418</v>
      </c>
      <c r="O52" s="26">
        <f t="shared" si="6"/>
        <v>7.365476140580418</v>
      </c>
      <c r="P52" s="31">
        <f t="shared" si="7"/>
        <v>262.59824318076744</v>
      </c>
      <c r="Q52">
        <f t="shared" si="8"/>
        <v>262.59824318076744</v>
      </c>
      <c r="U52" s="5">
        <f t="shared" si="3"/>
        <v>10.815000000000001</v>
      </c>
      <c r="V52" s="5">
        <f t="shared" si="4"/>
        <v>10.815000000000001</v>
      </c>
    </row>
    <row r="53" spans="2:22" ht="21.75">
      <c r="B53" t="s">
        <v>403</v>
      </c>
      <c r="C53" t="s">
        <v>403</v>
      </c>
      <c r="D53">
        <v>267.4</v>
      </c>
      <c r="E53">
        <f t="shared" si="2"/>
        <v>38.676950000000005</v>
      </c>
      <c r="F53">
        <v>267.4</v>
      </c>
      <c r="G53" t="s">
        <v>447</v>
      </c>
      <c r="H53" s="3" t="b">
        <v>1</v>
      </c>
      <c r="I53">
        <v>6</v>
      </c>
      <c r="J53">
        <v>6</v>
      </c>
      <c r="K53">
        <v>49.27</v>
      </c>
      <c r="L53">
        <v>4210</v>
      </c>
      <c r="M53">
        <v>4210</v>
      </c>
      <c r="N53">
        <f t="shared" si="5"/>
        <v>9.243783532533994</v>
      </c>
      <c r="O53" s="26">
        <f t="shared" si="6"/>
        <v>9.243783532533994</v>
      </c>
      <c r="P53" s="31">
        <f t="shared" si="7"/>
        <v>314.8840688107704</v>
      </c>
      <c r="Q53">
        <f t="shared" si="8"/>
        <v>314.8840688107704</v>
      </c>
      <c r="U53" s="5">
        <f t="shared" si="3"/>
        <v>13.37</v>
      </c>
      <c r="V53" s="5">
        <f t="shared" si="4"/>
        <v>13.37</v>
      </c>
    </row>
    <row r="54" spans="2:22" ht="21.75">
      <c r="B54" t="s">
        <v>403</v>
      </c>
      <c r="C54" t="s">
        <v>403</v>
      </c>
      <c r="D54">
        <v>267.4</v>
      </c>
      <c r="E54">
        <f t="shared" si="2"/>
        <v>44.95695</v>
      </c>
      <c r="F54">
        <v>267.4</v>
      </c>
      <c r="G54" t="s">
        <v>448</v>
      </c>
      <c r="H54" s="3" t="b">
        <v>1</v>
      </c>
      <c r="I54">
        <v>7</v>
      </c>
      <c r="J54">
        <v>7</v>
      </c>
      <c r="K54">
        <v>57.27</v>
      </c>
      <c r="L54">
        <v>4860</v>
      </c>
      <c r="M54">
        <v>4860</v>
      </c>
      <c r="N54">
        <f t="shared" si="5"/>
        <v>9.212013019199352</v>
      </c>
      <c r="O54" s="26">
        <f t="shared" si="6"/>
        <v>9.212013019199352</v>
      </c>
      <c r="P54" s="31">
        <f t="shared" si="7"/>
        <v>363.5003739715782</v>
      </c>
      <c r="Q54">
        <f t="shared" si="8"/>
        <v>363.5003739715782</v>
      </c>
      <c r="U54" s="5">
        <f t="shared" si="3"/>
        <v>13.37</v>
      </c>
      <c r="V54" s="5">
        <f t="shared" si="4"/>
        <v>13.37</v>
      </c>
    </row>
    <row r="55" spans="2:22" ht="21.75">
      <c r="B55" t="s">
        <v>403</v>
      </c>
      <c r="C55" t="s">
        <v>403</v>
      </c>
      <c r="D55">
        <v>267.4</v>
      </c>
      <c r="E55">
        <f t="shared" si="2"/>
        <v>51.17415</v>
      </c>
      <c r="F55">
        <v>267.4</v>
      </c>
      <c r="G55" t="s">
        <v>449</v>
      </c>
      <c r="H55" s="3" t="b">
        <v>1</v>
      </c>
      <c r="I55">
        <v>8</v>
      </c>
      <c r="J55">
        <v>8</v>
      </c>
      <c r="K55">
        <v>65.19</v>
      </c>
      <c r="L55">
        <v>5490</v>
      </c>
      <c r="M55">
        <v>5490</v>
      </c>
      <c r="N55">
        <f t="shared" si="5"/>
        <v>9.176893289975173</v>
      </c>
      <c r="O55" s="26">
        <f t="shared" si="6"/>
        <v>9.176893289975173</v>
      </c>
      <c r="P55" s="31">
        <f t="shared" si="7"/>
        <v>410.6207928197457</v>
      </c>
      <c r="Q55">
        <f t="shared" si="8"/>
        <v>410.6207928197457</v>
      </c>
      <c r="U55" s="5">
        <f t="shared" si="3"/>
        <v>13.37</v>
      </c>
      <c r="V55" s="5">
        <f t="shared" si="4"/>
        <v>13.37</v>
      </c>
    </row>
    <row r="56" spans="2:22" ht="21.75">
      <c r="B56" t="s">
        <v>403</v>
      </c>
      <c r="C56" t="s">
        <v>403</v>
      </c>
      <c r="D56">
        <v>267.4</v>
      </c>
      <c r="E56">
        <f t="shared" si="2"/>
        <v>57.3521</v>
      </c>
      <c r="F56">
        <v>267.4</v>
      </c>
      <c r="G56" t="s">
        <v>450</v>
      </c>
      <c r="H56" s="3" t="b">
        <v>1</v>
      </c>
      <c r="I56">
        <v>9</v>
      </c>
      <c r="J56">
        <v>9</v>
      </c>
      <c r="K56">
        <v>73.06</v>
      </c>
      <c r="L56">
        <v>6110</v>
      </c>
      <c r="M56">
        <v>6110</v>
      </c>
      <c r="N56">
        <f t="shared" si="5"/>
        <v>9.144938121082841</v>
      </c>
      <c r="O56" s="26">
        <f t="shared" si="6"/>
        <v>9.144938121082841</v>
      </c>
      <c r="P56" s="31">
        <f t="shared" si="7"/>
        <v>456.99326851159316</v>
      </c>
      <c r="Q56">
        <f t="shared" si="8"/>
        <v>456.99326851159316</v>
      </c>
      <c r="U56" s="5">
        <f t="shared" si="3"/>
        <v>13.37</v>
      </c>
      <c r="V56" s="5">
        <f t="shared" si="4"/>
        <v>13.37</v>
      </c>
    </row>
    <row r="57" spans="2:22" ht="21.75">
      <c r="B57" t="s">
        <v>403</v>
      </c>
      <c r="C57" t="s">
        <v>403</v>
      </c>
      <c r="D57">
        <v>318.5</v>
      </c>
      <c r="E57">
        <f t="shared" si="2"/>
        <v>46.244350000000004</v>
      </c>
      <c r="F57">
        <v>318.5</v>
      </c>
      <c r="G57" t="s">
        <v>451</v>
      </c>
      <c r="H57" s="3" t="b">
        <v>1</v>
      </c>
      <c r="I57">
        <v>6</v>
      </c>
      <c r="J57">
        <v>6</v>
      </c>
      <c r="K57">
        <v>58.91</v>
      </c>
      <c r="L57">
        <v>7190</v>
      </c>
      <c r="M57">
        <v>7190</v>
      </c>
      <c r="N57">
        <f t="shared" si="5"/>
        <v>11.047650684155004</v>
      </c>
      <c r="O57" s="26">
        <f t="shared" si="6"/>
        <v>11.047650684155004</v>
      </c>
      <c r="P57" s="31">
        <f t="shared" si="7"/>
        <v>451.49136577708003</v>
      </c>
      <c r="Q57">
        <f t="shared" si="8"/>
        <v>451.49136577708003</v>
      </c>
      <c r="U57" s="5">
        <f t="shared" si="3"/>
        <v>15.925</v>
      </c>
      <c r="V57" s="5">
        <f t="shared" si="4"/>
        <v>15.925</v>
      </c>
    </row>
    <row r="58" spans="2:22" ht="21.75">
      <c r="B58" t="s">
        <v>403</v>
      </c>
      <c r="C58" t="s">
        <v>403</v>
      </c>
      <c r="D58">
        <v>318.5</v>
      </c>
      <c r="E58">
        <f t="shared" si="2"/>
        <v>53.7725</v>
      </c>
      <c r="F58">
        <v>318.5</v>
      </c>
      <c r="G58" t="s">
        <v>452</v>
      </c>
      <c r="H58" s="3" t="b">
        <v>1</v>
      </c>
      <c r="I58">
        <v>7</v>
      </c>
      <c r="J58">
        <v>7</v>
      </c>
      <c r="K58">
        <v>68.5</v>
      </c>
      <c r="L58">
        <v>8310</v>
      </c>
      <c r="M58">
        <v>8310</v>
      </c>
      <c r="N58">
        <f t="shared" si="5"/>
        <v>11.014257515290746</v>
      </c>
      <c r="O58" s="26">
        <f t="shared" si="6"/>
        <v>11.014257515290746</v>
      </c>
      <c r="P58" s="31">
        <f t="shared" si="7"/>
        <v>521.8210361067504</v>
      </c>
      <c r="Q58">
        <f t="shared" si="8"/>
        <v>521.8210361067504</v>
      </c>
      <c r="U58" s="5">
        <f t="shared" si="3"/>
        <v>15.925</v>
      </c>
      <c r="V58" s="5">
        <f t="shared" si="4"/>
        <v>15.925</v>
      </c>
    </row>
    <row r="59" spans="2:22" ht="21.75">
      <c r="B59" t="s">
        <v>403</v>
      </c>
      <c r="C59" t="s">
        <v>403</v>
      </c>
      <c r="D59">
        <v>318.5</v>
      </c>
      <c r="E59">
        <f t="shared" si="2"/>
        <v>61.2614</v>
      </c>
      <c r="F59">
        <v>318.5</v>
      </c>
      <c r="G59" t="s">
        <v>453</v>
      </c>
      <c r="H59" s="3" t="b">
        <v>1</v>
      </c>
      <c r="I59">
        <v>8</v>
      </c>
      <c r="J59">
        <v>8</v>
      </c>
      <c r="K59">
        <v>78.04</v>
      </c>
      <c r="L59">
        <v>9410</v>
      </c>
      <c r="M59">
        <v>9410</v>
      </c>
      <c r="N59">
        <f t="shared" si="5"/>
        <v>10.980855620528525</v>
      </c>
      <c r="O59" s="26">
        <f t="shared" si="6"/>
        <v>10.980855620528525</v>
      </c>
      <c r="P59" s="31">
        <f t="shared" si="7"/>
        <v>590.894819466248</v>
      </c>
      <c r="Q59">
        <f t="shared" si="8"/>
        <v>590.894819466248</v>
      </c>
      <c r="U59" s="5">
        <f t="shared" si="3"/>
        <v>15.925</v>
      </c>
      <c r="V59" s="5">
        <f t="shared" si="4"/>
        <v>15.925</v>
      </c>
    </row>
    <row r="60" spans="2:22" ht="21.75">
      <c r="B60" t="s">
        <v>403</v>
      </c>
      <c r="C60" t="s">
        <v>403</v>
      </c>
      <c r="D60">
        <v>318.5</v>
      </c>
      <c r="E60">
        <f t="shared" si="2"/>
        <v>68.69535</v>
      </c>
      <c r="F60">
        <v>318.5</v>
      </c>
      <c r="G60" t="s">
        <v>454</v>
      </c>
      <c r="H60" s="3" t="b">
        <v>1</v>
      </c>
      <c r="I60">
        <v>9</v>
      </c>
      <c r="J60">
        <v>9</v>
      </c>
      <c r="K60">
        <v>87.51</v>
      </c>
      <c r="L60">
        <v>10500</v>
      </c>
      <c r="M60">
        <v>10500</v>
      </c>
      <c r="N60">
        <f t="shared" si="5"/>
        <v>10.953825235115518</v>
      </c>
      <c r="O60" s="26">
        <f t="shared" si="6"/>
        <v>10.953825235115518</v>
      </c>
      <c r="P60" s="31">
        <f t="shared" si="7"/>
        <v>659.3406593406593</v>
      </c>
      <c r="Q60">
        <f t="shared" si="8"/>
        <v>659.3406593406593</v>
      </c>
      <c r="U60" s="5">
        <f t="shared" si="3"/>
        <v>15.925</v>
      </c>
      <c r="V60" s="5">
        <f t="shared" si="4"/>
        <v>15.925</v>
      </c>
    </row>
    <row r="61" spans="2:22" ht="21.75">
      <c r="B61" t="s">
        <v>403</v>
      </c>
      <c r="C61" t="s">
        <v>403</v>
      </c>
      <c r="D61">
        <v>355.6</v>
      </c>
      <c r="E61">
        <f t="shared" si="2"/>
        <v>54.26705</v>
      </c>
      <c r="F61">
        <v>355.6</v>
      </c>
      <c r="G61" t="s">
        <v>455</v>
      </c>
      <c r="H61" s="3" t="b">
        <v>1</v>
      </c>
      <c r="I61">
        <v>6.3</v>
      </c>
      <c r="J61">
        <v>6.3</v>
      </c>
      <c r="K61">
        <v>69.13</v>
      </c>
      <c r="L61">
        <v>10500</v>
      </c>
      <c r="M61">
        <v>10500</v>
      </c>
      <c r="N61">
        <f t="shared" si="5"/>
        <v>12.324274734104387</v>
      </c>
      <c r="O61" s="26">
        <f t="shared" si="6"/>
        <v>12.324274734104387</v>
      </c>
      <c r="P61" s="31">
        <f t="shared" si="7"/>
        <v>590.5511811023622</v>
      </c>
      <c r="Q61">
        <f t="shared" si="8"/>
        <v>590.5511811023622</v>
      </c>
      <c r="U61" s="5">
        <f t="shared" si="3"/>
        <v>17.78</v>
      </c>
      <c r="V61" s="5">
        <f t="shared" si="4"/>
        <v>17.78</v>
      </c>
    </row>
    <row r="62" spans="2:22" ht="21.75">
      <c r="B62" t="s">
        <v>403</v>
      </c>
      <c r="C62" t="s">
        <v>403</v>
      </c>
      <c r="D62">
        <v>355.6</v>
      </c>
      <c r="E62">
        <f t="shared" si="2"/>
        <v>68.5776</v>
      </c>
      <c r="F62">
        <v>355.6</v>
      </c>
      <c r="G62" t="s">
        <v>456</v>
      </c>
      <c r="H62" s="3" t="b">
        <v>1</v>
      </c>
      <c r="I62">
        <v>8</v>
      </c>
      <c r="J62">
        <v>8</v>
      </c>
      <c r="K62">
        <v>87.36</v>
      </c>
      <c r="L62">
        <v>13200</v>
      </c>
      <c r="M62">
        <v>13200</v>
      </c>
      <c r="N62">
        <f t="shared" si="5"/>
        <v>12.292229297361041</v>
      </c>
      <c r="O62" s="26">
        <f t="shared" si="6"/>
        <v>12.292229297361041</v>
      </c>
      <c r="P62" s="31">
        <f t="shared" si="7"/>
        <v>742.4071991001124</v>
      </c>
      <c r="Q62">
        <f t="shared" si="8"/>
        <v>742.4071991001124</v>
      </c>
      <c r="U62" s="5">
        <f t="shared" si="3"/>
        <v>17.78</v>
      </c>
      <c r="V62" s="5">
        <f t="shared" si="4"/>
        <v>17.78</v>
      </c>
    </row>
    <row r="63" spans="2:22" ht="21.75">
      <c r="B63" t="s">
        <v>403</v>
      </c>
      <c r="C63" t="s">
        <v>403</v>
      </c>
      <c r="D63">
        <v>355.6</v>
      </c>
      <c r="E63">
        <f t="shared" si="2"/>
        <v>76.93</v>
      </c>
      <c r="F63">
        <v>355.6</v>
      </c>
      <c r="G63" t="s">
        <v>457</v>
      </c>
      <c r="H63" s="3" t="b">
        <v>1</v>
      </c>
      <c r="I63">
        <v>9</v>
      </c>
      <c r="J63">
        <v>9</v>
      </c>
      <c r="K63">
        <v>98</v>
      </c>
      <c r="L63">
        <v>14700</v>
      </c>
      <c r="M63">
        <v>14700</v>
      </c>
      <c r="N63">
        <f t="shared" si="5"/>
        <v>12.24744871391589</v>
      </c>
      <c r="O63" s="26">
        <f t="shared" si="6"/>
        <v>12.24744871391589</v>
      </c>
      <c r="P63" s="31">
        <f t="shared" si="7"/>
        <v>826.771653543307</v>
      </c>
      <c r="Q63">
        <f t="shared" si="8"/>
        <v>826.771653543307</v>
      </c>
      <c r="U63" s="5">
        <f t="shared" si="3"/>
        <v>17.78</v>
      </c>
      <c r="V63" s="5">
        <f t="shared" si="4"/>
        <v>17.78</v>
      </c>
    </row>
    <row r="64" spans="2:22" ht="21.75">
      <c r="B64" t="s">
        <v>403</v>
      </c>
      <c r="C64" t="s">
        <v>403</v>
      </c>
      <c r="D64">
        <v>355.6</v>
      </c>
      <c r="E64">
        <f t="shared" si="2"/>
        <v>101.6575</v>
      </c>
      <c r="F64">
        <v>355.6</v>
      </c>
      <c r="G64" t="s">
        <v>458</v>
      </c>
      <c r="H64" s="3" t="b">
        <v>1</v>
      </c>
      <c r="I64">
        <v>12</v>
      </c>
      <c r="J64">
        <v>12</v>
      </c>
      <c r="K64">
        <v>129.5</v>
      </c>
      <c r="L64">
        <v>19100</v>
      </c>
      <c r="M64">
        <v>19100</v>
      </c>
      <c r="N64">
        <f t="shared" si="5"/>
        <v>12.144560407455986</v>
      </c>
      <c r="O64" s="26">
        <f t="shared" si="6"/>
        <v>12.144560407455986</v>
      </c>
      <c r="P64" s="31">
        <f t="shared" si="7"/>
        <v>1074.2407199100112</v>
      </c>
      <c r="Q64">
        <f t="shared" si="8"/>
        <v>1074.2407199100112</v>
      </c>
      <c r="U64" s="5">
        <f t="shared" si="3"/>
        <v>17.78</v>
      </c>
      <c r="V64" s="5">
        <f t="shared" si="4"/>
        <v>17.78</v>
      </c>
    </row>
    <row r="65" spans="2:22" ht="21.75">
      <c r="B65" t="s">
        <v>403</v>
      </c>
      <c r="C65" t="s">
        <v>403</v>
      </c>
      <c r="D65">
        <v>406.4</v>
      </c>
      <c r="E65">
        <f t="shared" si="2"/>
        <v>88.234</v>
      </c>
      <c r="F65">
        <v>406.4</v>
      </c>
      <c r="G65" t="s">
        <v>459</v>
      </c>
      <c r="H65" s="3" t="b">
        <v>1</v>
      </c>
      <c r="I65">
        <v>9</v>
      </c>
      <c r="J65">
        <v>9</v>
      </c>
      <c r="K65">
        <v>112.4</v>
      </c>
      <c r="L65">
        <v>22200</v>
      </c>
      <c r="M65">
        <v>22200</v>
      </c>
      <c r="N65">
        <f t="shared" si="5"/>
        <v>14.053785852828163</v>
      </c>
      <c r="O65" s="26">
        <f t="shared" si="6"/>
        <v>14.053785852828163</v>
      </c>
      <c r="P65" s="31">
        <f t="shared" si="7"/>
        <v>1092.51968503937</v>
      </c>
      <c r="Q65">
        <f t="shared" si="8"/>
        <v>1092.51968503937</v>
      </c>
      <c r="U65" s="5">
        <f t="shared" si="3"/>
        <v>20.32</v>
      </c>
      <c r="V65" s="5">
        <f t="shared" si="4"/>
        <v>20.32</v>
      </c>
    </row>
    <row r="66" spans="2:22" ht="21.75">
      <c r="B66" t="s">
        <v>403</v>
      </c>
      <c r="C66" t="s">
        <v>403</v>
      </c>
      <c r="D66">
        <v>406.4</v>
      </c>
      <c r="E66">
        <f t="shared" si="2"/>
        <v>116.7295</v>
      </c>
      <c r="F66">
        <v>406.4</v>
      </c>
      <c r="G66" t="s">
        <v>460</v>
      </c>
      <c r="H66" s="3" t="b">
        <v>1</v>
      </c>
      <c r="I66">
        <v>12</v>
      </c>
      <c r="J66">
        <v>12</v>
      </c>
      <c r="K66">
        <v>148.7</v>
      </c>
      <c r="L66">
        <v>28900</v>
      </c>
      <c r="M66">
        <v>28900</v>
      </c>
      <c r="N66">
        <f t="shared" si="5"/>
        <v>13.940984268235233</v>
      </c>
      <c r="O66" s="26">
        <f t="shared" si="6"/>
        <v>13.940984268235233</v>
      </c>
      <c r="P66" s="31">
        <f t="shared" si="7"/>
        <v>1422.244094488189</v>
      </c>
      <c r="Q66">
        <f t="shared" si="8"/>
        <v>1422.244094488189</v>
      </c>
      <c r="U66" s="5">
        <f t="shared" si="3"/>
        <v>20.32</v>
      </c>
      <c r="V66" s="5">
        <f t="shared" si="4"/>
        <v>20.32</v>
      </c>
    </row>
    <row r="67" spans="2:22" ht="21.75">
      <c r="B67" t="s">
        <v>403</v>
      </c>
      <c r="C67" t="s">
        <v>403</v>
      </c>
      <c r="D67">
        <v>406.4</v>
      </c>
      <c r="E67">
        <f t="shared" si="2"/>
        <v>154.017</v>
      </c>
      <c r="F67">
        <v>406.4</v>
      </c>
      <c r="G67" t="s">
        <v>461</v>
      </c>
      <c r="H67" s="3" t="b">
        <v>1</v>
      </c>
      <c r="I67">
        <v>16</v>
      </c>
      <c r="J67">
        <v>16</v>
      </c>
      <c r="K67">
        <v>196.2</v>
      </c>
      <c r="L67">
        <v>37400</v>
      </c>
      <c r="M67">
        <v>37400</v>
      </c>
      <c r="N67">
        <f t="shared" si="5"/>
        <v>13.80658590945008</v>
      </c>
      <c r="O67" s="26">
        <f t="shared" si="6"/>
        <v>13.80658590945008</v>
      </c>
      <c r="P67" s="31">
        <f t="shared" si="7"/>
        <v>1840.551181102362</v>
      </c>
      <c r="Q67">
        <f t="shared" si="8"/>
        <v>1840.551181102362</v>
      </c>
      <c r="U67" s="5">
        <f t="shared" si="3"/>
        <v>20.32</v>
      </c>
      <c r="V67" s="5">
        <f t="shared" si="4"/>
        <v>20.32</v>
      </c>
    </row>
    <row r="68" spans="2:22" ht="21.75">
      <c r="B68" t="s">
        <v>403</v>
      </c>
      <c r="C68" t="s">
        <v>403</v>
      </c>
      <c r="D68">
        <v>406.4</v>
      </c>
      <c r="E68">
        <f t="shared" si="2"/>
        <v>181.49200000000002</v>
      </c>
      <c r="F68">
        <v>406.4</v>
      </c>
      <c r="G68" t="s">
        <v>462</v>
      </c>
      <c r="H68" s="3" t="b">
        <v>1</v>
      </c>
      <c r="I68">
        <v>19</v>
      </c>
      <c r="J68">
        <v>19</v>
      </c>
      <c r="K68">
        <v>231.2</v>
      </c>
      <c r="L68">
        <v>43500</v>
      </c>
      <c r="M68">
        <v>43500</v>
      </c>
      <c r="N68">
        <f t="shared" si="5"/>
        <v>13.716733901601199</v>
      </c>
      <c r="O68" s="26">
        <f t="shared" si="6"/>
        <v>13.716733901601199</v>
      </c>
      <c r="P68" s="31">
        <f t="shared" si="7"/>
        <v>2140.748031496063</v>
      </c>
      <c r="Q68">
        <f t="shared" si="8"/>
        <v>2140.748031496063</v>
      </c>
      <c r="U68" s="5">
        <f t="shared" si="3"/>
        <v>20.32</v>
      </c>
      <c r="V68" s="5">
        <f t="shared" si="4"/>
        <v>20.32</v>
      </c>
    </row>
    <row r="69" spans="2:22" ht="21.75">
      <c r="B69" t="s">
        <v>403</v>
      </c>
      <c r="C69" t="s">
        <v>403</v>
      </c>
      <c r="D69">
        <v>457.2</v>
      </c>
      <c r="E69">
        <f t="shared" si="2"/>
        <v>99.4595</v>
      </c>
      <c r="F69">
        <v>457.2</v>
      </c>
      <c r="G69" t="s">
        <v>463</v>
      </c>
      <c r="H69" s="3" t="b">
        <v>1</v>
      </c>
      <c r="I69">
        <v>9</v>
      </c>
      <c r="J69">
        <v>9</v>
      </c>
      <c r="K69">
        <v>126.7</v>
      </c>
      <c r="L69">
        <v>31800</v>
      </c>
      <c r="M69">
        <v>31800</v>
      </c>
      <c r="N69">
        <f t="shared" si="5"/>
        <v>15.842556058865476</v>
      </c>
      <c r="O69" s="26">
        <f t="shared" si="6"/>
        <v>15.842556058865476</v>
      </c>
      <c r="P69" s="31">
        <f t="shared" si="7"/>
        <v>1391.0761154855643</v>
      </c>
      <c r="Q69">
        <f t="shared" si="8"/>
        <v>1391.0761154855643</v>
      </c>
      <c r="U69" s="5">
        <f t="shared" si="3"/>
        <v>22.86</v>
      </c>
      <c r="V69" s="5">
        <f t="shared" si="4"/>
        <v>22.86</v>
      </c>
    </row>
    <row r="70" spans="2:22" ht="21.75">
      <c r="B70" t="s">
        <v>403</v>
      </c>
      <c r="C70" t="s">
        <v>403</v>
      </c>
      <c r="D70">
        <v>457.2</v>
      </c>
      <c r="E70">
        <f t="shared" si="2"/>
        <v>131.72299999999998</v>
      </c>
      <c r="F70">
        <v>457.2</v>
      </c>
      <c r="G70" t="s">
        <v>464</v>
      </c>
      <c r="H70" s="3" t="b">
        <v>1</v>
      </c>
      <c r="I70">
        <v>12</v>
      </c>
      <c r="J70">
        <v>12</v>
      </c>
      <c r="K70">
        <v>167.8</v>
      </c>
      <c r="L70">
        <v>41600</v>
      </c>
      <c r="M70">
        <v>41600</v>
      </c>
      <c r="N70">
        <f t="shared" si="5"/>
        <v>15.745290837321724</v>
      </c>
      <c r="O70" s="26">
        <f t="shared" si="6"/>
        <v>15.745290837321724</v>
      </c>
      <c r="P70" s="31">
        <f t="shared" si="7"/>
        <v>1819.7725284339458</v>
      </c>
      <c r="Q70">
        <f t="shared" si="8"/>
        <v>1819.7725284339458</v>
      </c>
      <c r="U70" s="5">
        <f t="shared" si="3"/>
        <v>22.86</v>
      </c>
      <c r="V70" s="5">
        <f t="shared" si="4"/>
        <v>22.86</v>
      </c>
    </row>
    <row r="71" spans="2:22" ht="21.75">
      <c r="B71" t="s">
        <v>403</v>
      </c>
      <c r="C71" t="s">
        <v>403</v>
      </c>
      <c r="D71">
        <v>457.2</v>
      </c>
      <c r="E71">
        <f t="shared" si="2"/>
        <v>174.113</v>
      </c>
      <c r="F71">
        <v>457.2</v>
      </c>
      <c r="G71" t="s">
        <v>465</v>
      </c>
      <c r="H71" s="3" t="b">
        <v>1</v>
      </c>
      <c r="I71">
        <v>16</v>
      </c>
      <c r="J71">
        <v>16</v>
      </c>
      <c r="K71">
        <v>221.8</v>
      </c>
      <c r="L71">
        <v>54000</v>
      </c>
      <c r="M71">
        <v>54000</v>
      </c>
      <c r="N71">
        <f t="shared" si="5"/>
        <v>15.603287438867165</v>
      </c>
      <c r="O71" s="26">
        <f t="shared" si="6"/>
        <v>15.603287438867165</v>
      </c>
      <c r="P71" s="31">
        <f t="shared" si="7"/>
        <v>2362.2047244094488</v>
      </c>
      <c r="Q71">
        <f t="shared" si="8"/>
        <v>2362.2047244094488</v>
      </c>
      <c r="U71" s="5">
        <f t="shared" si="3"/>
        <v>22.86</v>
      </c>
      <c r="V71" s="5">
        <f t="shared" si="4"/>
        <v>22.86</v>
      </c>
    </row>
    <row r="72" spans="2:22" ht="21.75">
      <c r="B72" t="s">
        <v>403</v>
      </c>
      <c r="C72" t="s">
        <v>403</v>
      </c>
      <c r="D72">
        <v>457.2</v>
      </c>
      <c r="E72">
        <f t="shared" si="2"/>
        <v>205.35600000000002</v>
      </c>
      <c r="F72">
        <v>457.2</v>
      </c>
      <c r="G72" t="s">
        <v>466</v>
      </c>
      <c r="H72" s="3" t="b">
        <v>1</v>
      </c>
      <c r="I72">
        <v>19</v>
      </c>
      <c r="J72">
        <v>19</v>
      </c>
      <c r="K72">
        <v>261.6</v>
      </c>
      <c r="L72">
        <v>62900</v>
      </c>
      <c r="M72">
        <v>62900</v>
      </c>
      <c r="N72">
        <f t="shared" si="5"/>
        <v>15.506238263242718</v>
      </c>
      <c r="O72" s="26">
        <f t="shared" si="6"/>
        <v>15.506238263242718</v>
      </c>
      <c r="P72" s="31">
        <f t="shared" si="7"/>
        <v>2751.531058617673</v>
      </c>
      <c r="Q72">
        <f t="shared" si="8"/>
        <v>2751.531058617673</v>
      </c>
      <c r="U72" s="5">
        <f t="shared" si="3"/>
        <v>22.86</v>
      </c>
      <c r="V72" s="5">
        <f t="shared" si="4"/>
        <v>22.86</v>
      </c>
    </row>
    <row r="73" spans="2:22" ht="21.75">
      <c r="B73" t="s">
        <v>403</v>
      </c>
      <c r="C73" t="s">
        <v>403</v>
      </c>
      <c r="D73">
        <v>500</v>
      </c>
      <c r="E73">
        <f t="shared" si="2"/>
        <v>108.958</v>
      </c>
      <c r="F73">
        <v>500</v>
      </c>
      <c r="G73" t="s">
        <v>467</v>
      </c>
      <c r="H73" s="3" t="b">
        <v>1</v>
      </c>
      <c r="I73">
        <v>9</v>
      </c>
      <c r="J73">
        <v>9</v>
      </c>
      <c r="K73">
        <v>138.8</v>
      </c>
      <c r="L73">
        <v>41800</v>
      </c>
      <c r="M73">
        <v>41800</v>
      </c>
      <c r="N73">
        <f t="shared" si="5"/>
        <v>17.353752843467646</v>
      </c>
      <c r="O73" s="26">
        <f t="shared" si="6"/>
        <v>17.353752843467646</v>
      </c>
      <c r="P73" s="31">
        <f t="shared" si="7"/>
        <v>1672</v>
      </c>
      <c r="Q73">
        <f t="shared" si="8"/>
        <v>1672</v>
      </c>
      <c r="U73" s="5">
        <f t="shared" si="3"/>
        <v>25</v>
      </c>
      <c r="V73" s="5">
        <f t="shared" si="4"/>
        <v>25</v>
      </c>
    </row>
    <row r="74" spans="2:22" ht="21.75">
      <c r="B74" t="s">
        <v>403</v>
      </c>
      <c r="C74" t="s">
        <v>403</v>
      </c>
      <c r="D74">
        <v>500</v>
      </c>
      <c r="E74">
        <f t="shared" si="2"/>
        <v>144.44</v>
      </c>
      <c r="F74">
        <v>500</v>
      </c>
      <c r="G74" t="s">
        <v>468</v>
      </c>
      <c r="H74" s="3" t="b">
        <v>1</v>
      </c>
      <c r="I74">
        <v>12</v>
      </c>
      <c r="J74">
        <v>12</v>
      </c>
      <c r="K74">
        <v>184</v>
      </c>
      <c r="L74">
        <v>54800</v>
      </c>
      <c r="M74">
        <v>54800</v>
      </c>
      <c r="N74">
        <f t="shared" si="5"/>
        <v>17.257638510425515</v>
      </c>
      <c r="O74" s="26">
        <f t="shared" si="6"/>
        <v>17.257638510425515</v>
      </c>
      <c r="P74" s="31">
        <f aca="true" t="shared" si="9" ref="P74:P105">L74/U74</f>
        <v>2192</v>
      </c>
      <c r="Q74">
        <f aca="true" t="shared" si="10" ref="Q74:Q105">M74/V74</f>
        <v>2192</v>
      </c>
      <c r="U74" s="5">
        <f t="shared" si="3"/>
        <v>25</v>
      </c>
      <c r="V74" s="5">
        <f t="shared" si="4"/>
        <v>25</v>
      </c>
    </row>
    <row r="75" spans="2:22" ht="21.75">
      <c r="B75" t="s">
        <v>403</v>
      </c>
      <c r="C75" t="s">
        <v>403</v>
      </c>
      <c r="D75">
        <v>500</v>
      </c>
      <c r="E75">
        <f aca="true" t="shared" si="11" ref="E75:E122">7850*K75/100/100</f>
        <v>167.833</v>
      </c>
      <c r="F75">
        <v>500</v>
      </c>
      <c r="G75" t="s">
        <v>469</v>
      </c>
      <c r="H75" s="3" t="b">
        <v>1</v>
      </c>
      <c r="I75">
        <v>14</v>
      </c>
      <c r="J75">
        <v>14</v>
      </c>
      <c r="K75">
        <v>213.8</v>
      </c>
      <c r="L75">
        <v>63200</v>
      </c>
      <c r="M75">
        <v>63200</v>
      </c>
      <c r="N75">
        <f t="shared" si="5"/>
        <v>17.19311977604129</v>
      </c>
      <c r="O75" s="26">
        <f t="shared" si="6"/>
        <v>17.19311977604129</v>
      </c>
      <c r="P75" s="31">
        <f t="shared" si="9"/>
        <v>2528</v>
      </c>
      <c r="Q75">
        <f t="shared" si="10"/>
        <v>2528</v>
      </c>
      <c r="U75" s="5">
        <f aca="true" t="shared" si="12" ref="U75:U122">F75/10/2</f>
        <v>25</v>
      </c>
      <c r="V75" s="5">
        <f aca="true" t="shared" si="13" ref="V75:V122">F75/10/2</f>
        <v>25</v>
      </c>
    </row>
    <row r="76" spans="2:22" ht="21.75">
      <c r="B76" t="s">
        <v>403</v>
      </c>
      <c r="C76" t="s">
        <v>403</v>
      </c>
      <c r="D76">
        <v>508</v>
      </c>
      <c r="E76">
        <f t="shared" si="11"/>
        <v>110.76350000000001</v>
      </c>
      <c r="F76">
        <v>508</v>
      </c>
      <c r="G76" t="s">
        <v>470</v>
      </c>
      <c r="H76" s="3" t="b">
        <v>1</v>
      </c>
      <c r="I76">
        <v>9</v>
      </c>
      <c r="J76">
        <v>9</v>
      </c>
      <c r="K76">
        <v>141.1</v>
      </c>
      <c r="L76">
        <v>43900</v>
      </c>
      <c r="M76">
        <v>43900</v>
      </c>
      <c r="N76">
        <f t="shared" si="5"/>
        <v>17.638788517999394</v>
      </c>
      <c r="O76" s="26">
        <f t="shared" si="6"/>
        <v>17.638788517999394</v>
      </c>
      <c r="P76" s="31">
        <f t="shared" si="9"/>
        <v>1728.3464566929135</v>
      </c>
      <c r="Q76">
        <f t="shared" si="10"/>
        <v>1728.3464566929135</v>
      </c>
      <c r="U76" s="5">
        <f t="shared" si="12"/>
        <v>25.4</v>
      </c>
      <c r="V76" s="5">
        <f t="shared" si="13"/>
        <v>25.4</v>
      </c>
    </row>
    <row r="77" spans="2:22" ht="21.75">
      <c r="B77" t="s">
        <v>403</v>
      </c>
      <c r="C77" t="s">
        <v>403</v>
      </c>
      <c r="D77">
        <v>508</v>
      </c>
      <c r="E77">
        <f t="shared" si="11"/>
        <v>146.795</v>
      </c>
      <c r="F77">
        <v>508</v>
      </c>
      <c r="G77" t="s">
        <v>471</v>
      </c>
      <c r="H77" s="3" t="b">
        <v>1</v>
      </c>
      <c r="I77">
        <v>12</v>
      </c>
      <c r="J77">
        <v>12</v>
      </c>
      <c r="K77">
        <v>187</v>
      </c>
      <c r="L77">
        <v>57500</v>
      </c>
      <c r="M77">
        <v>57500</v>
      </c>
      <c r="N77">
        <f aca="true" t="shared" si="14" ref="N77:N122">SQRT(L77/K77)</f>
        <v>17.53529671879101</v>
      </c>
      <c r="O77" s="26">
        <f aca="true" t="shared" si="15" ref="O77:O122">SQRT(M77/K77)</f>
        <v>17.53529671879101</v>
      </c>
      <c r="P77" s="31">
        <f t="shared" si="9"/>
        <v>2263.779527559055</v>
      </c>
      <c r="Q77">
        <f t="shared" si="10"/>
        <v>2263.779527559055</v>
      </c>
      <c r="U77" s="5">
        <f t="shared" si="12"/>
        <v>25.4</v>
      </c>
      <c r="V77" s="5">
        <f t="shared" si="13"/>
        <v>25.4</v>
      </c>
    </row>
    <row r="78" spans="2:22" ht="21.75">
      <c r="B78" t="s">
        <v>403</v>
      </c>
      <c r="C78" t="s">
        <v>403</v>
      </c>
      <c r="D78">
        <v>508</v>
      </c>
      <c r="E78">
        <f t="shared" si="11"/>
        <v>170.5805</v>
      </c>
      <c r="F78">
        <v>508</v>
      </c>
      <c r="G78" t="s">
        <v>472</v>
      </c>
      <c r="H78" s="3" t="b">
        <v>1</v>
      </c>
      <c r="I78">
        <v>14</v>
      </c>
      <c r="J78">
        <v>14</v>
      </c>
      <c r="K78">
        <v>217.3</v>
      </c>
      <c r="L78">
        <v>66300</v>
      </c>
      <c r="M78">
        <v>66300</v>
      </c>
      <c r="N78">
        <f t="shared" si="14"/>
        <v>17.46734511656184</v>
      </c>
      <c r="O78" s="26">
        <f t="shared" si="15"/>
        <v>17.46734511656184</v>
      </c>
      <c r="P78" s="31">
        <f t="shared" si="9"/>
        <v>2610.236220472441</v>
      </c>
      <c r="Q78">
        <f t="shared" si="10"/>
        <v>2610.236220472441</v>
      </c>
      <c r="U78" s="5">
        <f t="shared" si="12"/>
        <v>25.4</v>
      </c>
      <c r="V78" s="5">
        <f t="shared" si="13"/>
        <v>25.4</v>
      </c>
    </row>
    <row r="79" spans="2:22" ht="21.75">
      <c r="B79" t="s">
        <v>403</v>
      </c>
      <c r="C79" t="s">
        <v>403</v>
      </c>
      <c r="D79">
        <v>508</v>
      </c>
      <c r="E79">
        <f t="shared" si="11"/>
        <v>194.13049999999998</v>
      </c>
      <c r="F79">
        <v>508</v>
      </c>
      <c r="G79" t="s">
        <v>473</v>
      </c>
      <c r="H79" s="3" t="b">
        <v>1</v>
      </c>
      <c r="I79">
        <v>16</v>
      </c>
      <c r="J79">
        <v>16</v>
      </c>
      <c r="K79">
        <v>247.3</v>
      </c>
      <c r="L79">
        <v>74900</v>
      </c>
      <c r="M79">
        <v>74900</v>
      </c>
      <c r="N79">
        <f t="shared" si="14"/>
        <v>17.403189560372024</v>
      </c>
      <c r="O79" s="26">
        <f t="shared" si="15"/>
        <v>17.403189560372024</v>
      </c>
      <c r="P79" s="31">
        <f t="shared" si="9"/>
        <v>2948.8188976377955</v>
      </c>
      <c r="Q79">
        <f t="shared" si="10"/>
        <v>2948.8188976377955</v>
      </c>
      <c r="U79" s="5">
        <f t="shared" si="12"/>
        <v>25.4</v>
      </c>
      <c r="V79" s="5">
        <f t="shared" si="13"/>
        <v>25.4</v>
      </c>
    </row>
    <row r="80" spans="2:22" ht="21.75">
      <c r="B80" t="s">
        <v>403</v>
      </c>
      <c r="C80" t="s">
        <v>403</v>
      </c>
      <c r="D80">
        <v>508</v>
      </c>
      <c r="E80">
        <f t="shared" si="11"/>
        <v>229.1415</v>
      </c>
      <c r="F80">
        <v>508</v>
      </c>
      <c r="G80" t="s">
        <v>474</v>
      </c>
      <c r="H80" s="3" t="b">
        <v>1</v>
      </c>
      <c r="I80">
        <v>19</v>
      </c>
      <c r="J80">
        <v>19</v>
      </c>
      <c r="K80">
        <v>291.9</v>
      </c>
      <c r="L80">
        <v>87400</v>
      </c>
      <c r="M80">
        <v>87400</v>
      </c>
      <c r="N80">
        <f t="shared" si="14"/>
        <v>17.303687721700445</v>
      </c>
      <c r="O80" s="26">
        <f t="shared" si="15"/>
        <v>17.303687721700445</v>
      </c>
      <c r="P80" s="31">
        <f t="shared" si="9"/>
        <v>3440.944881889764</v>
      </c>
      <c r="Q80">
        <f t="shared" si="10"/>
        <v>3440.944881889764</v>
      </c>
      <c r="U80" s="5">
        <f t="shared" si="12"/>
        <v>25.4</v>
      </c>
      <c r="V80" s="5">
        <f t="shared" si="13"/>
        <v>25.4</v>
      </c>
    </row>
    <row r="81" spans="2:22" ht="21.75">
      <c r="B81" t="s">
        <v>403</v>
      </c>
      <c r="C81" t="s">
        <v>403</v>
      </c>
      <c r="D81">
        <v>508</v>
      </c>
      <c r="E81">
        <f t="shared" si="11"/>
        <v>263.6815</v>
      </c>
      <c r="F81">
        <v>508</v>
      </c>
      <c r="G81" t="s">
        <v>475</v>
      </c>
      <c r="H81" s="3" t="b">
        <v>1</v>
      </c>
      <c r="I81">
        <v>22</v>
      </c>
      <c r="J81">
        <v>22</v>
      </c>
      <c r="K81">
        <v>335.9</v>
      </c>
      <c r="L81">
        <v>99400</v>
      </c>
      <c r="M81">
        <v>99400</v>
      </c>
      <c r="N81">
        <f t="shared" si="14"/>
        <v>17.202366266886457</v>
      </c>
      <c r="O81" s="26">
        <f t="shared" si="15"/>
        <v>17.202366266886457</v>
      </c>
      <c r="P81" s="31">
        <f t="shared" si="9"/>
        <v>3913.3858267716537</v>
      </c>
      <c r="Q81">
        <f t="shared" si="10"/>
        <v>3913.3858267716537</v>
      </c>
      <c r="U81" s="5">
        <f t="shared" si="12"/>
        <v>25.4</v>
      </c>
      <c r="V81" s="5">
        <f t="shared" si="13"/>
        <v>25.4</v>
      </c>
    </row>
    <row r="82" spans="2:22" ht="21.75">
      <c r="B82" t="s">
        <v>403</v>
      </c>
      <c r="C82" t="s">
        <v>403</v>
      </c>
      <c r="D82">
        <v>558.8</v>
      </c>
      <c r="E82">
        <f t="shared" si="11"/>
        <v>122.0675</v>
      </c>
      <c r="F82">
        <v>558.8</v>
      </c>
      <c r="G82" t="s">
        <v>476</v>
      </c>
      <c r="H82" s="3" t="b">
        <v>1</v>
      </c>
      <c r="I82">
        <v>9</v>
      </c>
      <c r="J82">
        <v>9</v>
      </c>
      <c r="K82">
        <v>155.5</v>
      </c>
      <c r="L82">
        <v>58800</v>
      </c>
      <c r="M82">
        <v>58800</v>
      </c>
      <c r="N82">
        <f t="shared" si="14"/>
        <v>19.44569485082781</v>
      </c>
      <c r="O82" s="26">
        <f t="shared" si="15"/>
        <v>19.44569485082781</v>
      </c>
      <c r="P82" s="31">
        <f t="shared" si="9"/>
        <v>2104.509663564782</v>
      </c>
      <c r="Q82">
        <f t="shared" si="10"/>
        <v>2104.509663564782</v>
      </c>
      <c r="U82" s="5">
        <f t="shared" si="12"/>
        <v>27.939999999999998</v>
      </c>
      <c r="V82" s="5">
        <f t="shared" si="13"/>
        <v>27.939999999999998</v>
      </c>
    </row>
    <row r="83" spans="2:22" ht="21.75">
      <c r="B83" t="s">
        <v>403</v>
      </c>
      <c r="C83" t="s">
        <v>403</v>
      </c>
      <c r="D83">
        <v>558.8</v>
      </c>
      <c r="E83">
        <f t="shared" si="11"/>
        <v>161.7885</v>
      </c>
      <c r="F83">
        <v>558.8</v>
      </c>
      <c r="G83" t="s">
        <v>477</v>
      </c>
      <c r="H83" s="3" t="b">
        <v>1</v>
      </c>
      <c r="I83">
        <v>12</v>
      </c>
      <c r="J83">
        <v>12</v>
      </c>
      <c r="K83">
        <v>206.1</v>
      </c>
      <c r="L83">
        <v>77100</v>
      </c>
      <c r="M83">
        <v>77100</v>
      </c>
      <c r="N83">
        <f t="shared" si="14"/>
        <v>19.341412757414925</v>
      </c>
      <c r="O83" s="26">
        <f t="shared" si="15"/>
        <v>19.341412757414925</v>
      </c>
      <c r="P83" s="31">
        <f t="shared" si="9"/>
        <v>2759.484609878311</v>
      </c>
      <c r="Q83">
        <f t="shared" si="10"/>
        <v>2759.484609878311</v>
      </c>
      <c r="U83" s="5">
        <f t="shared" si="12"/>
        <v>27.939999999999998</v>
      </c>
      <c r="V83" s="5">
        <f t="shared" si="13"/>
        <v>27.939999999999998</v>
      </c>
    </row>
    <row r="84" spans="2:22" ht="21.75">
      <c r="B84" t="s">
        <v>403</v>
      </c>
      <c r="C84" t="s">
        <v>403</v>
      </c>
      <c r="D84">
        <v>558.8</v>
      </c>
      <c r="E84">
        <f t="shared" si="11"/>
        <v>214.148</v>
      </c>
      <c r="F84">
        <v>558.8</v>
      </c>
      <c r="G84" t="s">
        <v>478</v>
      </c>
      <c r="H84" s="3" t="b">
        <v>1</v>
      </c>
      <c r="I84">
        <v>16</v>
      </c>
      <c r="J84">
        <v>16</v>
      </c>
      <c r="K84">
        <v>272.8</v>
      </c>
      <c r="L84">
        <v>101000</v>
      </c>
      <c r="M84">
        <v>101000</v>
      </c>
      <c r="N84">
        <f t="shared" si="14"/>
        <v>19.241481338648846</v>
      </c>
      <c r="O84" s="26">
        <f t="shared" si="15"/>
        <v>19.241481338648846</v>
      </c>
      <c r="P84" s="31">
        <f t="shared" si="9"/>
        <v>3614.8890479599145</v>
      </c>
      <c r="Q84">
        <f t="shared" si="10"/>
        <v>3614.8890479599145</v>
      </c>
      <c r="U84" s="5">
        <f t="shared" si="12"/>
        <v>27.939999999999998</v>
      </c>
      <c r="V84" s="5">
        <f t="shared" si="13"/>
        <v>27.939999999999998</v>
      </c>
    </row>
    <row r="85" spans="2:22" ht="21.75">
      <c r="B85" t="s">
        <v>403</v>
      </c>
      <c r="C85" t="s">
        <v>403</v>
      </c>
      <c r="D85">
        <v>558.8</v>
      </c>
      <c r="E85">
        <f t="shared" si="11"/>
        <v>252.92700000000002</v>
      </c>
      <c r="F85">
        <v>558.8</v>
      </c>
      <c r="G85" t="s">
        <v>479</v>
      </c>
      <c r="H85" s="3" t="b">
        <v>1</v>
      </c>
      <c r="I85">
        <v>19</v>
      </c>
      <c r="J85">
        <v>19</v>
      </c>
      <c r="K85">
        <v>322.2</v>
      </c>
      <c r="L85">
        <v>118000</v>
      </c>
      <c r="M85">
        <v>118000</v>
      </c>
      <c r="N85">
        <f t="shared" si="14"/>
        <v>19.137192948331037</v>
      </c>
      <c r="O85" s="26">
        <f t="shared" si="15"/>
        <v>19.137192948331037</v>
      </c>
      <c r="P85" s="31">
        <f t="shared" si="9"/>
        <v>4223.335719398712</v>
      </c>
      <c r="Q85">
        <f t="shared" si="10"/>
        <v>4223.335719398712</v>
      </c>
      <c r="U85" s="5">
        <f t="shared" si="12"/>
        <v>27.939999999999998</v>
      </c>
      <c r="V85" s="5">
        <f t="shared" si="13"/>
        <v>27.939999999999998</v>
      </c>
    </row>
    <row r="86" spans="2:22" ht="21.75">
      <c r="B86" t="s">
        <v>403</v>
      </c>
      <c r="C86" t="s">
        <v>403</v>
      </c>
      <c r="D86">
        <v>558.8</v>
      </c>
      <c r="E86">
        <f t="shared" si="11"/>
        <v>291.235</v>
      </c>
      <c r="F86">
        <v>558.8</v>
      </c>
      <c r="G86" t="s">
        <v>480</v>
      </c>
      <c r="H86" s="3" t="b">
        <v>1</v>
      </c>
      <c r="I86">
        <v>22</v>
      </c>
      <c r="J86">
        <v>22</v>
      </c>
      <c r="K86">
        <v>371</v>
      </c>
      <c r="L86">
        <v>134000</v>
      </c>
      <c r="M86">
        <v>134000</v>
      </c>
      <c r="N86">
        <f t="shared" si="14"/>
        <v>19.004893681036293</v>
      </c>
      <c r="O86" s="26">
        <f t="shared" si="15"/>
        <v>19.004893681036293</v>
      </c>
      <c r="P86" s="31">
        <f t="shared" si="9"/>
        <v>4795.991410164639</v>
      </c>
      <c r="Q86">
        <f t="shared" si="10"/>
        <v>4795.991410164639</v>
      </c>
      <c r="U86" s="5">
        <f t="shared" si="12"/>
        <v>27.939999999999998</v>
      </c>
      <c r="V86" s="5">
        <f t="shared" si="13"/>
        <v>27.939999999999998</v>
      </c>
    </row>
    <row r="87" spans="2:22" ht="21.75">
      <c r="B87" t="s">
        <v>403</v>
      </c>
      <c r="C87" t="s">
        <v>403</v>
      </c>
      <c r="D87">
        <v>600</v>
      </c>
      <c r="E87">
        <f t="shared" si="11"/>
        <v>131.1735</v>
      </c>
      <c r="F87">
        <v>600</v>
      </c>
      <c r="G87" t="s">
        <v>481</v>
      </c>
      <c r="H87" s="3" t="b">
        <v>1</v>
      </c>
      <c r="I87">
        <v>9</v>
      </c>
      <c r="J87">
        <v>9</v>
      </c>
      <c r="K87">
        <v>167.1</v>
      </c>
      <c r="L87">
        <v>73000</v>
      </c>
      <c r="M87">
        <v>73000</v>
      </c>
      <c r="N87">
        <f t="shared" si="14"/>
        <v>20.901295490989924</v>
      </c>
      <c r="O87" s="26">
        <f t="shared" si="15"/>
        <v>20.901295490989924</v>
      </c>
      <c r="P87" s="31">
        <f t="shared" si="9"/>
        <v>2433.3333333333335</v>
      </c>
      <c r="Q87">
        <f t="shared" si="10"/>
        <v>2433.3333333333335</v>
      </c>
      <c r="U87" s="5">
        <f t="shared" si="12"/>
        <v>30</v>
      </c>
      <c r="V87" s="5">
        <f t="shared" si="13"/>
        <v>30</v>
      </c>
    </row>
    <row r="88" spans="2:22" ht="21.75">
      <c r="B88" t="s">
        <v>403</v>
      </c>
      <c r="C88" t="s">
        <v>403</v>
      </c>
      <c r="D88">
        <v>600</v>
      </c>
      <c r="E88">
        <f t="shared" si="11"/>
        <v>174.0345</v>
      </c>
      <c r="F88">
        <v>600</v>
      </c>
      <c r="G88" t="s">
        <v>482</v>
      </c>
      <c r="H88" s="3" t="b">
        <v>1</v>
      </c>
      <c r="I88">
        <v>12</v>
      </c>
      <c r="J88">
        <v>12</v>
      </c>
      <c r="K88">
        <v>221.7</v>
      </c>
      <c r="L88">
        <v>95800</v>
      </c>
      <c r="M88">
        <v>95800</v>
      </c>
      <c r="N88">
        <f t="shared" si="14"/>
        <v>20.787387314371436</v>
      </c>
      <c r="O88" s="26">
        <f t="shared" si="15"/>
        <v>20.787387314371436</v>
      </c>
      <c r="P88" s="31">
        <f t="shared" si="9"/>
        <v>3193.3333333333335</v>
      </c>
      <c r="Q88">
        <f t="shared" si="10"/>
        <v>3193.3333333333335</v>
      </c>
      <c r="U88" s="5">
        <f t="shared" si="12"/>
        <v>30</v>
      </c>
      <c r="V88" s="5">
        <f t="shared" si="13"/>
        <v>30</v>
      </c>
    </row>
    <row r="89" spans="2:22" ht="21.75">
      <c r="B89" t="s">
        <v>403</v>
      </c>
      <c r="C89" t="s">
        <v>403</v>
      </c>
      <c r="D89">
        <v>600</v>
      </c>
      <c r="E89">
        <f t="shared" si="11"/>
        <v>202.2945</v>
      </c>
      <c r="F89">
        <v>600</v>
      </c>
      <c r="G89" t="s">
        <v>483</v>
      </c>
      <c r="H89" s="3" t="b">
        <v>1</v>
      </c>
      <c r="I89">
        <v>14</v>
      </c>
      <c r="J89">
        <v>14</v>
      </c>
      <c r="K89">
        <v>257.7</v>
      </c>
      <c r="L89">
        <v>111000</v>
      </c>
      <c r="M89">
        <v>111000</v>
      </c>
      <c r="N89">
        <f t="shared" si="14"/>
        <v>20.754117927364607</v>
      </c>
      <c r="O89" s="26">
        <f t="shared" si="15"/>
        <v>20.754117927364607</v>
      </c>
      <c r="P89" s="31">
        <f t="shared" si="9"/>
        <v>3700</v>
      </c>
      <c r="Q89">
        <f t="shared" si="10"/>
        <v>3700</v>
      </c>
      <c r="U89" s="5">
        <f t="shared" si="12"/>
        <v>30</v>
      </c>
      <c r="V89" s="5">
        <f t="shared" si="13"/>
        <v>30</v>
      </c>
    </row>
    <row r="90" spans="2:22" ht="21.75">
      <c r="B90" t="s">
        <v>403</v>
      </c>
      <c r="C90" t="s">
        <v>403</v>
      </c>
      <c r="D90">
        <v>600</v>
      </c>
      <c r="E90">
        <f t="shared" si="11"/>
        <v>230.476</v>
      </c>
      <c r="F90">
        <v>600</v>
      </c>
      <c r="G90" t="s">
        <v>484</v>
      </c>
      <c r="H90" s="3" t="b">
        <v>1</v>
      </c>
      <c r="I90">
        <v>16</v>
      </c>
      <c r="J90">
        <v>16</v>
      </c>
      <c r="K90">
        <v>293.6</v>
      </c>
      <c r="L90">
        <v>125000</v>
      </c>
      <c r="M90">
        <v>125000</v>
      </c>
      <c r="N90">
        <f t="shared" si="14"/>
        <v>20.63369377501493</v>
      </c>
      <c r="O90" s="26">
        <f t="shared" si="15"/>
        <v>20.63369377501493</v>
      </c>
      <c r="P90" s="31">
        <f t="shared" si="9"/>
        <v>4166.666666666667</v>
      </c>
      <c r="Q90">
        <f t="shared" si="10"/>
        <v>4166.666666666667</v>
      </c>
      <c r="U90" s="5">
        <f t="shared" si="12"/>
        <v>30</v>
      </c>
      <c r="V90" s="5">
        <f t="shared" si="13"/>
        <v>30</v>
      </c>
    </row>
    <row r="91" spans="2:22" ht="21.75">
      <c r="B91" t="s">
        <v>403</v>
      </c>
      <c r="C91" t="s">
        <v>403</v>
      </c>
      <c r="D91">
        <v>609.6</v>
      </c>
      <c r="E91">
        <f t="shared" si="11"/>
        <v>133.293</v>
      </c>
      <c r="F91">
        <v>609.6</v>
      </c>
      <c r="G91" t="s">
        <v>485</v>
      </c>
      <c r="H91" s="3" t="b">
        <v>1</v>
      </c>
      <c r="I91">
        <v>9</v>
      </c>
      <c r="J91">
        <v>9</v>
      </c>
      <c r="K91">
        <v>169.8</v>
      </c>
      <c r="L91">
        <v>76600</v>
      </c>
      <c r="M91">
        <v>76600</v>
      </c>
      <c r="N91">
        <f t="shared" si="14"/>
        <v>21.239561282815014</v>
      </c>
      <c r="O91" s="26">
        <f t="shared" si="15"/>
        <v>21.239561282815014</v>
      </c>
      <c r="P91" s="31">
        <f t="shared" si="9"/>
        <v>2513.1233595800522</v>
      </c>
      <c r="Q91">
        <f t="shared" si="10"/>
        <v>2513.1233595800522</v>
      </c>
      <c r="U91" s="5">
        <f t="shared" si="12"/>
        <v>30.48</v>
      </c>
      <c r="V91" s="5">
        <f t="shared" si="13"/>
        <v>30.48</v>
      </c>
    </row>
    <row r="92" spans="2:22" ht="21.75">
      <c r="B92" t="s">
        <v>403</v>
      </c>
      <c r="C92" t="s">
        <v>403</v>
      </c>
      <c r="D92">
        <v>609.6</v>
      </c>
      <c r="E92">
        <f t="shared" si="11"/>
        <v>176.8605</v>
      </c>
      <c r="F92">
        <v>609.6</v>
      </c>
      <c r="G92" t="s">
        <v>486</v>
      </c>
      <c r="H92" s="3" t="b">
        <v>1</v>
      </c>
      <c r="I92">
        <v>12</v>
      </c>
      <c r="J92">
        <v>12</v>
      </c>
      <c r="K92">
        <v>225.3</v>
      </c>
      <c r="L92">
        <v>101000</v>
      </c>
      <c r="M92">
        <v>101000</v>
      </c>
      <c r="N92">
        <f t="shared" si="14"/>
        <v>21.17288755301094</v>
      </c>
      <c r="O92" s="26">
        <f t="shared" si="15"/>
        <v>21.17288755301094</v>
      </c>
      <c r="P92" s="31">
        <f t="shared" si="9"/>
        <v>3313.6482939632547</v>
      </c>
      <c r="Q92">
        <f t="shared" si="10"/>
        <v>3313.6482939632547</v>
      </c>
      <c r="U92" s="5">
        <f t="shared" si="12"/>
        <v>30.48</v>
      </c>
      <c r="V92" s="5">
        <f t="shared" si="13"/>
        <v>30.48</v>
      </c>
    </row>
    <row r="93" spans="2:22" ht="21.75">
      <c r="B93" t="s">
        <v>403</v>
      </c>
      <c r="C93" t="s">
        <v>403</v>
      </c>
      <c r="D93">
        <v>609.6</v>
      </c>
      <c r="E93">
        <f t="shared" si="11"/>
        <v>205.67</v>
      </c>
      <c r="F93">
        <v>609.6</v>
      </c>
      <c r="G93" t="s">
        <v>487</v>
      </c>
      <c r="H93" s="3" t="b">
        <v>1</v>
      </c>
      <c r="I93">
        <v>14</v>
      </c>
      <c r="J93">
        <v>14</v>
      </c>
      <c r="K93">
        <v>262</v>
      </c>
      <c r="L93">
        <v>116000</v>
      </c>
      <c r="M93">
        <v>116000</v>
      </c>
      <c r="N93">
        <f t="shared" si="14"/>
        <v>21.041580064316783</v>
      </c>
      <c r="O93" s="26">
        <f t="shared" si="15"/>
        <v>21.041580064316783</v>
      </c>
      <c r="P93" s="31">
        <f t="shared" si="9"/>
        <v>3805.774278215223</v>
      </c>
      <c r="Q93">
        <f t="shared" si="10"/>
        <v>3805.774278215223</v>
      </c>
      <c r="U93" s="5">
        <f t="shared" si="12"/>
        <v>30.48</v>
      </c>
      <c r="V93" s="5">
        <f t="shared" si="13"/>
        <v>30.48</v>
      </c>
    </row>
    <row r="94" spans="2:22" ht="21.75">
      <c r="B94" t="s">
        <v>403</v>
      </c>
      <c r="C94" t="s">
        <v>403</v>
      </c>
      <c r="D94">
        <v>609.6</v>
      </c>
      <c r="E94">
        <f t="shared" si="11"/>
        <v>234.24400000000003</v>
      </c>
      <c r="F94">
        <v>609.6</v>
      </c>
      <c r="G94" t="s">
        <v>488</v>
      </c>
      <c r="H94" s="3" t="b">
        <v>1</v>
      </c>
      <c r="I94">
        <v>16</v>
      </c>
      <c r="J94">
        <v>16</v>
      </c>
      <c r="K94">
        <v>298.4</v>
      </c>
      <c r="L94">
        <v>132000</v>
      </c>
      <c r="M94">
        <v>132000</v>
      </c>
      <c r="N94">
        <f t="shared" si="14"/>
        <v>21.032338180282256</v>
      </c>
      <c r="O94" s="26">
        <f t="shared" si="15"/>
        <v>21.032338180282256</v>
      </c>
      <c r="P94" s="31">
        <f t="shared" si="9"/>
        <v>4330.708661417323</v>
      </c>
      <c r="Q94">
        <f t="shared" si="10"/>
        <v>4330.708661417323</v>
      </c>
      <c r="U94" s="5">
        <f t="shared" si="12"/>
        <v>30.48</v>
      </c>
      <c r="V94" s="5">
        <f t="shared" si="13"/>
        <v>30.48</v>
      </c>
    </row>
    <row r="95" spans="2:22" ht="21.75">
      <c r="B95" t="s">
        <v>403</v>
      </c>
      <c r="C95" t="s">
        <v>403</v>
      </c>
      <c r="D95">
        <v>609.6</v>
      </c>
      <c r="E95">
        <f t="shared" si="11"/>
        <v>276.7125</v>
      </c>
      <c r="F95">
        <v>609.6</v>
      </c>
      <c r="G95" t="s">
        <v>489</v>
      </c>
      <c r="H95" s="3" t="b">
        <v>1</v>
      </c>
      <c r="I95">
        <v>19</v>
      </c>
      <c r="J95">
        <v>19</v>
      </c>
      <c r="K95">
        <v>352.5</v>
      </c>
      <c r="L95">
        <v>154000</v>
      </c>
      <c r="M95">
        <v>154000</v>
      </c>
      <c r="N95">
        <f t="shared" si="14"/>
        <v>20.901661001559503</v>
      </c>
      <c r="O95" s="26">
        <f t="shared" si="15"/>
        <v>20.901661001559503</v>
      </c>
      <c r="P95" s="31">
        <f t="shared" si="9"/>
        <v>5052.49343832021</v>
      </c>
      <c r="Q95">
        <f t="shared" si="10"/>
        <v>5052.49343832021</v>
      </c>
      <c r="U95" s="5">
        <f t="shared" si="12"/>
        <v>30.48</v>
      </c>
      <c r="V95" s="5">
        <f t="shared" si="13"/>
        <v>30.48</v>
      </c>
    </row>
    <row r="96" spans="2:22" ht="21.75">
      <c r="B96" t="s">
        <v>403</v>
      </c>
      <c r="C96" t="s">
        <v>403</v>
      </c>
      <c r="D96">
        <v>609.6</v>
      </c>
      <c r="E96">
        <f t="shared" si="11"/>
        <v>318.7885</v>
      </c>
      <c r="F96">
        <v>609.6</v>
      </c>
      <c r="G96" t="s">
        <v>490</v>
      </c>
      <c r="H96" s="3" t="b">
        <v>1</v>
      </c>
      <c r="I96">
        <v>22</v>
      </c>
      <c r="J96">
        <v>22</v>
      </c>
      <c r="K96">
        <v>406.1</v>
      </c>
      <c r="L96">
        <v>176000</v>
      </c>
      <c r="M96">
        <v>176000</v>
      </c>
      <c r="N96">
        <f t="shared" si="14"/>
        <v>20.818040024116176</v>
      </c>
      <c r="O96" s="26">
        <f t="shared" si="15"/>
        <v>20.818040024116176</v>
      </c>
      <c r="P96" s="31">
        <f t="shared" si="9"/>
        <v>5774.278215223097</v>
      </c>
      <c r="Q96">
        <f t="shared" si="10"/>
        <v>5774.278215223097</v>
      </c>
      <c r="U96" s="5">
        <f t="shared" si="12"/>
        <v>30.48</v>
      </c>
      <c r="V96" s="5">
        <f t="shared" si="13"/>
        <v>30.48</v>
      </c>
    </row>
    <row r="97" spans="2:22" ht="21.75">
      <c r="B97" t="s">
        <v>403</v>
      </c>
      <c r="C97" t="s">
        <v>403</v>
      </c>
      <c r="D97">
        <v>700</v>
      </c>
      <c r="E97">
        <f t="shared" si="11"/>
        <v>153.389</v>
      </c>
      <c r="F97">
        <v>700</v>
      </c>
      <c r="G97" t="s">
        <v>491</v>
      </c>
      <c r="H97" s="3" t="b">
        <v>1</v>
      </c>
      <c r="I97">
        <v>9</v>
      </c>
      <c r="J97">
        <v>9</v>
      </c>
      <c r="K97">
        <v>195.4</v>
      </c>
      <c r="L97">
        <v>117000</v>
      </c>
      <c r="M97">
        <v>117000</v>
      </c>
      <c r="N97">
        <f t="shared" si="14"/>
        <v>24.469813040885402</v>
      </c>
      <c r="O97" s="26">
        <f t="shared" si="15"/>
        <v>24.469813040885402</v>
      </c>
      <c r="P97" s="31">
        <f t="shared" si="9"/>
        <v>3342.8571428571427</v>
      </c>
      <c r="Q97">
        <f t="shared" si="10"/>
        <v>3342.8571428571427</v>
      </c>
      <c r="U97" s="5">
        <f t="shared" si="12"/>
        <v>35</v>
      </c>
      <c r="V97" s="5">
        <f t="shared" si="13"/>
        <v>35</v>
      </c>
    </row>
    <row r="98" spans="2:22" ht="21.75">
      <c r="B98" t="s">
        <v>403</v>
      </c>
      <c r="C98" t="s">
        <v>403</v>
      </c>
      <c r="D98">
        <v>700</v>
      </c>
      <c r="E98">
        <f t="shared" si="11"/>
        <v>203.629</v>
      </c>
      <c r="F98">
        <v>700</v>
      </c>
      <c r="G98" t="s">
        <v>492</v>
      </c>
      <c r="H98" s="3" t="b">
        <v>1</v>
      </c>
      <c r="I98">
        <v>12</v>
      </c>
      <c r="J98">
        <v>12</v>
      </c>
      <c r="K98">
        <v>259.4</v>
      </c>
      <c r="L98">
        <v>154000</v>
      </c>
      <c r="M98">
        <v>154000</v>
      </c>
      <c r="N98">
        <f t="shared" si="14"/>
        <v>24.365502617642257</v>
      </c>
      <c r="O98" s="26">
        <f t="shared" si="15"/>
        <v>24.365502617642257</v>
      </c>
      <c r="P98" s="31">
        <f t="shared" si="9"/>
        <v>4400</v>
      </c>
      <c r="Q98">
        <f t="shared" si="10"/>
        <v>4400</v>
      </c>
      <c r="U98" s="5">
        <f t="shared" si="12"/>
        <v>35</v>
      </c>
      <c r="V98" s="5">
        <f t="shared" si="13"/>
        <v>35</v>
      </c>
    </row>
    <row r="99" spans="2:22" ht="21.75">
      <c r="B99" t="s">
        <v>403</v>
      </c>
      <c r="C99" t="s">
        <v>403</v>
      </c>
      <c r="D99">
        <v>700</v>
      </c>
      <c r="E99">
        <f t="shared" si="11"/>
        <v>236.83450000000002</v>
      </c>
      <c r="F99">
        <v>700</v>
      </c>
      <c r="G99" t="s">
        <v>493</v>
      </c>
      <c r="H99" s="3" t="b">
        <v>1</v>
      </c>
      <c r="I99">
        <v>14</v>
      </c>
      <c r="J99">
        <v>14</v>
      </c>
      <c r="K99">
        <v>301.7</v>
      </c>
      <c r="L99">
        <v>178000</v>
      </c>
      <c r="M99">
        <v>178000</v>
      </c>
      <c r="N99">
        <f t="shared" si="14"/>
        <v>24.289710915269556</v>
      </c>
      <c r="O99" s="26">
        <f t="shared" si="15"/>
        <v>24.289710915269556</v>
      </c>
      <c r="P99" s="31">
        <f t="shared" si="9"/>
        <v>5085.714285714285</v>
      </c>
      <c r="Q99">
        <f t="shared" si="10"/>
        <v>5085.714285714285</v>
      </c>
      <c r="U99" s="5">
        <f t="shared" si="12"/>
        <v>35</v>
      </c>
      <c r="V99" s="5">
        <f t="shared" si="13"/>
        <v>35</v>
      </c>
    </row>
    <row r="100" spans="2:22" ht="21.75">
      <c r="B100" t="s">
        <v>403</v>
      </c>
      <c r="C100" t="s">
        <v>403</v>
      </c>
      <c r="D100">
        <v>700</v>
      </c>
      <c r="E100">
        <f t="shared" si="11"/>
        <v>269.883</v>
      </c>
      <c r="F100">
        <v>700</v>
      </c>
      <c r="G100" t="s">
        <v>494</v>
      </c>
      <c r="H100" s="3" t="b">
        <v>1</v>
      </c>
      <c r="I100">
        <v>16</v>
      </c>
      <c r="J100">
        <v>16</v>
      </c>
      <c r="K100">
        <v>343.8</v>
      </c>
      <c r="L100">
        <v>201000</v>
      </c>
      <c r="M100">
        <v>201000</v>
      </c>
      <c r="N100">
        <f t="shared" si="14"/>
        <v>24.17937620901113</v>
      </c>
      <c r="O100" s="26">
        <f t="shared" si="15"/>
        <v>24.17937620901113</v>
      </c>
      <c r="P100" s="31">
        <f t="shared" si="9"/>
        <v>5742.857142857143</v>
      </c>
      <c r="Q100">
        <f t="shared" si="10"/>
        <v>5742.857142857143</v>
      </c>
      <c r="U100" s="5">
        <f t="shared" si="12"/>
        <v>35</v>
      </c>
      <c r="V100" s="5">
        <f t="shared" si="13"/>
        <v>35</v>
      </c>
    </row>
    <row r="101" spans="2:22" ht="21.75">
      <c r="B101" t="s">
        <v>403</v>
      </c>
      <c r="C101" t="s">
        <v>403</v>
      </c>
      <c r="D101">
        <v>711.2</v>
      </c>
      <c r="E101">
        <f t="shared" si="11"/>
        <v>155.8225</v>
      </c>
      <c r="F101">
        <v>711.2</v>
      </c>
      <c r="G101" t="s">
        <v>495</v>
      </c>
      <c r="H101" s="3" t="b">
        <v>1</v>
      </c>
      <c r="I101">
        <v>9</v>
      </c>
      <c r="J101">
        <v>9</v>
      </c>
      <c r="K101">
        <v>198.5</v>
      </c>
      <c r="L101">
        <v>122000</v>
      </c>
      <c r="M101">
        <v>122000</v>
      </c>
      <c r="N101">
        <f t="shared" si="14"/>
        <v>24.791320493035723</v>
      </c>
      <c r="O101" s="26">
        <f t="shared" si="15"/>
        <v>24.791320493035723</v>
      </c>
      <c r="P101" s="31">
        <f t="shared" si="9"/>
        <v>3430.8211473565802</v>
      </c>
      <c r="Q101">
        <f t="shared" si="10"/>
        <v>3430.8211473565802</v>
      </c>
      <c r="U101" s="5">
        <f t="shared" si="12"/>
        <v>35.56</v>
      </c>
      <c r="V101" s="5">
        <f t="shared" si="13"/>
        <v>35.56</v>
      </c>
    </row>
    <row r="102" spans="2:22" ht="21.75">
      <c r="B102" t="s">
        <v>403</v>
      </c>
      <c r="C102" t="s">
        <v>403</v>
      </c>
      <c r="D102">
        <v>711.2</v>
      </c>
      <c r="E102">
        <f t="shared" si="11"/>
        <v>206.92600000000002</v>
      </c>
      <c r="F102">
        <v>711.2</v>
      </c>
      <c r="G102" t="s">
        <v>496</v>
      </c>
      <c r="H102" s="3" t="b">
        <v>1</v>
      </c>
      <c r="I102">
        <v>12</v>
      </c>
      <c r="J102">
        <v>12</v>
      </c>
      <c r="K102">
        <v>263.6</v>
      </c>
      <c r="L102">
        <v>161000</v>
      </c>
      <c r="M102">
        <v>161000</v>
      </c>
      <c r="N102">
        <f t="shared" si="14"/>
        <v>24.71384024890213</v>
      </c>
      <c r="O102" s="26">
        <f t="shared" si="15"/>
        <v>24.71384024890213</v>
      </c>
      <c r="P102" s="31">
        <f t="shared" si="9"/>
        <v>4527.55905511811</v>
      </c>
      <c r="Q102">
        <f t="shared" si="10"/>
        <v>4527.55905511811</v>
      </c>
      <c r="U102" s="5">
        <f t="shared" si="12"/>
        <v>35.56</v>
      </c>
      <c r="V102" s="5">
        <f t="shared" si="13"/>
        <v>35.56</v>
      </c>
    </row>
    <row r="103" spans="2:22" ht="21.75">
      <c r="B103" t="s">
        <v>403</v>
      </c>
      <c r="C103" t="s">
        <v>403</v>
      </c>
      <c r="D103">
        <v>711.2</v>
      </c>
      <c r="E103">
        <f t="shared" si="11"/>
        <v>240.68099999999998</v>
      </c>
      <c r="F103">
        <v>711.2</v>
      </c>
      <c r="G103" t="s">
        <v>497</v>
      </c>
      <c r="H103" s="3" t="b">
        <v>1</v>
      </c>
      <c r="I103">
        <v>14</v>
      </c>
      <c r="J103">
        <v>14</v>
      </c>
      <c r="K103">
        <v>306.6</v>
      </c>
      <c r="L103">
        <v>186000</v>
      </c>
      <c r="M103">
        <v>186000</v>
      </c>
      <c r="N103">
        <f t="shared" si="14"/>
        <v>24.63033942827931</v>
      </c>
      <c r="O103" s="26">
        <f t="shared" si="15"/>
        <v>24.63033942827931</v>
      </c>
      <c r="P103" s="31">
        <f t="shared" si="9"/>
        <v>5230.596175478065</v>
      </c>
      <c r="Q103">
        <f t="shared" si="10"/>
        <v>5230.596175478065</v>
      </c>
      <c r="U103" s="5">
        <f t="shared" si="12"/>
        <v>35.56</v>
      </c>
      <c r="V103" s="5">
        <f t="shared" si="13"/>
        <v>35.56</v>
      </c>
    </row>
    <row r="104" spans="2:22" ht="21.75">
      <c r="B104" t="s">
        <v>403</v>
      </c>
      <c r="C104" t="s">
        <v>403</v>
      </c>
      <c r="D104">
        <v>711.2</v>
      </c>
      <c r="E104">
        <f t="shared" si="11"/>
        <v>274.279</v>
      </c>
      <c r="F104">
        <v>711.2</v>
      </c>
      <c r="G104" t="s">
        <v>498</v>
      </c>
      <c r="H104" s="3" t="b">
        <v>1</v>
      </c>
      <c r="I104">
        <v>16</v>
      </c>
      <c r="J104">
        <v>16</v>
      </c>
      <c r="K104">
        <v>349.4</v>
      </c>
      <c r="L104">
        <v>211000</v>
      </c>
      <c r="M104">
        <v>211000</v>
      </c>
      <c r="N104">
        <f t="shared" si="14"/>
        <v>24.5742220008906</v>
      </c>
      <c r="O104" s="26">
        <f t="shared" si="15"/>
        <v>24.5742220008906</v>
      </c>
      <c r="P104" s="31">
        <f t="shared" si="9"/>
        <v>5933.63329583802</v>
      </c>
      <c r="Q104">
        <f t="shared" si="10"/>
        <v>5933.63329583802</v>
      </c>
      <c r="U104" s="5">
        <f t="shared" si="12"/>
        <v>35.56</v>
      </c>
      <c r="V104" s="5">
        <f t="shared" si="13"/>
        <v>35.56</v>
      </c>
    </row>
    <row r="105" spans="2:22" ht="21.75">
      <c r="B105" t="s">
        <v>403</v>
      </c>
      <c r="C105" t="s">
        <v>403</v>
      </c>
      <c r="D105">
        <v>711.2</v>
      </c>
      <c r="E105">
        <f t="shared" si="11"/>
        <v>324.362</v>
      </c>
      <c r="F105">
        <v>711.2</v>
      </c>
      <c r="G105" t="s">
        <v>499</v>
      </c>
      <c r="H105" s="3" t="b">
        <v>1</v>
      </c>
      <c r="I105">
        <v>19</v>
      </c>
      <c r="J105">
        <v>19</v>
      </c>
      <c r="K105">
        <v>413.2</v>
      </c>
      <c r="L105">
        <v>248000</v>
      </c>
      <c r="M105">
        <v>248000</v>
      </c>
      <c r="N105">
        <f t="shared" si="14"/>
        <v>24.49884917383278</v>
      </c>
      <c r="O105" s="26">
        <f t="shared" si="15"/>
        <v>24.49884917383278</v>
      </c>
      <c r="P105" s="31">
        <f t="shared" si="9"/>
        <v>6974.128233970753</v>
      </c>
      <c r="Q105">
        <f t="shared" si="10"/>
        <v>6974.128233970753</v>
      </c>
      <c r="U105" s="5">
        <f t="shared" si="12"/>
        <v>35.56</v>
      </c>
      <c r="V105" s="5">
        <f t="shared" si="13"/>
        <v>35.56</v>
      </c>
    </row>
    <row r="106" spans="2:22" ht="21.75">
      <c r="B106" t="s">
        <v>403</v>
      </c>
      <c r="C106" t="s">
        <v>403</v>
      </c>
      <c r="D106">
        <v>711.2</v>
      </c>
      <c r="E106">
        <f t="shared" si="11"/>
        <v>373.8955</v>
      </c>
      <c r="F106">
        <v>711.2</v>
      </c>
      <c r="G106" t="s">
        <v>500</v>
      </c>
      <c r="H106" s="3" t="b">
        <v>1</v>
      </c>
      <c r="I106">
        <v>22</v>
      </c>
      <c r="J106">
        <v>22</v>
      </c>
      <c r="K106">
        <v>476.3</v>
      </c>
      <c r="L106">
        <v>283000</v>
      </c>
      <c r="M106">
        <v>283000</v>
      </c>
      <c r="N106">
        <f t="shared" si="14"/>
        <v>24.375465994135187</v>
      </c>
      <c r="O106" s="26">
        <f t="shared" si="15"/>
        <v>24.375465994135187</v>
      </c>
      <c r="P106" s="31">
        <f aca="true" t="shared" si="16" ref="P106:P122">L106/U106</f>
        <v>7958.38020247469</v>
      </c>
      <c r="Q106">
        <f aca="true" t="shared" si="17" ref="Q106:Q122">M106/V106</f>
        <v>7958.38020247469</v>
      </c>
      <c r="U106" s="5">
        <f t="shared" si="12"/>
        <v>35.56</v>
      </c>
      <c r="V106" s="5">
        <f t="shared" si="13"/>
        <v>35.56</v>
      </c>
    </row>
    <row r="107" spans="2:22" ht="21.75">
      <c r="B107" t="s">
        <v>403</v>
      </c>
      <c r="C107" t="s">
        <v>403</v>
      </c>
      <c r="D107">
        <v>812.8</v>
      </c>
      <c r="E107">
        <f t="shared" si="11"/>
        <v>178.4305</v>
      </c>
      <c r="F107">
        <v>812.8</v>
      </c>
      <c r="G107" t="s">
        <v>501</v>
      </c>
      <c r="H107" s="3" t="b">
        <v>1</v>
      </c>
      <c r="I107">
        <v>9</v>
      </c>
      <c r="J107">
        <v>9</v>
      </c>
      <c r="K107">
        <v>227.3</v>
      </c>
      <c r="L107">
        <v>184000</v>
      </c>
      <c r="M107">
        <v>184000</v>
      </c>
      <c r="N107">
        <f t="shared" si="14"/>
        <v>28.451763735431957</v>
      </c>
      <c r="O107" s="26">
        <f t="shared" si="15"/>
        <v>28.451763735431957</v>
      </c>
      <c r="P107" s="31">
        <f t="shared" si="16"/>
        <v>4527.55905511811</v>
      </c>
      <c r="Q107">
        <f t="shared" si="17"/>
        <v>4527.55905511811</v>
      </c>
      <c r="U107" s="5">
        <f t="shared" si="12"/>
        <v>40.64</v>
      </c>
      <c r="V107" s="5">
        <f t="shared" si="13"/>
        <v>40.64</v>
      </c>
    </row>
    <row r="108" spans="2:22" ht="21.75">
      <c r="B108" t="s">
        <v>403</v>
      </c>
      <c r="C108" t="s">
        <v>403</v>
      </c>
      <c r="D108">
        <v>812.8</v>
      </c>
      <c r="E108">
        <f t="shared" si="11"/>
        <v>236.9915</v>
      </c>
      <c r="F108">
        <v>812.8</v>
      </c>
      <c r="G108" t="s">
        <v>502</v>
      </c>
      <c r="H108" s="3" t="b">
        <v>1</v>
      </c>
      <c r="I108">
        <v>12</v>
      </c>
      <c r="J108">
        <v>12</v>
      </c>
      <c r="K108">
        <v>301.9</v>
      </c>
      <c r="L108">
        <v>242000</v>
      </c>
      <c r="M108">
        <v>242000</v>
      </c>
      <c r="N108">
        <f t="shared" si="14"/>
        <v>28.31236356153515</v>
      </c>
      <c r="O108" s="26">
        <f t="shared" si="15"/>
        <v>28.31236356153515</v>
      </c>
      <c r="P108" s="31">
        <f t="shared" si="16"/>
        <v>5954.724409448819</v>
      </c>
      <c r="Q108">
        <f t="shared" si="17"/>
        <v>5954.724409448819</v>
      </c>
      <c r="U108" s="5">
        <f t="shared" si="12"/>
        <v>40.64</v>
      </c>
      <c r="V108" s="5">
        <f t="shared" si="13"/>
        <v>40.64</v>
      </c>
    </row>
    <row r="109" spans="2:22" ht="21.75">
      <c r="B109" t="s">
        <v>403</v>
      </c>
      <c r="C109" t="s">
        <v>403</v>
      </c>
      <c r="D109">
        <v>812.8</v>
      </c>
      <c r="E109">
        <f t="shared" si="11"/>
        <v>275.77049999999997</v>
      </c>
      <c r="F109">
        <v>812.8</v>
      </c>
      <c r="G109" t="s">
        <v>503</v>
      </c>
      <c r="H109" s="3" t="b">
        <v>1</v>
      </c>
      <c r="I109">
        <v>14</v>
      </c>
      <c r="J109">
        <v>14</v>
      </c>
      <c r="K109">
        <v>351.3</v>
      </c>
      <c r="L109">
        <v>280000</v>
      </c>
      <c r="M109">
        <v>280000</v>
      </c>
      <c r="N109">
        <f t="shared" si="14"/>
        <v>28.231889191504308</v>
      </c>
      <c r="O109" s="26">
        <f t="shared" si="15"/>
        <v>28.231889191504308</v>
      </c>
      <c r="P109" s="31">
        <f t="shared" si="16"/>
        <v>6889.763779527559</v>
      </c>
      <c r="Q109">
        <f t="shared" si="17"/>
        <v>6889.763779527559</v>
      </c>
      <c r="U109" s="5">
        <f t="shared" si="12"/>
        <v>40.64</v>
      </c>
      <c r="V109" s="5">
        <f t="shared" si="13"/>
        <v>40.64</v>
      </c>
    </row>
    <row r="110" spans="2:22" ht="21.75">
      <c r="B110" t="s">
        <v>403</v>
      </c>
      <c r="C110" t="s">
        <v>403</v>
      </c>
      <c r="D110">
        <v>812.8</v>
      </c>
      <c r="E110">
        <f t="shared" si="11"/>
        <v>314.3925</v>
      </c>
      <c r="F110">
        <v>812.8</v>
      </c>
      <c r="G110" t="s">
        <v>504</v>
      </c>
      <c r="H110" s="3" t="b">
        <v>1</v>
      </c>
      <c r="I110">
        <v>16</v>
      </c>
      <c r="J110">
        <v>16</v>
      </c>
      <c r="K110">
        <v>400.5</v>
      </c>
      <c r="L110">
        <v>318000</v>
      </c>
      <c r="M110">
        <v>318000</v>
      </c>
      <c r="N110">
        <f t="shared" si="14"/>
        <v>28.178138523271976</v>
      </c>
      <c r="O110" s="26">
        <f t="shared" si="15"/>
        <v>28.178138523271976</v>
      </c>
      <c r="P110" s="31">
        <f t="shared" si="16"/>
        <v>7824.8031496062995</v>
      </c>
      <c r="Q110">
        <f t="shared" si="17"/>
        <v>7824.8031496062995</v>
      </c>
      <c r="U110" s="5">
        <f t="shared" si="12"/>
        <v>40.64</v>
      </c>
      <c r="V110" s="5">
        <f t="shared" si="13"/>
        <v>40.64</v>
      </c>
    </row>
    <row r="111" spans="2:22" ht="21.75">
      <c r="B111" t="s">
        <v>403</v>
      </c>
      <c r="C111" t="s">
        <v>403</v>
      </c>
      <c r="D111">
        <v>812.8</v>
      </c>
      <c r="E111">
        <f t="shared" si="11"/>
        <v>371.93300000000005</v>
      </c>
      <c r="F111">
        <v>812.8</v>
      </c>
      <c r="G111" t="s">
        <v>505</v>
      </c>
      <c r="H111" s="3" t="b">
        <v>1</v>
      </c>
      <c r="I111">
        <v>19</v>
      </c>
      <c r="J111">
        <v>19</v>
      </c>
      <c r="K111">
        <v>473.8</v>
      </c>
      <c r="L111">
        <v>373000</v>
      </c>
      <c r="M111">
        <v>373000</v>
      </c>
      <c r="N111">
        <f t="shared" si="14"/>
        <v>28.05801142393075</v>
      </c>
      <c r="O111" s="26">
        <f t="shared" si="15"/>
        <v>28.05801142393075</v>
      </c>
      <c r="P111" s="31">
        <f t="shared" si="16"/>
        <v>9178.149606299212</v>
      </c>
      <c r="Q111">
        <f t="shared" si="17"/>
        <v>9178.149606299212</v>
      </c>
      <c r="U111" s="5">
        <f t="shared" si="12"/>
        <v>40.64</v>
      </c>
      <c r="V111" s="5">
        <f t="shared" si="13"/>
        <v>40.64</v>
      </c>
    </row>
    <row r="112" spans="2:22" ht="21.75">
      <c r="B112" t="s">
        <v>403</v>
      </c>
      <c r="C112" t="s">
        <v>403</v>
      </c>
      <c r="D112">
        <v>812.8</v>
      </c>
      <c r="E112">
        <f t="shared" si="11"/>
        <v>429.08099999999996</v>
      </c>
      <c r="F112">
        <v>812.8</v>
      </c>
      <c r="G112" t="s">
        <v>506</v>
      </c>
      <c r="H112" s="3" t="b">
        <v>1</v>
      </c>
      <c r="I112">
        <v>22</v>
      </c>
      <c r="J112">
        <v>22</v>
      </c>
      <c r="K112">
        <v>546.6</v>
      </c>
      <c r="L112">
        <v>428000</v>
      </c>
      <c r="M112">
        <v>428000</v>
      </c>
      <c r="N112">
        <f t="shared" si="14"/>
        <v>27.98253597862597</v>
      </c>
      <c r="O112" s="26">
        <f t="shared" si="15"/>
        <v>27.98253597862597</v>
      </c>
      <c r="P112" s="31">
        <f t="shared" si="16"/>
        <v>10531.496062992126</v>
      </c>
      <c r="Q112">
        <f t="shared" si="17"/>
        <v>10531.496062992126</v>
      </c>
      <c r="U112" s="5">
        <f t="shared" si="12"/>
        <v>40.64</v>
      </c>
      <c r="V112" s="5">
        <f t="shared" si="13"/>
        <v>40.64</v>
      </c>
    </row>
    <row r="113" spans="1:22" ht="21.75">
      <c r="A113"/>
      <c r="B113" t="s">
        <v>403</v>
      </c>
      <c r="C113" t="s">
        <v>403</v>
      </c>
      <c r="D113">
        <v>914.4</v>
      </c>
      <c r="E113">
        <f t="shared" si="11"/>
        <v>267.057</v>
      </c>
      <c r="F113">
        <v>914.4</v>
      </c>
      <c r="G113" t="s">
        <v>507</v>
      </c>
      <c r="H113" s="3" t="b">
        <v>1</v>
      </c>
      <c r="I113">
        <v>12</v>
      </c>
      <c r="J113">
        <v>12</v>
      </c>
      <c r="K113">
        <v>340.2</v>
      </c>
      <c r="L113">
        <v>346000</v>
      </c>
      <c r="M113">
        <v>346000</v>
      </c>
      <c r="N113">
        <f t="shared" si="14"/>
        <v>31.891202467554788</v>
      </c>
      <c r="O113" s="26">
        <f t="shared" si="15"/>
        <v>31.891202467554788</v>
      </c>
      <c r="P113" s="31">
        <f t="shared" si="16"/>
        <v>7567.804024496938</v>
      </c>
      <c r="Q113">
        <f t="shared" si="17"/>
        <v>7567.804024496938</v>
      </c>
      <c r="R113"/>
      <c r="S113"/>
      <c r="T113"/>
      <c r="U113" s="5">
        <f t="shared" si="12"/>
        <v>45.72</v>
      </c>
      <c r="V113" s="5">
        <f t="shared" si="13"/>
        <v>45.72</v>
      </c>
    </row>
    <row r="114" spans="1:22" ht="21.75">
      <c r="A114"/>
      <c r="B114" t="s">
        <v>403</v>
      </c>
      <c r="C114" t="s">
        <v>403</v>
      </c>
      <c r="D114">
        <v>914.4</v>
      </c>
      <c r="E114">
        <f t="shared" si="11"/>
        <v>310.86</v>
      </c>
      <c r="F114">
        <v>914.4</v>
      </c>
      <c r="G114" t="s">
        <v>508</v>
      </c>
      <c r="H114" s="3" t="b">
        <v>1</v>
      </c>
      <c r="I114">
        <v>14</v>
      </c>
      <c r="J114">
        <v>14</v>
      </c>
      <c r="K114">
        <v>396</v>
      </c>
      <c r="L114">
        <v>401000</v>
      </c>
      <c r="M114">
        <v>401000</v>
      </c>
      <c r="N114">
        <f t="shared" si="14"/>
        <v>31.821789117305496</v>
      </c>
      <c r="O114" s="26">
        <f t="shared" si="15"/>
        <v>31.821789117305496</v>
      </c>
      <c r="P114" s="31">
        <f t="shared" si="16"/>
        <v>8770.778652668416</v>
      </c>
      <c r="Q114">
        <f t="shared" si="17"/>
        <v>8770.778652668416</v>
      </c>
      <c r="R114"/>
      <c r="S114"/>
      <c r="T114"/>
      <c r="U114" s="5">
        <f t="shared" si="12"/>
        <v>45.72</v>
      </c>
      <c r="V114" s="5">
        <f t="shared" si="13"/>
        <v>45.72</v>
      </c>
    </row>
    <row r="115" spans="1:22" ht="21.75">
      <c r="A115"/>
      <c r="B115" t="s">
        <v>403</v>
      </c>
      <c r="C115" t="s">
        <v>403</v>
      </c>
      <c r="D115">
        <v>914.4</v>
      </c>
      <c r="E115">
        <f t="shared" si="11"/>
        <v>354.506</v>
      </c>
      <c r="F115">
        <v>914.4</v>
      </c>
      <c r="G115" t="s">
        <v>509</v>
      </c>
      <c r="H115" s="3" t="b">
        <v>1</v>
      </c>
      <c r="I115">
        <v>16</v>
      </c>
      <c r="J115">
        <v>16</v>
      </c>
      <c r="K115">
        <v>451.6</v>
      </c>
      <c r="L115">
        <v>456000</v>
      </c>
      <c r="M115">
        <v>456000</v>
      </c>
      <c r="N115">
        <f t="shared" si="14"/>
        <v>31.776455678979644</v>
      </c>
      <c r="O115" s="26">
        <f t="shared" si="15"/>
        <v>31.776455678979644</v>
      </c>
      <c r="P115" s="31">
        <f t="shared" si="16"/>
        <v>9973.753280839896</v>
      </c>
      <c r="Q115">
        <f t="shared" si="17"/>
        <v>9973.753280839896</v>
      </c>
      <c r="R115"/>
      <c r="S115"/>
      <c r="T115"/>
      <c r="U115" s="5">
        <f t="shared" si="12"/>
        <v>45.72</v>
      </c>
      <c r="V115" s="5">
        <f t="shared" si="13"/>
        <v>45.72</v>
      </c>
    </row>
    <row r="116" spans="1:22" ht="21.75">
      <c r="A116"/>
      <c r="B116" t="s">
        <v>403</v>
      </c>
      <c r="C116" t="s">
        <v>403</v>
      </c>
      <c r="D116">
        <v>914.4</v>
      </c>
      <c r="E116">
        <f t="shared" si="11"/>
        <v>419.5825</v>
      </c>
      <c r="F116">
        <v>914.4</v>
      </c>
      <c r="G116" t="s">
        <v>510</v>
      </c>
      <c r="H116" s="3" t="b">
        <v>1</v>
      </c>
      <c r="I116">
        <v>19</v>
      </c>
      <c r="J116">
        <v>19</v>
      </c>
      <c r="K116">
        <v>534.5</v>
      </c>
      <c r="L116">
        <v>536000</v>
      </c>
      <c r="M116">
        <v>536000</v>
      </c>
      <c r="N116">
        <f t="shared" si="14"/>
        <v>31.66711797882981</v>
      </c>
      <c r="O116" s="26">
        <f t="shared" si="15"/>
        <v>31.66711797882981</v>
      </c>
      <c r="P116" s="31">
        <f t="shared" si="16"/>
        <v>11723.534558180228</v>
      </c>
      <c r="Q116">
        <f t="shared" si="17"/>
        <v>11723.534558180228</v>
      </c>
      <c r="R116"/>
      <c r="S116"/>
      <c r="T116"/>
      <c r="U116" s="5">
        <f t="shared" si="12"/>
        <v>45.72</v>
      </c>
      <c r="V116" s="5">
        <f t="shared" si="13"/>
        <v>45.72</v>
      </c>
    </row>
    <row r="117" spans="1:22" ht="21.75">
      <c r="A117"/>
      <c r="B117" t="s">
        <v>403</v>
      </c>
      <c r="C117" t="s">
        <v>403</v>
      </c>
      <c r="D117">
        <v>914.4</v>
      </c>
      <c r="E117">
        <f t="shared" si="11"/>
        <v>483.9525</v>
      </c>
      <c r="F117">
        <v>914.4</v>
      </c>
      <c r="G117" t="s">
        <v>511</v>
      </c>
      <c r="H117" s="3" t="b">
        <v>1</v>
      </c>
      <c r="I117">
        <v>22</v>
      </c>
      <c r="J117">
        <v>22</v>
      </c>
      <c r="K117">
        <v>616.5</v>
      </c>
      <c r="L117">
        <v>614000</v>
      </c>
      <c r="M117">
        <v>614000</v>
      </c>
      <c r="N117">
        <f t="shared" si="14"/>
        <v>31.558593916070603</v>
      </c>
      <c r="O117" s="26">
        <f t="shared" si="15"/>
        <v>31.558593916070603</v>
      </c>
      <c r="P117" s="31">
        <f t="shared" si="16"/>
        <v>13429.571303587052</v>
      </c>
      <c r="Q117">
        <f t="shared" si="17"/>
        <v>13429.571303587052</v>
      </c>
      <c r="R117"/>
      <c r="S117"/>
      <c r="T117"/>
      <c r="U117" s="5">
        <f t="shared" si="12"/>
        <v>45.72</v>
      </c>
      <c r="V117" s="5">
        <f t="shared" si="13"/>
        <v>45.72</v>
      </c>
    </row>
    <row r="118" spans="1:22" ht="21.75">
      <c r="A118"/>
      <c r="B118" t="s">
        <v>403</v>
      </c>
      <c r="C118" t="s">
        <v>403</v>
      </c>
      <c r="D118">
        <v>1016</v>
      </c>
      <c r="E118">
        <f t="shared" si="11"/>
        <v>297.1225</v>
      </c>
      <c r="F118">
        <v>1016</v>
      </c>
      <c r="G118" t="s">
        <v>512</v>
      </c>
      <c r="H118" s="3" t="b">
        <v>1</v>
      </c>
      <c r="I118">
        <v>12</v>
      </c>
      <c r="J118">
        <v>12</v>
      </c>
      <c r="K118">
        <v>378.5</v>
      </c>
      <c r="L118">
        <v>477000</v>
      </c>
      <c r="M118">
        <v>477000</v>
      </c>
      <c r="N118">
        <f t="shared" si="14"/>
        <v>35.49982789695384</v>
      </c>
      <c r="O118" s="26">
        <f t="shared" si="15"/>
        <v>35.49982789695384</v>
      </c>
      <c r="P118" s="31">
        <f t="shared" si="16"/>
        <v>9389.76377952756</v>
      </c>
      <c r="Q118">
        <f t="shared" si="17"/>
        <v>9389.76377952756</v>
      </c>
      <c r="R118"/>
      <c r="S118"/>
      <c r="T118"/>
      <c r="U118" s="5">
        <f t="shared" si="12"/>
        <v>50.8</v>
      </c>
      <c r="V118" s="5">
        <f t="shared" si="13"/>
        <v>50.8</v>
      </c>
    </row>
    <row r="119" spans="1:22" ht="21.75">
      <c r="A119"/>
      <c r="B119" t="s">
        <v>403</v>
      </c>
      <c r="C119" t="s">
        <v>403</v>
      </c>
      <c r="D119">
        <v>1016</v>
      </c>
      <c r="E119">
        <f t="shared" si="11"/>
        <v>345.94949999999994</v>
      </c>
      <c r="F119">
        <v>1016</v>
      </c>
      <c r="G119" t="s">
        <v>513</v>
      </c>
      <c r="H119" s="3" t="b">
        <v>1</v>
      </c>
      <c r="I119">
        <v>14</v>
      </c>
      <c r="J119">
        <v>14</v>
      </c>
      <c r="K119">
        <v>440.7</v>
      </c>
      <c r="L119">
        <v>553000</v>
      </c>
      <c r="M119">
        <v>553000</v>
      </c>
      <c r="N119">
        <f t="shared" si="14"/>
        <v>35.423465023779094</v>
      </c>
      <c r="O119" s="26">
        <f t="shared" si="15"/>
        <v>35.423465023779094</v>
      </c>
      <c r="P119" s="31">
        <f t="shared" si="16"/>
        <v>10885.826771653545</v>
      </c>
      <c r="Q119">
        <f t="shared" si="17"/>
        <v>10885.826771653545</v>
      </c>
      <c r="R119"/>
      <c r="S119"/>
      <c r="T119"/>
      <c r="U119" s="5">
        <f t="shared" si="12"/>
        <v>50.8</v>
      </c>
      <c r="V119" s="5">
        <f t="shared" si="13"/>
        <v>50.8</v>
      </c>
    </row>
    <row r="120" spans="1:22" ht="21.75">
      <c r="A120"/>
      <c r="B120" t="s">
        <v>403</v>
      </c>
      <c r="C120" t="s">
        <v>403</v>
      </c>
      <c r="D120">
        <v>1016</v>
      </c>
      <c r="E120">
        <f t="shared" si="11"/>
        <v>394.61949999999996</v>
      </c>
      <c r="F120">
        <v>1016</v>
      </c>
      <c r="G120" t="s">
        <v>514</v>
      </c>
      <c r="H120" s="3" t="b">
        <v>1</v>
      </c>
      <c r="I120">
        <v>16</v>
      </c>
      <c r="J120">
        <v>16</v>
      </c>
      <c r="K120">
        <v>502.7</v>
      </c>
      <c r="L120">
        <v>628000</v>
      </c>
      <c r="M120">
        <v>628000</v>
      </c>
      <c r="N120">
        <f t="shared" si="14"/>
        <v>35.34478785121597</v>
      </c>
      <c r="O120" s="26">
        <f t="shared" si="15"/>
        <v>35.34478785121597</v>
      </c>
      <c r="P120" s="31">
        <f t="shared" si="16"/>
        <v>12362.20472440945</v>
      </c>
      <c r="Q120">
        <f t="shared" si="17"/>
        <v>12362.20472440945</v>
      </c>
      <c r="R120"/>
      <c r="S120"/>
      <c r="T120"/>
      <c r="U120" s="5">
        <f t="shared" si="12"/>
        <v>50.8</v>
      </c>
      <c r="V120" s="5">
        <f t="shared" si="13"/>
        <v>50.8</v>
      </c>
    </row>
    <row r="121" spans="1:22" ht="21.75">
      <c r="A121"/>
      <c r="B121" t="s">
        <v>403</v>
      </c>
      <c r="C121" t="s">
        <v>403</v>
      </c>
      <c r="D121">
        <v>1016</v>
      </c>
      <c r="E121">
        <f t="shared" si="11"/>
        <v>467.1535</v>
      </c>
      <c r="F121">
        <v>1016</v>
      </c>
      <c r="G121" t="s">
        <v>515</v>
      </c>
      <c r="H121" s="3" t="b">
        <v>1</v>
      </c>
      <c r="I121">
        <v>19</v>
      </c>
      <c r="J121">
        <v>19</v>
      </c>
      <c r="K121">
        <v>595.1</v>
      </c>
      <c r="L121">
        <v>740000</v>
      </c>
      <c r="M121">
        <v>740000</v>
      </c>
      <c r="N121">
        <f t="shared" si="14"/>
        <v>35.263132154270195</v>
      </c>
      <c r="O121" s="26">
        <f t="shared" si="15"/>
        <v>35.263132154270195</v>
      </c>
      <c r="P121" s="31">
        <f t="shared" si="16"/>
        <v>14566.929133858268</v>
      </c>
      <c r="Q121">
        <f t="shared" si="17"/>
        <v>14566.929133858268</v>
      </c>
      <c r="R121"/>
      <c r="S121"/>
      <c r="T121"/>
      <c r="U121" s="5">
        <f t="shared" si="12"/>
        <v>50.8</v>
      </c>
      <c r="V121" s="5">
        <f t="shared" si="13"/>
        <v>50.8</v>
      </c>
    </row>
    <row r="122" spans="1:22" ht="21.75">
      <c r="A122"/>
      <c r="B122" t="s">
        <v>403</v>
      </c>
      <c r="C122" t="s">
        <v>403</v>
      </c>
      <c r="D122">
        <v>1016</v>
      </c>
      <c r="E122">
        <f t="shared" si="11"/>
        <v>539.295</v>
      </c>
      <c r="F122">
        <v>1016</v>
      </c>
      <c r="G122" t="s">
        <v>516</v>
      </c>
      <c r="H122" s="3" t="b">
        <v>1</v>
      </c>
      <c r="I122">
        <v>22</v>
      </c>
      <c r="J122">
        <v>22</v>
      </c>
      <c r="K122">
        <v>687</v>
      </c>
      <c r="L122">
        <v>849000</v>
      </c>
      <c r="M122">
        <v>849000</v>
      </c>
      <c r="N122">
        <f t="shared" si="14"/>
        <v>35.15405894433826</v>
      </c>
      <c r="O122" s="26">
        <f t="shared" si="15"/>
        <v>35.15405894433826</v>
      </c>
      <c r="P122" s="31">
        <f t="shared" si="16"/>
        <v>16712.59842519685</v>
      </c>
      <c r="Q122">
        <f t="shared" si="17"/>
        <v>16712.59842519685</v>
      </c>
      <c r="R122"/>
      <c r="S122"/>
      <c r="T122"/>
      <c r="U122" s="5">
        <f t="shared" si="12"/>
        <v>50.8</v>
      </c>
      <c r="V122" s="5">
        <f t="shared" si="13"/>
        <v>50.8</v>
      </c>
    </row>
    <row r="123" spans="1:22" s="11" customFormat="1" ht="21.75">
      <c r="A123" s="8">
        <v>0</v>
      </c>
      <c r="B123" s="9" t="s">
        <v>400</v>
      </c>
      <c r="C123" s="9" t="s">
        <v>400</v>
      </c>
      <c r="D123" s="8">
        <v>100</v>
      </c>
      <c r="E123" s="8">
        <v>6.95</v>
      </c>
      <c r="F123" s="8">
        <v>100</v>
      </c>
      <c r="G123" s="9" t="s">
        <v>517</v>
      </c>
      <c r="H123" s="8" t="b">
        <v>1</v>
      </c>
      <c r="I123" s="8">
        <v>2.3</v>
      </c>
      <c r="J123" s="8">
        <v>2.3</v>
      </c>
      <c r="K123" s="8">
        <v>8.852</v>
      </c>
      <c r="L123" s="8">
        <v>140</v>
      </c>
      <c r="M123" s="8">
        <v>140</v>
      </c>
      <c r="N123" s="8">
        <v>3.97</v>
      </c>
      <c r="O123" s="25">
        <v>3.97</v>
      </c>
      <c r="P123" s="32">
        <v>28</v>
      </c>
      <c r="Q123" s="10">
        <v>28</v>
      </c>
      <c r="R123" s="8"/>
      <c r="S123" s="8"/>
      <c r="U123" s="8"/>
      <c r="V123" s="8"/>
    </row>
    <row r="124" spans="1:22" s="11" customFormat="1" ht="21.75">
      <c r="A124" s="8">
        <v>0</v>
      </c>
      <c r="B124" s="9" t="s">
        <v>400</v>
      </c>
      <c r="C124" s="9" t="s">
        <v>400</v>
      </c>
      <c r="D124" s="8">
        <v>100</v>
      </c>
      <c r="E124" s="8">
        <v>9.52</v>
      </c>
      <c r="F124" s="8">
        <v>100</v>
      </c>
      <c r="G124" s="9" t="s">
        <v>402</v>
      </c>
      <c r="H124" s="8" t="b">
        <v>1</v>
      </c>
      <c r="I124" s="8">
        <v>3.2</v>
      </c>
      <c r="J124" s="8">
        <v>3.2</v>
      </c>
      <c r="K124" s="8">
        <v>12.13</v>
      </c>
      <c r="L124" s="8">
        <v>187</v>
      </c>
      <c r="M124" s="8">
        <v>187</v>
      </c>
      <c r="N124" s="8">
        <v>3.93</v>
      </c>
      <c r="O124" s="25">
        <v>3.93</v>
      </c>
      <c r="P124" s="32">
        <v>37.5</v>
      </c>
      <c r="Q124" s="10">
        <v>37.5</v>
      </c>
      <c r="R124" s="8"/>
      <c r="S124" s="8"/>
      <c r="U124" s="8"/>
      <c r="V124" s="8"/>
    </row>
    <row r="125" spans="1:22" s="11" customFormat="1" ht="21.75">
      <c r="A125" s="8">
        <v>0</v>
      </c>
      <c r="B125" s="9" t="s">
        <v>400</v>
      </c>
      <c r="C125" s="9" t="s">
        <v>400</v>
      </c>
      <c r="D125" s="8">
        <v>100</v>
      </c>
      <c r="E125" s="8">
        <v>13.1</v>
      </c>
      <c r="F125" s="8">
        <v>100</v>
      </c>
      <c r="G125" s="9" t="s">
        <v>518</v>
      </c>
      <c r="H125" s="8" t="b">
        <v>1</v>
      </c>
      <c r="I125" s="8">
        <v>4.5</v>
      </c>
      <c r="J125" s="8">
        <v>4.5</v>
      </c>
      <c r="K125" s="8">
        <v>16.67</v>
      </c>
      <c r="L125" s="8">
        <v>249</v>
      </c>
      <c r="M125" s="8">
        <v>249</v>
      </c>
      <c r="N125" s="8">
        <v>3.87</v>
      </c>
      <c r="O125" s="25">
        <v>3.87</v>
      </c>
      <c r="P125" s="32">
        <v>49.9</v>
      </c>
      <c r="Q125" s="10">
        <v>49.9</v>
      </c>
      <c r="R125" s="8"/>
      <c r="S125" s="8"/>
      <c r="U125" s="8"/>
      <c r="V125" s="8"/>
    </row>
    <row r="126" spans="1:22" s="11" customFormat="1" ht="21.75">
      <c r="A126" s="8">
        <v>0</v>
      </c>
      <c r="B126" s="9" t="s">
        <v>400</v>
      </c>
      <c r="C126" s="9" t="s">
        <v>400</v>
      </c>
      <c r="D126" s="8">
        <v>100</v>
      </c>
      <c r="E126" s="12">
        <v>17</v>
      </c>
      <c r="F126" s="8">
        <v>100</v>
      </c>
      <c r="G126" s="9" t="s">
        <v>519</v>
      </c>
      <c r="H126" s="8" t="b">
        <v>1</v>
      </c>
      <c r="I126" s="8">
        <v>6</v>
      </c>
      <c r="J126" s="8">
        <v>6</v>
      </c>
      <c r="K126" s="8">
        <v>21.63</v>
      </c>
      <c r="L126" s="8">
        <v>312</v>
      </c>
      <c r="M126" s="8">
        <v>312</v>
      </c>
      <c r="N126" s="10">
        <v>3.8</v>
      </c>
      <c r="O126" s="24">
        <v>3.8</v>
      </c>
      <c r="P126" s="32">
        <v>62.4</v>
      </c>
      <c r="Q126" s="10">
        <v>62.4</v>
      </c>
      <c r="R126" s="8"/>
      <c r="S126" s="8"/>
      <c r="U126" s="8"/>
      <c r="V126" s="8"/>
    </row>
    <row r="127" spans="1:22" s="16" customFormat="1" ht="21.75">
      <c r="A127" s="13">
        <v>0</v>
      </c>
      <c r="B127" s="14" t="s">
        <v>400</v>
      </c>
      <c r="C127" s="14" t="s">
        <v>400</v>
      </c>
      <c r="D127" s="13">
        <v>125</v>
      </c>
      <c r="E127" s="13">
        <v>12</v>
      </c>
      <c r="F127" s="13">
        <v>125</v>
      </c>
      <c r="G127" s="14" t="s">
        <v>520</v>
      </c>
      <c r="H127" s="13" t="b">
        <v>1</v>
      </c>
      <c r="I127" s="13">
        <v>3.2</v>
      </c>
      <c r="J127" s="13">
        <v>3.2</v>
      </c>
      <c r="K127" s="13">
        <v>15.33</v>
      </c>
      <c r="L127" s="13">
        <v>379</v>
      </c>
      <c r="M127" s="13">
        <v>379</v>
      </c>
      <c r="N127" s="13">
        <v>4.97</v>
      </c>
      <c r="O127" s="25">
        <v>4.97</v>
      </c>
      <c r="P127" s="32">
        <v>60.6</v>
      </c>
      <c r="Q127" s="15">
        <v>60.6</v>
      </c>
      <c r="R127" s="13"/>
      <c r="S127" s="13"/>
      <c r="U127" s="13"/>
      <c r="V127" s="13"/>
    </row>
    <row r="128" spans="1:22" s="16" customFormat="1" ht="21.75">
      <c r="A128" s="13">
        <v>0</v>
      </c>
      <c r="B128" s="14" t="s">
        <v>400</v>
      </c>
      <c r="C128" s="14" t="s">
        <v>400</v>
      </c>
      <c r="D128" s="13">
        <v>125</v>
      </c>
      <c r="E128" s="13">
        <v>16.6</v>
      </c>
      <c r="F128" s="13">
        <v>125</v>
      </c>
      <c r="G128" s="14" t="s">
        <v>521</v>
      </c>
      <c r="H128" s="13" t="b">
        <v>1</v>
      </c>
      <c r="I128" s="13">
        <v>4.5</v>
      </c>
      <c r="J128" s="13">
        <v>4.5</v>
      </c>
      <c r="K128" s="13">
        <v>21.17</v>
      </c>
      <c r="L128" s="13">
        <v>506</v>
      </c>
      <c r="M128" s="13">
        <v>506</v>
      </c>
      <c r="N128" s="13">
        <v>4.89</v>
      </c>
      <c r="O128" s="25">
        <v>4.89</v>
      </c>
      <c r="P128" s="32">
        <v>80.9</v>
      </c>
      <c r="Q128" s="15">
        <v>80.9</v>
      </c>
      <c r="R128" s="13"/>
      <c r="S128" s="13"/>
      <c r="U128" s="13"/>
      <c r="V128" s="13"/>
    </row>
    <row r="129" spans="1:22" s="16" customFormat="1" ht="21.75">
      <c r="A129" s="13">
        <v>0</v>
      </c>
      <c r="B129" s="14" t="s">
        <v>400</v>
      </c>
      <c r="C129" s="14" t="s">
        <v>400</v>
      </c>
      <c r="D129" s="13">
        <v>125</v>
      </c>
      <c r="E129" s="13">
        <v>21.7</v>
      </c>
      <c r="F129" s="13">
        <v>125</v>
      </c>
      <c r="G129" s="14" t="s">
        <v>522</v>
      </c>
      <c r="H129" s="13" t="b">
        <v>1</v>
      </c>
      <c r="I129" s="13">
        <v>6</v>
      </c>
      <c r="J129" s="13">
        <v>6</v>
      </c>
      <c r="K129" s="13">
        <v>27.63</v>
      </c>
      <c r="L129" s="13">
        <v>641</v>
      </c>
      <c r="M129" s="13">
        <v>641</v>
      </c>
      <c r="N129" s="13">
        <v>4.82</v>
      </c>
      <c r="O129" s="25">
        <v>4.82</v>
      </c>
      <c r="P129" s="32">
        <v>103</v>
      </c>
      <c r="Q129" s="15">
        <v>103</v>
      </c>
      <c r="R129" s="13"/>
      <c r="S129" s="13"/>
      <c r="U129" s="13"/>
      <c r="V129" s="13"/>
    </row>
    <row r="130" spans="1:22" s="20" customFormat="1" ht="21.75">
      <c r="A130" s="17">
        <v>0</v>
      </c>
      <c r="B130" s="18" t="s">
        <v>400</v>
      </c>
      <c r="C130" s="18" t="s">
        <v>400</v>
      </c>
      <c r="D130" s="17">
        <v>150</v>
      </c>
      <c r="E130" s="17">
        <v>20.2</v>
      </c>
      <c r="F130" s="17">
        <v>150</v>
      </c>
      <c r="G130" s="18" t="s">
        <v>401</v>
      </c>
      <c r="H130" s="17" t="b">
        <v>1</v>
      </c>
      <c r="I130" s="17">
        <v>4.5</v>
      </c>
      <c r="J130" s="17">
        <v>4.5</v>
      </c>
      <c r="K130" s="17">
        <v>25.67</v>
      </c>
      <c r="L130" s="17">
        <v>896</v>
      </c>
      <c r="M130" s="17">
        <v>896</v>
      </c>
      <c r="N130" s="17">
        <v>5.91</v>
      </c>
      <c r="O130" s="25">
        <v>5.91</v>
      </c>
      <c r="P130" s="32">
        <v>120</v>
      </c>
      <c r="Q130" s="17">
        <v>120</v>
      </c>
      <c r="R130" s="17"/>
      <c r="S130" s="17"/>
      <c r="U130" s="17"/>
      <c r="V130" s="17"/>
    </row>
    <row r="131" spans="1:22" s="20" customFormat="1" ht="21.75">
      <c r="A131" s="17">
        <v>0</v>
      </c>
      <c r="B131" s="18" t="s">
        <v>400</v>
      </c>
      <c r="C131" s="18" t="s">
        <v>400</v>
      </c>
      <c r="D131" s="17">
        <v>150</v>
      </c>
      <c r="E131" s="17">
        <v>26.4</v>
      </c>
      <c r="F131" s="17">
        <v>150</v>
      </c>
      <c r="G131" s="18" t="s">
        <v>523</v>
      </c>
      <c r="H131" s="17" t="b">
        <v>1</v>
      </c>
      <c r="I131" s="17">
        <v>6</v>
      </c>
      <c r="J131" s="17">
        <v>6</v>
      </c>
      <c r="K131" s="17">
        <v>33.63</v>
      </c>
      <c r="L131" s="17">
        <v>1150</v>
      </c>
      <c r="M131" s="17">
        <v>1150</v>
      </c>
      <c r="N131" s="17">
        <v>5.84</v>
      </c>
      <c r="O131" s="25">
        <v>5.84</v>
      </c>
      <c r="P131" s="32">
        <v>153</v>
      </c>
      <c r="Q131" s="19">
        <v>153</v>
      </c>
      <c r="R131" s="17"/>
      <c r="S131" s="17"/>
      <c r="U131" s="17"/>
      <c r="V131" s="17"/>
    </row>
    <row r="132" spans="1:22" ht="21.75">
      <c r="A132" s="3">
        <v>1</v>
      </c>
      <c r="B132" s="4" t="s">
        <v>378</v>
      </c>
      <c r="C132" s="4" t="s">
        <v>378</v>
      </c>
      <c r="D132" s="3">
        <v>50</v>
      </c>
      <c r="E132" s="3">
        <v>3.9</v>
      </c>
      <c r="F132" s="3">
        <v>25</v>
      </c>
      <c r="G132" s="4" t="s">
        <v>34</v>
      </c>
      <c r="H132" s="3" t="b">
        <v>1</v>
      </c>
      <c r="I132" s="3">
        <v>5</v>
      </c>
      <c r="J132" s="3">
        <v>6</v>
      </c>
      <c r="K132" s="3">
        <v>4.92</v>
      </c>
      <c r="L132" s="3">
        <v>16.8</v>
      </c>
      <c r="M132" s="3">
        <v>2.49</v>
      </c>
      <c r="N132" s="3">
        <v>1.85</v>
      </c>
      <c r="O132" s="25">
        <v>0.71</v>
      </c>
      <c r="P132" s="32">
        <v>6.73</v>
      </c>
      <c r="Q132" s="3">
        <v>1.48</v>
      </c>
      <c r="R132" s="3">
        <v>6</v>
      </c>
      <c r="S132" s="3">
        <v>3</v>
      </c>
      <c r="U132" s="3">
        <v>2.5</v>
      </c>
      <c r="V132" s="3">
        <v>0.81</v>
      </c>
    </row>
    <row r="133" spans="1:22" ht="21.75">
      <c r="A133" s="3">
        <v>2</v>
      </c>
      <c r="B133" s="4" t="s">
        <v>378</v>
      </c>
      <c r="C133" s="4" t="s">
        <v>378</v>
      </c>
      <c r="D133" s="3">
        <v>75</v>
      </c>
      <c r="E133" s="3">
        <v>6.9</v>
      </c>
      <c r="F133" s="3">
        <v>40</v>
      </c>
      <c r="G133" s="4" t="s">
        <v>35</v>
      </c>
      <c r="H133" s="3" t="b">
        <v>1</v>
      </c>
      <c r="I133" s="3">
        <v>5</v>
      </c>
      <c r="J133" s="3">
        <v>7</v>
      </c>
      <c r="K133" s="3">
        <v>8.818</v>
      </c>
      <c r="L133" s="3">
        <v>75.3</v>
      </c>
      <c r="M133" s="3">
        <v>12.2</v>
      </c>
      <c r="N133" s="3">
        <v>2.92</v>
      </c>
      <c r="O133" s="25">
        <v>1.17</v>
      </c>
      <c r="P133" s="32">
        <v>20.1</v>
      </c>
      <c r="Q133" s="3">
        <v>4.47</v>
      </c>
      <c r="R133" s="3">
        <v>8</v>
      </c>
      <c r="S133" s="3">
        <v>4</v>
      </c>
      <c r="U133" s="3">
        <v>3.75</v>
      </c>
      <c r="V133" s="3">
        <v>1.28</v>
      </c>
    </row>
    <row r="134" spans="1:22" ht="21.75">
      <c r="A134" s="3">
        <v>3</v>
      </c>
      <c r="B134" s="4" t="s">
        <v>378</v>
      </c>
      <c r="C134" s="4" t="s">
        <v>378</v>
      </c>
      <c r="D134" s="3">
        <v>100</v>
      </c>
      <c r="E134" s="3">
        <v>9.3</v>
      </c>
      <c r="F134" s="3">
        <v>50</v>
      </c>
      <c r="G134" s="4" t="s">
        <v>15</v>
      </c>
      <c r="H134" s="3" t="b">
        <v>1</v>
      </c>
      <c r="I134" s="3">
        <v>5</v>
      </c>
      <c r="J134" s="3">
        <v>7.5</v>
      </c>
      <c r="K134" s="3">
        <v>11.92</v>
      </c>
      <c r="L134" s="3">
        <v>188</v>
      </c>
      <c r="M134" s="3">
        <v>26</v>
      </c>
      <c r="N134" s="3">
        <v>3.97</v>
      </c>
      <c r="O134" s="25">
        <v>1.48</v>
      </c>
      <c r="P134" s="32">
        <v>37.6</v>
      </c>
      <c r="Q134" s="3">
        <v>7.52</v>
      </c>
      <c r="R134" s="3">
        <v>8</v>
      </c>
      <c r="S134" s="3">
        <v>4</v>
      </c>
      <c r="U134" s="3">
        <v>5</v>
      </c>
      <c r="V134" s="3">
        <v>1.54</v>
      </c>
    </row>
    <row r="135" spans="1:22" ht="21.75">
      <c r="A135" s="3">
        <v>4</v>
      </c>
      <c r="B135" s="4" t="s">
        <v>378</v>
      </c>
      <c r="C135" s="4" t="s">
        <v>378</v>
      </c>
      <c r="D135" s="3">
        <v>125</v>
      </c>
      <c r="E135" s="3">
        <v>13.4</v>
      </c>
      <c r="F135" s="3">
        <v>65</v>
      </c>
      <c r="G135" s="4" t="s">
        <v>20</v>
      </c>
      <c r="H135" s="3" t="b">
        <v>1</v>
      </c>
      <c r="I135" s="3">
        <v>6</v>
      </c>
      <c r="J135" s="3">
        <v>8</v>
      </c>
      <c r="K135" s="3">
        <v>17.11</v>
      </c>
      <c r="L135" s="3">
        <v>424</v>
      </c>
      <c r="M135" s="3">
        <v>61.8</v>
      </c>
      <c r="N135" s="3">
        <v>4.98</v>
      </c>
      <c r="O135" s="25">
        <v>1.9</v>
      </c>
      <c r="P135" s="32">
        <v>67.8</v>
      </c>
      <c r="Q135" s="3">
        <v>13.4</v>
      </c>
      <c r="R135" s="3">
        <v>8</v>
      </c>
      <c r="S135" s="3">
        <v>4</v>
      </c>
      <c r="U135" s="3">
        <v>6.25</v>
      </c>
      <c r="V135" s="3">
        <v>1.9</v>
      </c>
    </row>
    <row r="136" spans="1:22" ht="21.75">
      <c r="A136" s="3">
        <v>5</v>
      </c>
      <c r="B136" s="4" t="s">
        <v>378</v>
      </c>
      <c r="C136" s="4" t="s">
        <v>378</v>
      </c>
      <c r="D136" s="3">
        <v>150</v>
      </c>
      <c r="E136" s="3">
        <v>18.6</v>
      </c>
      <c r="F136" s="3">
        <v>75</v>
      </c>
      <c r="G136" s="4" t="s">
        <v>21</v>
      </c>
      <c r="H136" s="3" t="b">
        <v>1</v>
      </c>
      <c r="I136" s="3">
        <v>6.5</v>
      </c>
      <c r="J136" s="3">
        <v>10</v>
      </c>
      <c r="K136" s="3">
        <v>23.71</v>
      </c>
      <c r="L136" s="3">
        <v>861</v>
      </c>
      <c r="M136" s="3">
        <v>117</v>
      </c>
      <c r="N136" s="3">
        <v>6.03</v>
      </c>
      <c r="O136" s="25">
        <v>2.22</v>
      </c>
      <c r="P136" s="32">
        <v>115</v>
      </c>
      <c r="Q136" s="3">
        <v>22.4</v>
      </c>
      <c r="R136" s="3">
        <v>10</v>
      </c>
      <c r="S136" s="3">
        <v>5</v>
      </c>
      <c r="U136" s="3">
        <v>7.5</v>
      </c>
      <c r="V136" s="3">
        <v>2.28</v>
      </c>
    </row>
    <row r="137" spans="1:22" ht="21.75">
      <c r="A137" s="3">
        <v>6</v>
      </c>
      <c r="B137" s="4" t="s">
        <v>378</v>
      </c>
      <c r="C137" s="4" t="s">
        <v>378</v>
      </c>
      <c r="D137" s="3">
        <v>150</v>
      </c>
      <c r="E137" s="3">
        <v>24</v>
      </c>
      <c r="F137" s="3">
        <v>75</v>
      </c>
      <c r="G137" s="4" t="s">
        <v>22</v>
      </c>
      <c r="H137" s="3" t="b">
        <v>1</v>
      </c>
      <c r="I137" s="3">
        <v>9</v>
      </c>
      <c r="J137" s="3">
        <v>12.5</v>
      </c>
      <c r="K137" s="3">
        <v>30.59</v>
      </c>
      <c r="L137" s="3">
        <v>1050</v>
      </c>
      <c r="M137" s="3">
        <v>147</v>
      </c>
      <c r="N137" s="3">
        <v>5.86</v>
      </c>
      <c r="O137" s="25">
        <v>2.19</v>
      </c>
      <c r="P137" s="32">
        <v>140</v>
      </c>
      <c r="Q137" s="3">
        <v>28.3</v>
      </c>
      <c r="R137" s="3">
        <v>15</v>
      </c>
      <c r="S137" s="3">
        <v>7.5</v>
      </c>
      <c r="U137" s="3">
        <v>7.5</v>
      </c>
      <c r="V137" s="3">
        <v>2.31</v>
      </c>
    </row>
    <row r="138" spans="1:22" ht="21.75">
      <c r="A138" s="3">
        <v>7</v>
      </c>
      <c r="B138" s="4" t="s">
        <v>378</v>
      </c>
      <c r="C138" s="4" t="s">
        <v>378</v>
      </c>
      <c r="D138" s="3">
        <v>180</v>
      </c>
      <c r="E138" s="3">
        <v>21.4</v>
      </c>
      <c r="F138" s="3">
        <v>75</v>
      </c>
      <c r="G138" s="4" t="s">
        <v>23</v>
      </c>
      <c r="H138" s="3" t="b">
        <v>1</v>
      </c>
      <c r="I138" s="3">
        <v>7</v>
      </c>
      <c r="J138" s="3">
        <v>10.5</v>
      </c>
      <c r="K138" s="3">
        <v>27.2</v>
      </c>
      <c r="L138" s="3">
        <v>1380</v>
      </c>
      <c r="M138" s="3">
        <v>131</v>
      </c>
      <c r="N138" s="3">
        <v>7.12</v>
      </c>
      <c r="O138" s="25">
        <v>2.19</v>
      </c>
      <c r="P138" s="32">
        <v>153</v>
      </c>
      <c r="Q138" s="3">
        <v>24.3</v>
      </c>
      <c r="R138" s="3">
        <v>11</v>
      </c>
      <c r="S138" s="3">
        <v>5.5</v>
      </c>
      <c r="U138" s="3">
        <v>9</v>
      </c>
      <c r="V138" s="3">
        <v>2.13</v>
      </c>
    </row>
    <row r="139" spans="1:22" ht="21.75">
      <c r="A139" s="3">
        <v>8</v>
      </c>
      <c r="B139" s="4" t="s">
        <v>378</v>
      </c>
      <c r="C139" s="4" t="s">
        <v>378</v>
      </c>
      <c r="D139" s="3">
        <v>200</v>
      </c>
      <c r="E139" s="3">
        <v>24.6</v>
      </c>
      <c r="F139" s="3">
        <v>80</v>
      </c>
      <c r="G139" s="4" t="s">
        <v>24</v>
      </c>
      <c r="H139" s="3" t="b">
        <v>1</v>
      </c>
      <c r="I139" s="3">
        <v>7.5</v>
      </c>
      <c r="J139" s="3">
        <v>11</v>
      </c>
      <c r="K139" s="3">
        <v>31.33</v>
      </c>
      <c r="L139" s="3">
        <v>1950</v>
      </c>
      <c r="M139" s="3">
        <v>168</v>
      </c>
      <c r="N139" s="3">
        <v>7.88</v>
      </c>
      <c r="O139" s="25">
        <v>2.32</v>
      </c>
      <c r="P139" s="32">
        <v>195</v>
      </c>
      <c r="Q139" s="3">
        <v>29.1</v>
      </c>
      <c r="R139" s="3">
        <v>12</v>
      </c>
      <c r="S139" s="3">
        <v>6</v>
      </c>
      <c r="U139" s="3">
        <v>10</v>
      </c>
      <c r="V139" s="3">
        <v>2.21</v>
      </c>
    </row>
    <row r="140" spans="1:22" ht="21.75">
      <c r="A140" s="3">
        <v>9</v>
      </c>
      <c r="B140" s="4" t="s">
        <v>378</v>
      </c>
      <c r="C140" s="4" t="s">
        <v>378</v>
      </c>
      <c r="D140" s="3">
        <v>200</v>
      </c>
      <c r="E140" s="3">
        <v>30.3</v>
      </c>
      <c r="F140" s="3">
        <v>90</v>
      </c>
      <c r="G140" s="4" t="s">
        <v>25</v>
      </c>
      <c r="H140" s="3" t="b">
        <v>1</v>
      </c>
      <c r="I140" s="3">
        <v>8</v>
      </c>
      <c r="J140" s="3">
        <v>13.5</v>
      </c>
      <c r="K140" s="3">
        <v>38.65</v>
      </c>
      <c r="L140" s="3">
        <v>2490</v>
      </c>
      <c r="M140" s="3">
        <v>277</v>
      </c>
      <c r="N140" s="3">
        <v>8.02</v>
      </c>
      <c r="O140" s="25">
        <v>2.68</v>
      </c>
      <c r="P140" s="32">
        <v>249</v>
      </c>
      <c r="Q140" s="3">
        <v>44.2</v>
      </c>
      <c r="R140" s="3">
        <v>14</v>
      </c>
      <c r="S140" s="3">
        <v>7</v>
      </c>
      <c r="U140" s="3">
        <v>10</v>
      </c>
      <c r="V140" s="3">
        <v>2.74</v>
      </c>
    </row>
    <row r="141" spans="1:22" ht="21.75">
      <c r="A141" s="3">
        <v>10</v>
      </c>
      <c r="B141" s="4" t="s">
        <v>378</v>
      </c>
      <c r="C141" s="4" t="s">
        <v>378</v>
      </c>
      <c r="D141" s="3">
        <v>250</v>
      </c>
      <c r="E141" s="3">
        <v>34.6</v>
      </c>
      <c r="F141" s="3">
        <v>90</v>
      </c>
      <c r="G141" s="4" t="s">
        <v>26</v>
      </c>
      <c r="H141" s="3" t="b">
        <v>1</v>
      </c>
      <c r="I141" s="3">
        <v>9</v>
      </c>
      <c r="J141" s="3">
        <v>13</v>
      </c>
      <c r="K141" s="3">
        <v>44.07</v>
      </c>
      <c r="L141" s="3">
        <v>4180</v>
      </c>
      <c r="M141" s="3">
        <v>294</v>
      </c>
      <c r="N141" s="3">
        <v>9.74</v>
      </c>
      <c r="O141" s="25">
        <v>2.58</v>
      </c>
      <c r="P141" s="32">
        <v>334</v>
      </c>
      <c r="Q141" s="3">
        <v>44.5</v>
      </c>
      <c r="R141" s="3">
        <v>14</v>
      </c>
      <c r="S141" s="3">
        <v>7</v>
      </c>
      <c r="U141" s="3">
        <v>12.5</v>
      </c>
      <c r="V141" s="3">
        <v>2.4</v>
      </c>
    </row>
    <row r="142" spans="1:22" ht="21.75">
      <c r="A142" s="3">
        <v>11</v>
      </c>
      <c r="B142" s="4" t="s">
        <v>378</v>
      </c>
      <c r="C142" s="4" t="s">
        <v>378</v>
      </c>
      <c r="D142" s="3">
        <v>250</v>
      </c>
      <c r="E142" s="3">
        <v>40.1</v>
      </c>
      <c r="F142" s="3">
        <v>90</v>
      </c>
      <c r="G142" s="4" t="s">
        <v>27</v>
      </c>
      <c r="H142" s="3" t="b">
        <v>1</v>
      </c>
      <c r="I142" s="3">
        <v>11</v>
      </c>
      <c r="J142" s="3">
        <v>14.5</v>
      </c>
      <c r="K142" s="3">
        <v>51.17</v>
      </c>
      <c r="L142" s="3">
        <v>4680</v>
      </c>
      <c r="M142" s="3">
        <v>329</v>
      </c>
      <c r="N142" s="3">
        <v>9.56</v>
      </c>
      <c r="O142" s="25">
        <v>2.54</v>
      </c>
      <c r="P142" s="32">
        <v>374</v>
      </c>
      <c r="Q142" s="3">
        <v>49.9</v>
      </c>
      <c r="R142" s="3">
        <v>17</v>
      </c>
      <c r="S142" s="3">
        <v>8.5</v>
      </c>
      <c r="U142" s="3">
        <v>12.5</v>
      </c>
      <c r="V142" s="3">
        <v>2.4</v>
      </c>
    </row>
    <row r="143" spans="1:22" ht="21.75">
      <c r="A143" s="3">
        <v>12</v>
      </c>
      <c r="B143" s="4" t="s">
        <v>378</v>
      </c>
      <c r="C143" s="4" t="s">
        <v>378</v>
      </c>
      <c r="D143" s="3">
        <v>300</v>
      </c>
      <c r="E143" s="3">
        <v>38.1</v>
      </c>
      <c r="F143" s="3">
        <v>90</v>
      </c>
      <c r="G143" s="4" t="s">
        <v>28</v>
      </c>
      <c r="H143" s="3" t="b">
        <v>1</v>
      </c>
      <c r="I143" s="3">
        <v>9</v>
      </c>
      <c r="J143" s="3">
        <v>13</v>
      </c>
      <c r="K143" s="3">
        <v>48.57</v>
      </c>
      <c r="L143" s="3">
        <v>6440</v>
      </c>
      <c r="M143" s="3">
        <v>309</v>
      </c>
      <c r="N143" s="3">
        <v>11.5</v>
      </c>
      <c r="O143" s="25">
        <v>2.52</v>
      </c>
      <c r="P143" s="32">
        <v>429</v>
      </c>
      <c r="Q143" s="3">
        <v>45.7</v>
      </c>
      <c r="R143" s="3">
        <v>14</v>
      </c>
      <c r="S143" s="3">
        <v>7</v>
      </c>
      <c r="U143" s="3">
        <v>15</v>
      </c>
      <c r="V143" s="3">
        <v>2.22</v>
      </c>
    </row>
    <row r="144" spans="1:22" ht="21.75">
      <c r="A144" s="3">
        <v>13</v>
      </c>
      <c r="B144" s="4" t="s">
        <v>378</v>
      </c>
      <c r="C144" s="4" t="s">
        <v>378</v>
      </c>
      <c r="D144" s="3">
        <v>300</v>
      </c>
      <c r="E144" s="3">
        <v>43.7</v>
      </c>
      <c r="F144" s="3">
        <v>90</v>
      </c>
      <c r="G144" s="4" t="s">
        <v>29</v>
      </c>
      <c r="H144" s="3" t="b">
        <v>1</v>
      </c>
      <c r="I144" s="3">
        <v>10</v>
      </c>
      <c r="J144" s="3">
        <v>15.5</v>
      </c>
      <c r="K144" s="3">
        <v>55.74</v>
      </c>
      <c r="L144" s="3">
        <v>7410</v>
      </c>
      <c r="M144" s="3">
        <v>360</v>
      </c>
      <c r="N144" s="3">
        <v>11.5</v>
      </c>
      <c r="O144" s="25">
        <v>2.54</v>
      </c>
      <c r="P144" s="32">
        <v>494</v>
      </c>
      <c r="Q144" s="3">
        <v>54.1</v>
      </c>
      <c r="R144" s="3">
        <v>19</v>
      </c>
      <c r="S144" s="3">
        <v>9.5</v>
      </c>
      <c r="U144" s="3">
        <v>15</v>
      </c>
      <c r="V144" s="3">
        <v>2.34</v>
      </c>
    </row>
    <row r="145" spans="1:22" ht="21.75">
      <c r="A145" s="3">
        <v>14</v>
      </c>
      <c r="B145" s="4" t="s">
        <v>378</v>
      </c>
      <c r="C145" s="4" t="s">
        <v>378</v>
      </c>
      <c r="D145" s="3">
        <v>300</v>
      </c>
      <c r="E145" s="3">
        <v>48.5</v>
      </c>
      <c r="F145" s="3">
        <v>90</v>
      </c>
      <c r="G145" s="4" t="s">
        <v>30</v>
      </c>
      <c r="H145" s="3" t="b">
        <v>1</v>
      </c>
      <c r="I145" s="3">
        <v>12</v>
      </c>
      <c r="J145" s="3">
        <v>16</v>
      </c>
      <c r="K145" s="3">
        <v>61.9</v>
      </c>
      <c r="L145" s="3">
        <v>7870</v>
      </c>
      <c r="M145" s="3">
        <v>379</v>
      </c>
      <c r="N145" s="3">
        <v>11.3</v>
      </c>
      <c r="O145" s="25">
        <v>2.48</v>
      </c>
      <c r="P145" s="32">
        <v>525</v>
      </c>
      <c r="Q145" s="3">
        <v>56.4</v>
      </c>
      <c r="R145" s="3">
        <v>19</v>
      </c>
      <c r="S145" s="3">
        <v>9.5</v>
      </c>
      <c r="U145" s="3">
        <v>15</v>
      </c>
      <c r="V145" s="3">
        <v>2.28</v>
      </c>
    </row>
    <row r="146" spans="1:22" ht="21.75">
      <c r="A146" s="3">
        <v>15</v>
      </c>
      <c r="B146" s="4" t="s">
        <v>378</v>
      </c>
      <c r="C146" s="4" t="s">
        <v>378</v>
      </c>
      <c r="D146" s="3">
        <v>380</v>
      </c>
      <c r="E146" s="3">
        <v>54.4</v>
      </c>
      <c r="F146" s="3">
        <v>100</v>
      </c>
      <c r="G146" s="4" t="s">
        <v>31</v>
      </c>
      <c r="H146" s="3" t="b">
        <v>1</v>
      </c>
      <c r="I146" s="3">
        <v>10.5</v>
      </c>
      <c r="J146" s="3">
        <v>16</v>
      </c>
      <c r="K146" s="3">
        <v>69.39</v>
      </c>
      <c r="L146" s="3">
        <v>14500</v>
      </c>
      <c r="M146" s="3">
        <v>535</v>
      </c>
      <c r="N146" s="3">
        <v>14.5</v>
      </c>
      <c r="O146" s="25">
        <v>2.78</v>
      </c>
      <c r="P146" s="32">
        <v>763</v>
      </c>
      <c r="Q146" s="3">
        <v>70.5</v>
      </c>
      <c r="R146" s="3">
        <v>18</v>
      </c>
      <c r="S146" s="3">
        <v>9</v>
      </c>
      <c r="U146" s="3">
        <v>19</v>
      </c>
      <c r="V146" s="3">
        <v>2.41</v>
      </c>
    </row>
    <row r="147" spans="1:22" ht="21.75">
      <c r="A147" s="3">
        <v>16</v>
      </c>
      <c r="B147" s="4" t="s">
        <v>378</v>
      </c>
      <c r="C147" s="4" t="s">
        <v>378</v>
      </c>
      <c r="D147" s="3">
        <v>380</v>
      </c>
      <c r="E147" s="3">
        <v>62</v>
      </c>
      <c r="F147" s="3">
        <v>100</v>
      </c>
      <c r="G147" s="4" t="s">
        <v>32</v>
      </c>
      <c r="H147" s="3" t="b">
        <v>1</v>
      </c>
      <c r="I147" s="3">
        <v>13</v>
      </c>
      <c r="J147" s="3">
        <v>16.5</v>
      </c>
      <c r="K147" s="3">
        <v>78.96</v>
      </c>
      <c r="L147" s="3">
        <v>15600</v>
      </c>
      <c r="M147" s="3">
        <v>565</v>
      </c>
      <c r="N147" s="3">
        <v>14.1</v>
      </c>
      <c r="O147" s="25">
        <v>2.67</v>
      </c>
      <c r="P147" s="32">
        <v>823</v>
      </c>
      <c r="Q147" s="3">
        <v>73.6</v>
      </c>
      <c r="R147" s="3">
        <v>18</v>
      </c>
      <c r="S147" s="3">
        <v>9</v>
      </c>
      <c r="U147" s="3">
        <v>19</v>
      </c>
      <c r="V147" s="3">
        <v>2.33</v>
      </c>
    </row>
    <row r="148" spans="1:22" ht="21.75">
      <c r="A148" s="3">
        <v>17</v>
      </c>
      <c r="B148" s="4" t="s">
        <v>378</v>
      </c>
      <c r="C148" s="4" t="s">
        <v>378</v>
      </c>
      <c r="D148" s="3">
        <v>380</v>
      </c>
      <c r="E148" s="3">
        <v>67.2</v>
      </c>
      <c r="F148" s="3">
        <v>100</v>
      </c>
      <c r="G148" s="4" t="s">
        <v>33</v>
      </c>
      <c r="H148" s="3" t="b">
        <v>1</v>
      </c>
      <c r="I148" s="3">
        <v>13</v>
      </c>
      <c r="J148" s="3">
        <v>20</v>
      </c>
      <c r="K148" s="3">
        <v>85.71</v>
      </c>
      <c r="L148" s="3">
        <v>17600</v>
      </c>
      <c r="M148" s="3">
        <v>655</v>
      </c>
      <c r="N148" s="3">
        <v>14.3</v>
      </c>
      <c r="O148" s="25">
        <v>2.76</v>
      </c>
      <c r="P148" s="32">
        <v>926</v>
      </c>
      <c r="Q148" s="3">
        <v>87.8</v>
      </c>
      <c r="R148" s="3">
        <v>24</v>
      </c>
      <c r="S148" s="3">
        <v>12</v>
      </c>
      <c r="U148" s="3">
        <v>19</v>
      </c>
      <c r="V148" s="3">
        <v>2.54</v>
      </c>
    </row>
    <row r="149" spans="1:22" ht="21.75">
      <c r="A149" s="3">
        <v>18</v>
      </c>
      <c r="B149" s="4" t="s">
        <v>379</v>
      </c>
      <c r="C149" s="4" t="s">
        <v>379</v>
      </c>
      <c r="D149" s="3">
        <v>100</v>
      </c>
      <c r="E149" s="3">
        <v>12.9</v>
      </c>
      <c r="F149" s="3">
        <v>75</v>
      </c>
      <c r="G149" s="4" t="s">
        <v>237</v>
      </c>
      <c r="H149" s="3" t="b">
        <v>1</v>
      </c>
      <c r="I149" s="3">
        <v>5</v>
      </c>
      <c r="J149" s="3">
        <v>8</v>
      </c>
      <c r="K149" s="3">
        <v>16.43</v>
      </c>
      <c r="L149" s="3">
        <v>281</v>
      </c>
      <c r="M149" s="3">
        <v>47.3</v>
      </c>
      <c r="N149" s="3">
        <v>4.14</v>
      </c>
      <c r="O149" s="25">
        <v>1.7</v>
      </c>
      <c r="P149" s="32">
        <v>56.2</v>
      </c>
      <c r="Q149" s="3">
        <v>12.6</v>
      </c>
      <c r="R149" s="3">
        <v>7</v>
      </c>
      <c r="S149" s="3">
        <v>3.5</v>
      </c>
      <c r="U149" s="3">
        <v>5</v>
      </c>
      <c r="V149" s="3">
        <v>3.75</v>
      </c>
    </row>
    <row r="150" spans="1:22" ht="21.75">
      <c r="A150" s="3">
        <v>19</v>
      </c>
      <c r="B150" s="4" t="s">
        <v>379</v>
      </c>
      <c r="C150" s="4" t="s">
        <v>379</v>
      </c>
      <c r="D150" s="3">
        <v>125</v>
      </c>
      <c r="E150" s="3">
        <v>16.1</v>
      </c>
      <c r="F150" s="3">
        <v>75</v>
      </c>
      <c r="G150" s="4" t="s">
        <v>238</v>
      </c>
      <c r="H150" s="3" t="b">
        <v>1</v>
      </c>
      <c r="I150" s="3">
        <v>5.5</v>
      </c>
      <c r="J150" s="3">
        <v>9.5</v>
      </c>
      <c r="K150" s="3">
        <v>20.45</v>
      </c>
      <c r="L150" s="3">
        <v>538</v>
      </c>
      <c r="M150" s="3">
        <v>57.5</v>
      </c>
      <c r="N150" s="3">
        <v>5.13</v>
      </c>
      <c r="O150" s="25">
        <v>1.68</v>
      </c>
      <c r="P150" s="32">
        <v>86</v>
      </c>
      <c r="Q150" s="3">
        <v>15.3</v>
      </c>
      <c r="R150" s="3">
        <v>9</v>
      </c>
      <c r="S150" s="3">
        <v>4.5</v>
      </c>
      <c r="U150" s="3">
        <v>6.25</v>
      </c>
      <c r="V150" s="3">
        <v>3.75</v>
      </c>
    </row>
    <row r="151" spans="1:22" ht="21.75">
      <c r="A151" s="3">
        <v>20</v>
      </c>
      <c r="B151" s="4" t="s">
        <v>379</v>
      </c>
      <c r="C151" s="4" t="s">
        <v>379</v>
      </c>
      <c r="D151" s="3">
        <v>150</v>
      </c>
      <c r="E151" s="3">
        <v>17.1</v>
      </c>
      <c r="F151" s="3">
        <v>75</v>
      </c>
      <c r="G151" s="4" t="s">
        <v>240</v>
      </c>
      <c r="H151" s="3" t="b">
        <v>1</v>
      </c>
      <c r="I151" s="3">
        <v>5.5</v>
      </c>
      <c r="J151" s="3">
        <v>9.5</v>
      </c>
      <c r="K151" s="3">
        <v>21.83</v>
      </c>
      <c r="L151" s="3">
        <v>819</v>
      </c>
      <c r="M151" s="3">
        <v>57.5</v>
      </c>
      <c r="N151" s="3">
        <v>6.12</v>
      </c>
      <c r="O151" s="25">
        <v>1.62</v>
      </c>
      <c r="P151" s="32">
        <v>109</v>
      </c>
      <c r="Q151" s="3">
        <v>15.3</v>
      </c>
      <c r="R151" s="3">
        <v>9</v>
      </c>
      <c r="S151" s="3">
        <v>4.5</v>
      </c>
      <c r="U151" s="3">
        <v>7.5</v>
      </c>
      <c r="V151" s="3">
        <v>3.75</v>
      </c>
    </row>
    <row r="152" spans="1:22" ht="21.75">
      <c r="A152" s="3">
        <v>21</v>
      </c>
      <c r="B152" s="4" t="s">
        <v>379</v>
      </c>
      <c r="C152" s="4" t="s">
        <v>379</v>
      </c>
      <c r="D152" s="3">
        <v>150</v>
      </c>
      <c r="E152" s="3">
        <v>36.2</v>
      </c>
      <c r="F152" s="3">
        <v>125</v>
      </c>
      <c r="G152" s="4" t="s">
        <v>239</v>
      </c>
      <c r="H152" s="3" t="b">
        <v>1</v>
      </c>
      <c r="I152" s="3">
        <v>8.5</v>
      </c>
      <c r="J152" s="3">
        <v>14</v>
      </c>
      <c r="K152" s="3">
        <v>46.15</v>
      </c>
      <c r="L152" s="3">
        <v>1760</v>
      </c>
      <c r="M152" s="3">
        <v>385</v>
      </c>
      <c r="N152" s="3">
        <v>6.18</v>
      </c>
      <c r="O152" s="25">
        <v>2.89</v>
      </c>
      <c r="P152" s="32">
        <v>235</v>
      </c>
      <c r="Q152" s="3">
        <v>61.6</v>
      </c>
      <c r="R152" s="3">
        <v>13</v>
      </c>
      <c r="S152" s="3">
        <v>6.5</v>
      </c>
      <c r="U152" s="3">
        <v>7.5</v>
      </c>
      <c r="V152" s="3">
        <v>6.25</v>
      </c>
    </row>
    <row r="153" spans="1:22" ht="21.75">
      <c r="A153" s="3">
        <v>22</v>
      </c>
      <c r="B153" s="4" t="s">
        <v>379</v>
      </c>
      <c r="C153" s="4" t="s">
        <v>379</v>
      </c>
      <c r="D153" s="3">
        <v>180</v>
      </c>
      <c r="E153" s="3">
        <v>23.6</v>
      </c>
      <c r="F153" s="3">
        <v>100</v>
      </c>
      <c r="G153" s="4" t="s">
        <v>241</v>
      </c>
      <c r="H153" s="3" t="b">
        <v>1</v>
      </c>
      <c r="I153" s="3">
        <v>6</v>
      </c>
      <c r="J153" s="3">
        <v>10</v>
      </c>
      <c r="K153" s="3">
        <v>30.06</v>
      </c>
      <c r="L153" s="3">
        <v>1670</v>
      </c>
      <c r="M153" s="3">
        <v>138</v>
      </c>
      <c r="N153" s="3">
        <v>7.45</v>
      </c>
      <c r="O153" s="25">
        <v>2.14</v>
      </c>
      <c r="P153" s="32">
        <v>186</v>
      </c>
      <c r="Q153" s="3">
        <v>27.5</v>
      </c>
      <c r="R153" s="3">
        <v>10</v>
      </c>
      <c r="S153" s="3">
        <v>5</v>
      </c>
      <c r="U153" s="3">
        <v>9</v>
      </c>
      <c r="V153" s="3">
        <v>5</v>
      </c>
    </row>
    <row r="154" spans="1:22" ht="21.75">
      <c r="A154" s="3">
        <v>23</v>
      </c>
      <c r="B154" s="4" t="s">
        <v>379</v>
      </c>
      <c r="C154" s="4" t="s">
        <v>379</v>
      </c>
      <c r="D154" s="3">
        <v>200</v>
      </c>
      <c r="E154" s="3">
        <v>26</v>
      </c>
      <c r="F154" s="3">
        <v>100</v>
      </c>
      <c r="G154" s="4" t="s">
        <v>242</v>
      </c>
      <c r="H154" s="3" t="b">
        <v>1</v>
      </c>
      <c r="I154" s="3">
        <v>7</v>
      </c>
      <c r="J154" s="3">
        <v>10</v>
      </c>
      <c r="K154" s="3">
        <v>33.06</v>
      </c>
      <c r="L154" s="3">
        <v>2170</v>
      </c>
      <c r="M154" s="3">
        <v>138</v>
      </c>
      <c r="N154" s="3">
        <v>8.11</v>
      </c>
      <c r="O154" s="25">
        <v>2.05</v>
      </c>
      <c r="P154" s="32">
        <v>217</v>
      </c>
      <c r="Q154" s="3">
        <v>27.7</v>
      </c>
      <c r="R154" s="3">
        <v>10</v>
      </c>
      <c r="S154" s="3">
        <v>5</v>
      </c>
      <c r="U154" s="3">
        <v>10</v>
      </c>
      <c r="V154" s="3">
        <v>5</v>
      </c>
    </row>
    <row r="155" spans="1:22" ht="21.75">
      <c r="A155" s="3">
        <v>24</v>
      </c>
      <c r="B155" s="4" t="s">
        <v>379</v>
      </c>
      <c r="C155" s="4" t="s">
        <v>379</v>
      </c>
      <c r="D155" s="3">
        <v>200</v>
      </c>
      <c r="E155" s="3">
        <v>50.3</v>
      </c>
      <c r="F155" s="3">
        <v>150</v>
      </c>
      <c r="G155" s="4" t="s">
        <v>243</v>
      </c>
      <c r="H155" s="3" t="b">
        <v>1</v>
      </c>
      <c r="I155" s="3">
        <v>9</v>
      </c>
      <c r="J155" s="3">
        <v>16</v>
      </c>
      <c r="K155" s="3">
        <v>64.16</v>
      </c>
      <c r="L155" s="3">
        <v>4460</v>
      </c>
      <c r="M155" s="3">
        <v>753</v>
      </c>
      <c r="N155" s="3">
        <v>8.34</v>
      </c>
      <c r="O155" s="25">
        <v>3.43</v>
      </c>
      <c r="P155" s="32">
        <v>446</v>
      </c>
      <c r="Q155" s="3">
        <v>100</v>
      </c>
      <c r="R155" s="3">
        <v>15</v>
      </c>
      <c r="S155" s="3">
        <v>7.5</v>
      </c>
      <c r="U155" s="3">
        <v>10</v>
      </c>
      <c r="V155" s="3">
        <v>7.5</v>
      </c>
    </row>
    <row r="156" spans="1:22" ht="21.75">
      <c r="A156" s="3">
        <v>25</v>
      </c>
      <c r="B156" s="4" t="s">
        <v>379</v>
      </c>
      <c r="C156" s="4" t="s">
        <v>379</v>
      </c>
      <c r="D156" s="3">
        <v>250</v>
      </c>
      <c r="E156" s="3">
        <v>38.3</v>
      </c>
      <c r="F156" s="3">
        <v>125</v>
      </c>
      <c r="G156" s="4" t="s">
        <v>244</v>
      </c>
      <c r="H156" s="3" t="b">
        <v>1</v>
      </c>
      <c r="I156" s="3">
        <v>7.5</v>
      </c>
      <c r="J156" s="3">
        <v>12.5</v>
      </c>
      <c r="K156" s="3">
        <v>48.79</v>
      </c>
      <c r="L156" s="3">
        <v>5180</v>
      </c>
      <c r="M156" s="3">
        <v>337</v>
      </c>
      <c r="N156" s="3">
        <v>10.3</v>
      </c>
      <c r="O156" s="25">
        <v>2.63</v>
      </c>
      <c r="P156" s="32">
        <v>414</v>
      </c>
      <c r="Q156" s="3">
        <v>53.9</v>
      </c>
      <c r="R156" s="3">
        <v>12</v>
      </c>
      <c r="S156" s="3">
        <v>6</v>
      </c>
      <c r="U156" s="3">
        <v>12.5</v>
      </c>
      <c r="V156" s="3">
        <v>6.25</v>
      </c>
    </row>
    <row r="157" spans="1:22" ht="21.75">
      <c r="A157" s="3">
        <v>26</v>
      </c>
      <c r="B157" s="4" t="s">
        <v>379</v>
      </c>
      <c r="C157" s="4" t="s">
        <v>379</v>
      </c>
      <c r="D157" s="3">
        <v>250</v>
      </c>
      <c r="E157" s="3">
        <v>55.4</v>
      </c>
      <c r="F157" s="3">
        <v>125</v>
      </c>
      <c r="G157" s="4" t="s">
        <v>245</v>
      </c>
      <c r="H157" s="3" t="b">
        <v>1</v>
      </c>
      <c r="I157" s="3">
        <v>10</v>
      </c>
      <c r="J157" s="3">
        <v>19</v>
      </c>
      <c r="K157" s="3">
        <v>70.73</v>
      </c>
      <c r="L157" s="3">
        <v>7310</v>
      </c>
      <c r="M157" s="3">
        <v>538</v>
      </c>
      <c r="N157" s="3">
        <v>10.2</v>
      </c>
      <c r="O157" s="25">
        <v>2.76</v>
      </c>
      <c r="P157" s="32">
        <v>858</v>
      </c>
      <c r="Q157" s="3">
        <v>86</v>
      </c>
      <c r="R157" s="3">
        <v>21</v>
      </c>
      <c r="S157" s="3">
        <v>10.5</v>
      </c>
      <c r="U157" s="3">
        <v>12.5</v>
      </c>
      <c r="V157" s="3">
        <v>6.25</v>
      </c>
    </row>
    <row r="158" spans="1:22" ht="21.75">
      <c r="A158" s="3">
        <v>27</v>
      </c>
      <c r="B158" s="4" t="s">
        <v>379</v>
      </c>
      <c r="C158" s="4" t="s">
        <v>379</v>
      </c>
      <c r="D158" s="3">
        <v>300</v>
      </c>
      <c r="E158" s="3">
        <v>48.2</v>
      </c>
      <c r="F158" s="3">
        <v>150</v>
      </c>
      <c r="G158" s="4" t="s">
        <v>246</v>
      </c>
      <c r="H158" s="3" t="b">
        <v>1</v>
      </c>
      <c r="I158" s="3">
        <v>8</v>
      </c>
      <c r="J158" s="3">
        <v>13</v>
      </c>
      <c r="K158" s="3">
        <v>61.58</v>
      </c>
      <c r="L158" s="3">
        <v>9480</v>
      </c>
      <c r="M158" s="3">
        <v>588</v>
      </c>
      <c r="N158" s="3">
        <v>12.4</v>
      </c>
      <c r="O158" s="25">
        <v>3.09</v>
      </c>
      <c r="P158" s="32">
        <v>632</v>
      </c>
      <c r="Q158" s="3">
        <v>78.4</v>
      </c>
      <c r="R158" s="3">
        <v>12</v>
      </c>
      <c r="S158" s="3">
        <v>6</v>
      </c>
      <c r="U158" s="3">
        <v>15</v>
      </c>
      <c r="V158" s="3">
        <v>7.5</v>
      </c>
    </row>
    <row r="159" spans="1:22" ht="21.75">
      <c r="A159" s="3">
        <v>28</v>
      </c>
      <c r="B159" s="4" t="s">
        <v>379</v>
      </c>
      <c r="C159" s="4" t="s">
        <v>379</v>
      </c>
      <c r="D159" s="3">
        <v>300</v>
      </c>
      <c r="E159" s="3">
        <v>65.4</v>
      </c>
      <c r="F159" s="3">
        <v>150</v>
      </c>
      <c r="G159" s="4" t="s">
        <v>247</v>
      </c>
      <c r="H159" s="3" t="b">
        <v>1</v>
      </c>
      <c r="I159" s="3">
        <v>10</v>
      </c>
      <c r="J159" s="3">
        <v>18.5</v>
      </c>
      <c r="K159" s="3">
        <v>83.47</v>
      </c>
      <c r="L159" s="3">
        <v>12700</v>
      </c>
      <c r="M159" s="3">
        <v>886</v>
      </c>
      <c r="N159" s="3">
        <v>12.3</v>
      </c>
      <c r="O159" s="25">
        <v>3.26</v>
      </c>
      <c r="P159" s="32">
        <v>849</v>
      </c>
      <c r="Q159" s="3">
        <v>118</v>
      </c>
      <c r="R159" s="3">
        <v>19</v>
      </c>
      <c r="S159" s="3">
        <v>9.5</v>
      </c>
      <c r="U159" s="3">
        <v>15</v>
      </c>
      <c r="V159" s="3">
        <v>7.5</v>
      </c>
    </row>
    <row r="160" spans="1:22" ht="21.75">
      <c r="A160" s="3">
        <v>29</v>
      </c>
      <c r="B160" s="4" t="s">
        <v>379</v>
      </c>
      <c r="C160" s="4" t="s">
        <v>379</v>
      </c>
      <c r="D160" s="3">
        <v>300</v>
      </c>
      <c r="E160" s="3">
        <v>76.7</v>
      </c>
      <c r="F160" s="3">
        <v>150</v>
      </c>
      <c r="G160" s="4" t="s">
        <v>248</v>
      </c>
      <c r="H160" s="3" t="b">
        <v>1</v>
      </c>
      <c r="I160" s="3">
        <v>11.5</v>
      </c>
      <c r="J160" s="3">
        <v>22</v>
      </c>
      <c r="K160" s="3">
        <v>97.88</v>
      </c>
      <c r="L160" s="3">
        <v>14700</v>
      </c>
      <c r="M160" s="3">
        <v>1080</v>
      </c>
      <c r="N160" s="3">
        <v>12.2</v>
      </c>
      <c r="O160" s="25">
        <v>3.32</v>
      </c>
      <c r="P160" s="32">
        <v>978</v>
      </c>
      <c r="Q160" s="3">
        <v>143</v>
      </c>
      <c r="R160" s="3">
        <v>23</v>
      </c>
      <c r="S160" s="3">
        <v>11.5</v>
      </c>
      <c r="U160" s="3">
        <v>15</v>
      </c>
      <c r="V160" s="3">
        <v>7.5</v>
      </c>
    </row>
    <row r="161" spans="1:22" ht="21.75">
      <c r="A161" s="3">
        <v>30</v>
      </c>
      <c r="B161" s="4" t="s">
        <v>379</v>
      </c>
      <c r="C161" s="4" t="s">
        <v>379</v>
      </c>
      <c r="D161" s="3">
        <v>350</v>
      </c>
      <c r="E161" s="3">
        <v>58.4</v>
      </c>
      <c r="F161" s="3">
        <v>150</v>
      </c>
      <c r="G161" s="4" t="s">
        <v>249</v>
      </c>
      <c r="H161" s="3" t="b">
        <v>1</v>
      </c>
      <c r="I161" s="3">
        <v>9</v>
      </c>
      <c r="J161" s="3">
        <v>15</v>
      </c>
      <c r="K161" s="3">
        <v>74.58</v>
      </c>
      <c r="L161" s="3">
        <v>15200</v>
      </c>
      <c r="M161" s="3">
        <v>702</v>
      </c>
      <c r="N161" s="3">
        <v>14.3</v>
      </c>
      <c r="O161" s="25">
        <v>3.07</v>
      </c>
      <c r="P161" s="32">
        <v>870</v>
      </c>
      <c r="Q161" s="3">
        <v>93.5</v>
      </c>
      <c r="R161" s="3">
        <v>13</v>
      </c>
      <c r="S161" s="3">
        <v>6.5</v>
      </c>
      <c r="U161" s="3">
        <v>17.5</v>
      </c>
      <c r="V161" s="3">
        <v>7.5</v>
      </c>
    </row>
    <row r="162" spans="1:22" ht="21.75">
      <c r="A162" s="3">
        <v>31</v>
      </c>
      <c r="B162" s="4" t="s">
        <v>379</v>
      </c>
      <c r="C162" s="4" t="s">
        <v>379</v>
      </c>
      <c r="D162" s="3">
        <v>350</v>
      </c>
      <c r="E162" s="3">
        <v>87.1</v>
      </c>
      <c r="F162" s="3">
        <v>150</v>
      </c>
      <c r="G162" s="4" t="s">
        <v>250</v>
      </c>
      <c r="H162" s="3" t="b">
        <v>1</v>
      </c>
      <c r="I162" s="3">
        <v>12</v>
      </c>
      <c r="J162" s="3">
        <v>24</v>
      </c>
      <c r="K162" s="3">
        <v>111.1</v>
      </c>
      <c r="L162" s="3">
        <v>22400</v>
      </c>
      <c r="M162" s="3">
        <v>1180</v>
      </c>
      <c r="N162" s="3">
        <v>14.2</v>
      </c>
      <c r="O162" s="25">
        <v>3.26</v>
      </c>
      <c r="P162" s="32">
        <v>1280</v>
      </c>
      <c r="Q162" s="3">
        <v>158</v>
      </c>
      <c r="R162" s="3">
        <v>25</v>
      </c>
      <c r="S162" s="3">
        <v>12.5</v>
      </c>
      <c r="U162" s="3">
        <v>17.5</v>
      </c>
      <c r="V162" s="3">
        <v>7.5</v>
      </c>
    </row>
    <row r="163" spans="1:22" ht="21.75">
      <c r="A163" s="3">
        <v>32</v>
      </c>
      <c r="B163" s="4" t="s">
        <v>379</v>
      </c>
      <c r="C163" s="4" t="s">
        <v>379</v>
      </c>
      <c r="D163" s="3">
        <v>400</v>
      </c>
      <c r="E163" s="3">
        <v>71.9</v>
      </c>
      <c r="F163" s="3">
        <v>150</v>
      </c>
      <c r="G163" s="4" t="s">
        <v>251</v>
      </c>
      <c r="H163" s="3" t="b">
        <v>1</v>
      </c>
      <c r="I163" s="3">
        <v>10</v>
      </c>
      <c r="J163" s="3">
        <v>18</v>
      </c>
      <c r="K163" s="3">
        <v>91.73</v>
      </c>
      <c r="L163" s="3">
        <v>24100</v>
      </c>
      <c r="M163" s="3">
        <v>864</v>
      </c>
      <c r="N163" s="3">
        <v>16.2</v>
      </c>
      <c r="O163" s="25">
        <v>3.07</v>
      </c>
      <c r="P163" s="32">
        <v>1200</v>
      </c>
      <c r="Q163" s="3">
        <v>115</v>
      </c>
      <c r="R163" s="3">
        <v>17</v>
      </c>
      <c r="S163" s="3">
        <v>8.5</v>
      </c>
      <c r="U163" s="3">
        <v>20</v>
      </c>
      <c r="V163" s="3">
        <v>7.5</v>
      </c>
    </row>
    <row r="164" spans="1:22" ht="21.75">
      <c r="A164" s="3">
        <v>33</v>
      </c>
      <c r="B164" s="4" t="s">
        <v>379</v>
      </c>
      <c r="C164" s="4" t="s">
        <v>379</v>
      </c>
      <c r="D164" s="3">
        <v>400</v>
      </c>
      <c r="E164" s="3">
        <v>95.7</v>
      </c>
      <c r="F164" s="3">
        <v>150</v>
      </c>
      <c r="G164" s="4" t="s">
        <v>252</v>
      </c>
      <c r="H164" s="3" t="b">
        <v>1</v>
      </c>
      <c r="I164" s="3">
        <v>12.5</v>
      </c>
      <c r="J164" s="3">
        <v>25</v>
      </c>
      <c r="K164" s="3">
        <v>122.1</v>
      </c>
      <c r="L164" s="3">
        <v>31700</v>
      </c>
      <c r="M164" s="3">
        <v>1240</v>
      </c>
      <c r="N164" s="3">
        <v>16.1</v>
      </c>
      <c r="O164" s="25">
        <v>3.18</v>
      </c>
      <c r="P164" s="32">
        <v>1580</v>
      </c>
      <c r="Q164" s="3">
        <v>165</v>
      </c>
      <c r="R164" s="3">
        <v>27</v>
      </c>
      <c r="S164" s="3">
        <v>13.5</v>
      </c>
      <c r="U164" s="3">
        <v>20</v>
      </c>
      <c r="V164" s="3">
        <v>7.5</v>
      </c>
    </row>
    <row r="165" spans="1:22" ht="21.75">
      <c r="A165" s="3">
        <v>34</v>
      </c>
      <c r="B165" s="4" t="s">
        <v>379</v>
      </c>
      <c r="C165" s="4" t="s">
        <v>379</v>
      </c>
      <c r="D165" s="3">
        <v>450</v>
      </c>
      <c r="E165" s="3">
        <v>91.6</v>
      </c>
      <c r="F165" s="3">
        <v>175</v>
      </c>
      <c r="G165" s="4" t="s">
        <v>254</v>
      </c>
      <c r="H165" s="3" t="b">
        <v>1</v>
      </c>
      <c r="I165" s="3">
        <v>11</v>
      </c>
      <c r="J165" s="3">
        <v>20</v>
      </c>
      <c r="K165" s="3">
        <v>116.8</v>
      </c>
      <c r="L165" s="3">
        <v>39200</v>
      </c>
      <c r="M165" s="3">
        <v>1510</v>
      </c>
      <c r="N165" s="3">
        <v>18.3</v>
      </c>
      <c r="O165" s="25">
        <v>3.6</v>
      </c>
      <c r="P165" s="32">
        <v>1740</v>
      </c>
      <c r="Q165" s="3">
        <v>173</v>
      </c>
      <c r="R165" s="3">
        <v>19</v>
      </c>
      <c r="S165" s="3">
        <v>9.5</v>
      </c>
      <c r="U165" s="3">
        <v>22.5</v>
      </c>
      <c r="V165" s="3">
        <v>8.75</v>
      </c>
    </row>
    <row r="166" spans="1:22" ht="21.75">
      <c r="A166" s="3">
        <v>35</v>
      </c>
      <c r="B166" s="4" t="s">
        <v>379</v>
      </c>
      <c r="C166" s="4" t="s">
        <v>379</v>
      </c>
      <c r="D166" s="3">
        <v>450</v>
      </c>
      <c r="E166" s="3">
        <v>114.9</v>
      </c>
      <c r="F166" s="3">
        <v>175</v>
      </c>
      <c r="G166" s="4" t="s">
        <v>253</v>
      </c>
      <c r="H166" s="3" t="b">
        <v>1</v>
      </c>
      <c r="I166" s="3">
        <v>13</v>
      </c>
      <c r="J166" s="3">
        <v>26</v>
      </c>
      <c r="K166" s="3">
        <v>146.1</v>
      </c>
      <c r="L166" s="3">
        <v>48800</v>
      </c>
      <c r="M166" s="3">
        <v>2020</v>
      </c>
      <c r="N166" s="3">
        <v>18.3</v>
      </c>
      <c r="O166" s="25">
        <v>3.72</v>
      </c>
      <c r="P166" s="32">
        <v>2170</v>
      </c>
      <c r="Q166" s="3">
        <v>231</v>
      </c>
      <c r="R166" s="3">
        <v>27</v>
      </c>
      <c r="S166" s="3">
        <v>13.5</v>
      </c>
      <c r="U166" s="3">
        <v>22.5</v>
      </c>
      <c r="V166" s="3">
        <v>8.75</v>
      </c>
    </row>
    <row r="167" spans="1:22" ht="21.75">
      <c r="A167" s="3">
        <v>36</v>
      </c>
      <c r="B167" s="4" t="s">
        <v>379</v>
      </c>
      <c r="C167" s="4" t="s">
        <v>379</v>
      </c>
      <c r="D167" s="3">
        <v>600</v>
      </c>
      <c r="E167" s="3">
        <v>132.8</v>
      </c>
      <c r="F167" s="3">
        <v>190</v>
      </c>
      <c r="G167" s="4" t="s">
        <v>255</v>
      </c>
      <c r="H167" s="3" t="b">
        <v>1</v>
      </c>
      <c r="I167" s="3">
        <v>13</v>
      </c>
      <c r="J167" s="3">
        <v>25</v>
      </c>
      <c r="K167" s="3">
        <v>169.4</v>
      </c>
      <c r="L167" s="3">
        <v>98400</v>
      </c>
      <c r="M167" s="3">
        <v>2460</v>
      </c>
      <c r="N167" s="3">
        <v>24.1</v>
      </c>
      <c r="O167" s="25">
        <v>3.81</v>
      </c>
      <c r="P167" s="32">
        <v>3280</v>
      </c>
      <c r="Q167" s="3">
        <v>259</v>
      </c>
      <c r="R167" s="3">
        <v>25</v>
      </c>
      <c r="S167" s="3">
        <v>12.5</v>
      </c>
      <c r="U167" s="3">
        <v>30</v>
      </c>
      <c r="V167" s="3">
        <v>9.5</v>
      </c>
    </row>
    <row r="168" spans="1:22" ht="21.75">
      <c r="A168" s="3">
        <v>37</v>
      </c>
      <c r="B168" s="4" t="s">
        <v>379</v>
      </c>
      <c r="C168" s="4" t="s">
        <v>379</v>
      </c>
      <c r="D168" s="3">
        <v>600</v>
      </c>
      <c r="E168" s="3">
        <v>175.8</v>
      </c>
      <c r="F168" s="3">
        <v>190</v>
      </c>
      <c r="G168" s="4" t="s">
        <v>256</v>
      </c>
      <c r="H168" s="3" t="b">
        <v>1</v>
      </c>
      <c r="I168" s="3">
        <v>16</v>
      </c>
      <c r="J168" s="3">
        <v>35</v>
      </c>
      <c r="K168" s="3">
        <v>224.5</v>
      </c>
      <c r="L168" s="3">
        <v>130000</v>
      </c>
      <c r="M168" s="3">
        <v>3540</v>
      </c>
      <c r="N168" s="3">
        <v>24.1</v>
      </c>
      <c r="O168" s="25">
        <v>3.97</v>
      </c>
      <c r="P168" s="32">
        <v>4330</v>
      </c>
      <c r="Q168" s="3">
        <v>373</v>
      </c>
      <c r="R168" s="3">
        <v>38</v>
      </c>
      <c r="S168" s="3">
        <v>19</v>
      </c>
      <c r="U168" s="3">
        <v>30</v>
      </c>
      <c r="V168" s="3">
        <v>9.5</v>
      </c>
    </row>
    <row r="169" spans="1:22" ht="21.75">
      <c r="A169" s="3">
        <v>38</v>
      </c>
      <c r="B169" s="4" t="s">
        <v>380</v>
      </c>
      <c r="C169" s="4" t="s">
        <v>380</v>
      </c>
      <c r="D169" s="3">
        <v>100</v>
      </c>
      <c r="E169" s="3">
        <v>9.3</v>
      </c>
      <c r="F169" s="3">
        <v>50</v>
      </c>
      <c r="G169" s="4" t="s">
        <v>158</v>
      </c>
      <c r="H169" s="3" t="b">
        <v>0</v>
      </c>
      <c r="I169" s="3">
        <v>5</v>
      </c>
      <c r="J169" s="3">
        <v>7</v>
      </c>
      <c r="K169" s="3">
        <v>11.85</v>
      </c>
      <c r="L169" s="3">
        <v>187</v>
      </c>
      <c r="M169" s="3">
        <v>14.8</v>
      </c>
      <c r="N169" s="3">
        <v>3.98</v>
      </c>
      <c r="O169" s="25">
        <v>1.12</v>
      </c>
      <c r="P169" s="32">
        <v>37.4</v>
      </c>
      <c r="Q169" s="3">
        <v>5.92</v>
      </c>
      <c r="R169" s="3">
        <v>8</v>
      </c>
      <c r="S169" s="3">
        <v>0</v>
      </c>
      <c r="U169" s="3">
        <v>5</v>
      </c>
      <c r="V169" s="3">
        <v>2.5</v>
      </c>
    </row>
    <row r="170" spans="1:22" ht="21.75">
      <c r="A170" s="3">
        <v>39</v>
      </c>
      <c r="B170" s="4" t="s">
        <v>380</v>
      </c>
      <c r="C170" s="4" t="s">
        <v>380</v>
      </c>
      <c r="D170" s="3">
        <v>100</v>
      </c>
      <c r="E170" s="3">
        <v>17.2</v>
      </c>
      <c r="F170" s="3">
        <v>100</v>
      </c>
      <c r="G170" s="4" t="s">
        <v>157</v>
      </c>
      <c r="H170" s="3" t="b">
        <v>1</v>
      </c>
      <c r="I170" s="3">
        <v>6</v>
      </c>
      <c r="J170" s="3">
        <v>8</v>
      </c>
      <c r="K170" s="3">
        <v>21.9</v>
      </c>
      <c r="L170" s="3">
        <v>383</v>
      </c>
      <c r="M170" s="3">
        <v>134</v>
      </c>
      <c r="N170" s="3">
        <v>4.18</v>
      </c>
      <c r="O170" s="25">
        <v>2.47</v>
      </c>
      <c r="P170" s="32">
        <v>76.6</v>
      </c>
      <c r="Q170" s="3">
        <v>26.8</v>
      </c>
      <c r="R170" s="3">
        <v>10</v>
      </c>
      <c r="S170" s="3">
        <v>0</v>
      </c>
      <c r="U170" s="3">
        <v>5</v>
      </c>
      <c r="V170" s="3">
        <v>5</v>
      </c>
    </row>
    <row r="171" spans="1:22" ht="21.75">
      <c r="A171" s="3">
        <v>40</v>
      </c>
      <c r="B171" s="4" t="s">
        <v>380</v>
      </c>
      <c r="C171" s="4" t="s">
        <v>380</v>
      </c>
      <c r="D171" s="3">
        <v>125</v>
      </c>
      <c r="E171" s="3">
        <v>13.2</v>
      </c>
      <c r="F171" s="3">
        <v>60</v>
      </c>
      <c r="G171" s="4" t="s">
        <v>160</v>
      </c>
      <c r="H171" s="3" t="b">
        <v>0</v>
      </c>
      <c r="I171" s="3">
        <v>6</v>
      </c>
      <c r="J171" s="3">
        <v>8</v>
      </c>
      <c r="K171" s="3">
        <v>16.84</v>
      </c>
      <c r="L171" s="3">
        <v>413</v>
      </c>
      <c r="M171" s="3">
        <v>29.2</v>
      </c>
      <c r="N171" s="3">
        <v>4.95</v>
      </c>
      <c r="O171" s="25">
        <v>1.32</v>
      </c>
      <c r="P171" s="32">
        <v>66.08</v>
      </c>
      <c r="Q171" s="3">
        <v>9.733334</v>
      </c>
      <c r="R171" s="3">
        <v>9</v>
      </c>
      <c r="S171" s="3">
        <v>0</v>
      </c>
      <c r="U171" s="3">
        <v>6.25</v>
      </c>
      <c r="V171" s="3">
        <v>3</v>
      </c>
    </row>
    <row r="172" spans="1:22" ht="21.75">
      <c r="A172" s="3">
        <v>41</v>
      </c>
      <c r="B172" s="4" t="s">
        <v>380</v>
      </c>
      <c r="C172" s="4" t="s">
        <v>380</v>
      </c>
      <c r="D172" s="3">
        <v>125</v>
      </c>
      <c r="E172" s="3">
        <v>23.8</v>
      </c>
      <c r="F172" s="3">
        <v>125</v>
      </c>
      <c r="G172" s="4" t="s">
        <v>159</v>
      </c>
      <c r="H172" s="3" t="b">
        <v>1</v>
      </c>
      <c r="I172" s="3">
        <v>6.5</v>
      </c>
      <c r="J172" s="3">
        <v>9</v>
      </c>
      <c r="K172" s="3">
        <v>30.31</v>
      </c>
      <c r="L172" s="3">
        <v>847</v>
      </c>
      <c r="M172" s="3">
        <v>293</v>
      </c>
      <c r="N172" s="3">
        <v>5.29</v>
      </c>
      <c r="O172" s="25">
        <v>3.11</v>
      </c>
      <c r="P172" s="32">
        <v>135.52</v>
      </c>
      <c r="Q172" s="3">
        <v>46.88</v>
      </c>
      <c r="R172" s="3">
        <v>10</v>
      </c>
      <c r="S172" s="3">
        <v>0</v>
      </c>
      <c r="U172" s="3">
        <v>6.25</v>
      </c>
      <c r="V172" s="3">
        <v>6.25</v>
      </c>
    </row>
    <row r="173" spans="1:22" ht="21.75">
      <c r="A173" s="3">
        <v>42</v>
      </c>
      <c r="B173" s="4" t="s">
        <v>380</v>
      </c>
      <c r="C173" s="4" t="s">
        <v>380</v>
      </c>
      <c r="D173" s="3">
        <v>148</v>
      </c>
      <c r="E173" s="3">
        <v>21.1</v>
      </c>
      <c r="F173" s="3">
        <v>100</v>
      </c>
      <c r="G173" s="4" t="s">
        <v>161</v>
      </c>
      <c r="H173" s="3" t="b">
        <v>1</v>
      </c>
      <c r="I173" s="3">
        <v>6</v>
      </c>
      <c r="J173" s="3">
        <v>9</v>
      </c>
      <c r="K173" s="3">
        <v>26.84</v>
      </c>
      <c r="L173" s="3">
        <v>1020</v>
      </c>
      <c r="M173" s="3">
        <v>151</v>
      </c>
      <c r="N173" s="3">
        <v>6.17</v>
      </c>
      <c r="O173" s="25">
        <v>2.37</v>
      </c>
      <c r="P173" s="32">
        <v>137.84</v>
      </c>
      <c r="Q173" s="3">
        <v>30.2</v>
      </c>
      <c r="R173" s="3">
        <v>11</v>
      </c>
      <c r="S173" s="3">
        <v>0</v>
      </c>
      <c r="U173" s="3">
        <v>7.4</v>
      </c>
      <c r="V173" s="3">
        <v>5</v>
      </c>
    </row>
    <row r="174" spans="1:22" ht="21.75">
      <c r="A174" s="3">
        <v>43</v>
      </c>
      <c r="B174" s="4" t="s">
        <v>380</v>
      </c>
      <c r="C174" s="4" t="s">
        <v>380</v>
      </c>
      <c r="D174" s="3">
        <v>150</v>
      </c>
      <c r="E174" s="3">
        <v>14</v>
      </c>
      <c r="F174" s="3">
        <v>75</v>
      </c>
      <c r="G174" s="4" t="s">
        <v>163</v>
      </c>
      <c r="H174" s="3" t="b">
        <v>0</v>
      </c>
      <c r="I174" s="3">
        <v>5</v>
      </c>
      <c r="J174" s="3">
        <v>7</v>
      </c>
      <c r="K174" s="3">
        <v>17.85</v>
      </c>
      <c r="L174" s="3">
        <v>666</v>
      </c>
      <c r="M174" s="3">
        <v>49.5</v>
      </c>
      <c r="N174" s="3">
        <v>6.11</v>
      </c>
      <c r="O174" s="25">
        <v>1.66</v>
      </c>
      <c r="P174" s="32">
        <v>88.8</v>
      </c>
      <c r="Q174" s="3">
        <v>13.2</v>
      </c>
      <c r="R174" s="3">
        <v>8</v>
      </c>
      <c r="S174" s="3">
        <v>0</v>
      </c>
      <c r="U174" s="3">
        <v>7.5</v>
      </c>
      <c r="V174" s="3">
        <v>3.75</v>
      </c>
    </row>
    <row r="175" spans="1:22" ht="21.75">
      <c r="A175" s="3">
        <v>44</v>
      </c>
      <c r="B175" s="4" t="s">
        <v>380</v>
      </c>
      <c r="C175" s="4" t="s">
        <v>380</v>
      </c>
      <c r="D175" s="3">
        <v>150</v>
      </c>
      <c r="E175" s="3">
        <v>31.5</v>
      </c>
      <c r="F175" s="3">
        <v>150</v>
      </c>
      <c r="G175" s="4" t="s">
        <v>162</v>
      </c>
      <c r="H175" s="3" t="b">
        <v>1</v>
      </c>
      <c r="I175" s="3">
        <v>7</v>
      </c>
      <c r="J175" s="3">
        <v>10</v>
      </c>
      <c r="K175" s="3">
        <v>40.14</v>
      </c>
      <c r="L175" s="3">
        <v>1640</v>
      </c>
      <c r="M175" s="3">
        <v>563</v>
      </c>
      <c r="N175" s="3">
        <v>6.39</v>
      </c>
      <c r="O175" s="25">
        <v>3.75</v>
      </c>
      <c r="P175" s="32">
        <v>218.67</v>
      </c>
      <c r="Q175" s="3">
        <v>75.06667</v>
      </c>
      <c r="R175" s="3">
        <v>11</v>
      </c>
      <c r="S175" s="3">
        <v>0</v>
      </c>
      <c r="U175" s="3">
        <v>7.5</v>
      </c>
      <c r="V175" s="3">
        <v>7.5</v>
      </c>
    </row>
    <row r="176" spans="1:22" ht="21.75">
      <c r="A176" s="3">
        <v>45</v>
      </c>
      <c r="B176" s="4" t="s">
        <v>380</v>
      </c>
      <c r="C176" s="4" t="s">
        <v>380</v>
      </c>
      <c r="D176" s="3">
        <v>175</v>
      </c>
      <c r="E176" s="3">
        <v>18.1</v>
      </c>
      <c r="F176" s="3">
        <v>90</v>
      </c>
      <c r="G176" s="4" t="s">
        <v>165</v>
      </c>
      <c r="H176" s="3" t="b">
        <v>0</v>
      </c>
      <c r="I176" s="3">
        <v>5</v>
      </c>
      <c r="J176" s="3">
        <v>8</v>
      </c>
      <c r="K176" s="3">
        <v>23.04</v>
      </c>
      <c r="L176" s="3">
        <v>1210</v>
      </c>
      <c r="M176" s="3">
        <v>97.5</v>
      </c>
      <c r="N176" s="3">
        <v>7.26</v>
      </c>
      <c r="O176" s="25">
        <v>2.06</v>
      </c>
      <c r="P176" s="32">
        <v>138.29</v>
      </c>
      <c r="Q176" s="3">
        <v>21.66667</v>
      </c>
      <c r="R176" s="3">
        <v>9</v>
      </c>
      <c r="S176" s="3">
        <v>0</v>
      </c>
      <c r="U176" s="3">
        <v>8.75</v>
      </c>
      <c r="V176" s="3">
        <v>4.5</v>
      </c>
    </row>
    <row r="177" spans="1:22" ht="21.75">
      <c r="A177" s="3">
        <v>46</v>
      </c>
      <c r="B177" s="4" t="s">
        <v>380</v>
      </c>
      <c r="C177" s="4" t="s">
        <v>380</v>
      </c>
      <c r="D177" s="3">
        <v>175</v>
      </c>
      <c r="E177" s="3">
        <v>40.1</v>
      </c>
      <c r="F177" s="3">
        <v>175</v>
      </c>
      <c r="G177" s="4" t="s">
        <v>164</v>
      </c>
      <c r="H177" s="3" t="b">
        <v>1</v>
      </c>
      <c r="I177" s="3">
        <v>7.5</v>
      </c>
      <c r="J177" s="3">
        <v>11</v>
      </c>
      <c r="K177" s="3">
        <v>51.21</v>
      </c>
      <c r="L177" s="3">
        <v>2880</v>
      </c>
      <c r="M177" s="3">
        <v>984</v>
      </c>
      <c r="N177" s="3">
        <v>7.5</v>
      </c>
      <c r="O177" s="25">
        <v>4.38</v>
      </c>
      <c r="P177" s="32">
        <v>329.14</v>
      </c>
      <c r="Q177" s="3">
        <v>112.4571</v>
      </c>
      <c r="R177" s="3">
        <v>12</v>
      </c>
      <c r="S177" s="3">
        <v>0</v>
      </c>
      <c r="U177" s="3">
        <v>8.75</v>
      </c>
      <c r="V177" s="3">
        <v>8.75</v>
      </c>
    </row>
    <row r="178" spans="1:22" ht="21.75">
      <c r="A178" s="3">
        <v>47</v>
      </c>
      <c r="B178" s="4" t="s">
        <v>380</v>
      </c>
      <c r="C178" s="4" t="s">
        <v>380</v>
      </c>
      <c r="D178" s="3">
        <v>194</v>
      </c>
      <c r="E178" s="3">
        <v>30.6</v>
      </c>
      <c r="F178" s="3">
        <v>150</v>
      </c>
      <c r="G178" s="4" t="s">
        <v>166</v>
      </c>
      <c r="H178" s="3" t="b">
        <v>1</v>
      </c>
      <c r="I178" s="3">
        <v>6</v>
      </c>
      <c r="J178" s="3">
        <v>9</v>
      </c>
      <c r="K178" s="3">
        <v>39.01</v>
      </c>
      <c r="L178" s="3">
        <v>2690</v>
      </c>
      <c r="M178" s="3">
        <v>507</v>
      </c>
      <c r="N178" s="3">
        <v>8.3</v>
      </c>
      <c r="O178" s="25">
        <v>3.61</v>
      </c>
      <c r="P178" s="32">
        <v>277.32</v>
      </c>
      <c r="Q178" s="3">
        <v>67.6</v>
      </c>
      <c r="R178" s="3">
        <v>13</v>
      </c>
      <c r="S178" s="3">
        <v>0</v>
      </c>
      <c r="U178" s="3">
        <v>9.7</v>
      </c>
      <c r="V178" s="3">
        <v>7.5</v>
      </c>
    </row>
    <row r="179" spans="1:22" ht="21.75">
      <c r="A179" s="3">
        <v>48</v>
      </c>
      <c r="B179" s="4" t="s">
        <v>380</v>
      </c>
      <c r="C179" s="4" t="s">
        <v>380</v>
      </c>
      <c r="D179" s="3">
        <v>198</v>
      </c>
      <c r="E179" s="3">
        <v>18.2</v>
      </c>
      <c r="F179" s="3">
        <v>99</v>
      </c>
      <c r="G179" s="4" t="s">
        <v>167</v>
      </c>
      <c r="H179" s="3" t="b">
        <v>1</v>
      </c>
      <c r="I179" s="3">
        <v>4.5</v>
      </c>
      <c r="J179" s="3">
        <v>7</v>
      </c>
      <c r="K179" s="3">
        <v>23.18</v>
      </c>
      <c r="L179" s="3">
        <v>1580</v>
      </c>
      <c r="M179" s="3">
        <v>114</v>
      </c>
      <c r="N179" s="3">
        <v>8.26</v>
      </c>
      <c r="O179" s="25">
        <v>2.21</v>
      </c>
      <c r="P179" s="32">
        <v>159.6</v>
      </c>
      <c r="Q179" s="3">
        <v>23.0303</v>
      </c>
      <c r="R179" s="3">
        <v>11</v>
      </c>
      <c r="S179" s="3">
        <v>0</v>
      </c>
      <c r="U179" s="3">
        <v>9.9</v>
      </c>
      <c r="V179" s="3">
        <v>4.95</v>
      </c>
    </row>
    <row r="180" spans="1:22" ht="21.75">
      <c r="A180" s="3">
        <v>49</v>
      </c>
      <c r="B180" s="4" t="s">
        <v>380</v>
      </c>
      <c r="C180" s="4" t="s">
        <v>380</v>
      </c>
      <c r="D180" s="3">
        <v>200</v>
      </c>
      <c r="E180" s="3">
        <v>21.3</v>
      </c>
      <c r="F180" s="3">
        <v>100</v>
      </c>
      <c r="G180" s="4" t="s">
        <v>168</v>
      </c>
      <c r="H180" s="3" t="b">
        <v>1</v>
      </c>
      <c r="I180" s="3">
        <v>5.5</v>
      </c>
      <c r="J180" s="3">
        <v>8</v>
      </c>
      <c r="K180" s="3">
        <v>27.16</v>
      </c>
      <c r="L180" s="3">
        <v>1840</v>
      </c>
      <c r="M180" s="3">
        <v>134</v>
      </c>
      <c r="N180" s="3">
        <v>8.24</v>
      </c>
      <c r="O180" s="25">
        <v>2.22</v>
      </c>
      <c r="P180" s="32">
        <v>184</v>
      </c>
      <c r="Q180" s="3">
        <v>26.8</v>
      </c>
      <c r="R180" s="3">
        <v>11</v>
      </c>
      <c r="S180" s="3">
        <v>0</v>
      </c>
      <c r="U180" s="3">
        <v>10</v>
      </c>
      <c r="V180" s="3">
        <v>5</v>
      </c>
    </row>
    <row r="181" spans="1:22" ht="21.75">
      <c r="A181" s="3">
        <v>50</v>
      </c>
      <c r="B181" s="4" t="s">
        <v>380</v>
      </c>
      <c r="C181" s="4" t="s">
        <v>380</v>
      </c>
      <c r="D181" s="3">
        <v>200</v>
      </c>
      <c r="E181" s="3">
        <v>49.8</v>
      </c>
      <c r="F181" s="3">
        <v>200</v>
      </c>
      <c r="G181" s="4" t="s">
        <v>169</v>
      </c>
      <c r="H181" s="3" t="b">
        <v>1</v>
      </c>
      <c r="I181" s="3">
        <v>8</v>
      </c>
      <c r="J181" s="3">
        <v>12</v>
      </c>
      <c r="K181" s="3">
        <v>63.53</v>
      </c>
      <c r="L181" s="3">
        <v>4720</v>
      </c>
      <c r="M181" s="3">
        <v>1600</v>
      </c>
      <c r="N181" s="3">
        <v>8.62</v>
      </c>
      <c r="O181" s="25">
        <v>5.02</v>
      </c>
      <c r="P181" s="32">
        <v>472</v>
      </c>
      <c r="Q181" s="3">
        <v>160</v>
      </c>
      <c r="R181" s="3">
        <v>13</v>
      </c>
      <c r="S181" s="3">
        <v>0</v>
      </c>
      <c r="U181" s="3">
        <v>10</v>
      </c>
      <c r="V181" s="3">
        <v>10</v>
      </c>
    </row>
    <row r="182" spans="1:22" ht="21.75">
      <c r="A182" s="3">
        <v>51</v>
      </c>
      <c r="B182" s="4" t="s">
        <v>380</v>
      </c>
      <c r="C182" s="4" t="s">
        <v>380</v>
      </c>
      <c r="D182" s="3">
        <v>200</v>
      </c>
      <c r="E182" s="3">
        <v>56.1</v>
      </c>
      <c r="F182" s="3">
        <v>204</v>
      </c>
      <c r="G182" s="4" t="s">
        <v>170</v>
      </c>
      <c r="H182" s="3" t="b">
        <v>1</v>
      </c>
      <c r="I182" s="3">
        <v>12</v>
      </c>
      <c r="J182" s="3">
        <v>12</v>
      </c>
      <c r="K182" s="3">
        <v>71.53</v>
      </c>
      <c r="L182" s="3">
        <v>4980</v>
      </c>
      <c r="M182" s="3">
        <v>1700</v>
      </c>
      <c r="N182" s="3">
        <v>8.35</v>
      </c>
      <c r="O182" s="25">
        <v>4.88</v>
      </c>
      <c r="P182" s="32">
        <v>498</v>
      </c>
      <c r="Q182" s="3">
        <v>166.6667</v>
      </c>
      <c r="R182" s="3">
        <v>13</v>
      </c>
      <c r="S182" s="3">
        <v>0</v>
      </c>
      <c r="U182" s="3">
        <v>10</v>
      </c>
      <c r="V182" s="3">
        <v>10.2</v>
      </c>
    </row>
    <row r="183" spans="1:22" ht="21.75">
      <c r="A183" s="3">
        <v>52</v>
      </c>
      <c r="B183" s="4" t="s">
        <v>380</v>
      </c>
      <c r="C183" s="4" t="s">
        <v>380</v>
      </c>
      <c r="D183" s="3">
        <v>208</v>
      </c>
      <c r="E183" s="3">
        <v>65.6</v>
      </c>
      <c r="F183" s="3">
        <v>202</v>
      </c>
      <c r="G183" s="4" t="s">
        <v>171</v>
      </c>
      <c r="H183" s="3" t="b">
        <v>1</v>
      </c>
      <c r="I183" s="3">
        <v>10</v>
      </c>
      <c r="J183" s="3">
        <v>16</v>
      </c>
      <c r="K183" s="3">
        <v>83.69</v>
      </c>
      <c r="L183" s="3">
        <v>6530</v>
      </c>
      <c r="M183" s="3">
        <v>2200</v>
      </c>
      <c r="N183" s="3">
        <v>8.83</v>
      </c>
      <c r="O183" s="25">
        <v>5.13</v>
      </c>
      <c r="P183" s="32">
        <v>627.88</v>
      </c>
      <c r="Q183" s="3">
        <v>217.8218</v>
      </c>
      <c r="R183" s="3">
        <v>13</v>
      </c>
      <c r="S183" s="3">
        <v>0</v>
      </c>
      <c r="U183" s="3">
        <v>10.4</v>
      </c>
      <c r="V183" s="3">
        <v>10.1</v>
      </c>
    </row>
    <row r="184" spans="1:22" ht="21.75">
      <c r="A184" s="3">
        <v>53</v>
      </c>
      <c r="B184" s="4" t="s">
        <v>380</v>
      </c>
      <c r="C184" s="4" t="s">
        <v>380</v>
      </c>
      <c r="D184" s="3">
        <v>244</v>
      </c>
      <c r="E184" s="3">
        <v>44</v>
      </c>
      <c r="F184" s="3">
        <v>175</v>
      </c>
      <c r="G184" s="4" t="s">
        <v>172</v>
      </c>
      <c r="H184" s="3" t="b">
        <v>1</v>
      </c>
      <c r="I184" s="3">
        <v>7</v>
      </c>
      <c r="J184" s="3">
        <v>11</v>
      </c>
      <c r="K184" s="3">
        <v>56.24</v>
      </c>
      <c r="L184" s="3">
        <v>6120</v>
      </c>
      <c r="M184" s="3">
        <v>984</v>
      </c>
      <c r="N184" s="3">
        <v>10.4</v>
      </c>
      <c r="O184" s="25">
        <v>4.18</v>
      </c>
      <c r="P184" s="32">
        <v>501.64</v>
      </c>
      <c r="Q184" s="3">
        <v>112.4571</v>
      </c>
      <c r="R184" s="3">
        <v>16</v>
      </c>
      <c r="S184" s="3">
        <v>0</v>
      </c>
      <c r="U184" s="3">
        <v>12.2</v>
      </c>
      <c r="V184" s="3">
        <v>8.75</v>
      </c>
    </row>
    <row r="185" spans="1:22" ht="21.75">
      <c r="A185" s="3">
        <v>54</v>
      </c>
      <c r="B185" s="4" t="s">
        <v>380</v>
      </c>
      <c r="C185" s="4" t="s">
        <v>380</v>
      </c>
      <c r="D185" s="3">
        <v>244</v>
      </c>
      <c r="E185" s="3">
        <v>64.3</v>
      </c>
      <c r="F185" s="3">
        <v>252</v>
      </c>
      <c r="G185" s="4" t="s">
        <v>173</v>
      </c>
      <c r="H185" s="3" t="b">
        <v>1</v>
      </c>
      <c r="I185" s="3">
        <v>11</v>
      </c>
      <c r="J185" s="3">
        <v>11</v>
      </c>
      <c r="K185" s="3">
        <v>82.06</v>
      </c>
      <c r="L185" s="3">
        <v>8790</v>
      </c>
      <c r="M185" s="3">
        <v>2940</v>
      </c>
      <c r="N185" s="3">
        <v>10.3</v>
      </c>
      <c r="O185" s="25">
        <v>5.98</v>
      </c>
      <c r="P185" s="32">
        <v>720.49</v>
      </c>
      <c r="Q185" s="3">
        <v>233.3333</v>
      </c>
      <c r="R185" s="3">
        <v>16</v>
      </c>
      <c r="S185" s="3">
        <v>0</v>
      </c>
      <c r="U185" s="3">
        <v>12.2</v>
      </c>
      <c r="V185" s="3">
        <v>12.6</v>
      </c>
    </row>
    <row r="186" spans="1:22" ht="21.75">
      <c r="A186" s="3">
        <v>55</v>
      </c>
      <c r="B186" s="4" t="s">
        <v>380</v>
      </c>
      <c r="C186" s="4" t="s">
        <v>380</v>
      </c>
      <c r="D186" s="3">
        <v>248</v>
      </c>
      <c r="E186" s="3">
        <v>25.7</v>
      </c>
      <c r="F186" s="3">
        <v>124</v>
      </c>
      <c r="G186" s="4" t="s">
        <v>174</v>
      </c>
      <c r="H186" s="3" t="b">
        <v>1</v>
      </c>
      <c r="I186" s="3">
        <v>5</v>
      </c>
      <c r="J186" s="3">
        <v>8</v>
      </c>
      <c r="K186" s="3">
        <v>32.68</v>
      </c>
      <c r="L186" s="3">
        <v>3540</v>
      </c>
      <c r="M186" s="3">
        <v>255</v>
      </c>
      <c r="N186" s="3">
        <v>10.4</v>
      </c>
      <c r="O186" s="25">
        <v>2.79</v>
      </c>
      <c r="P186" s="32">
        <v>285.48</v>
      </c>
      <c r="Q186" s="3">
        <v>41.12903</v>
      </c>
      <c r="R186" s="3">
        <v>12</v>
      </c>
      <c r="S186" s="3">
        <v>0</v>
      </c>
      <c r="U186" s="3">
        <v>12.4</v>
      </c>
      <c r="V186" s="3">
        <v>6.2</v>
      </c>
    </row>
    <row r="187" spans="1:22" ht="21.75">
      <c r="A187" s="3">
        <v>56</v>
      </c>
      <c r="B187" s="4" t="s">
        <v>380</v>
      </c>
      <c r="C187" s="4" t="s">
        <v>380</v>
      </c>
      <c r="D187" s="3">
        <v>248</v>
      </c>
      <c r="E187" s="3">
        <v>66.4</v>
      </c>
      <c r="F187" s="3">
        <v>249</v>
      </c>
      <c r="G187" s="4" t="s">
        <v>175</v>
      </c>
      <c r="H187" s="3" t="b">
        <v>1</v>
      </c>
      <c r="I187" s="3">
        <v>8</v>
      </c>
      <c r="J187" s="3">
        <v>13</v>
      </c>
      <c r="K187" s="3">
        <v>84.7</v>
      </c>
      <c r="L187" s="3">
        <v>9930</v>
      </c>
      <c r="M187" s="3">
        <v>3350</v>
      </c>
      <c r="N187" s="3">
        <v>10.8</v>
      </c>
      <c r="O187" s="25">
        <v>6.28</v>
      </c>
      <c r="P187" s="32">
        <v>800.81</v>
      </c>
      <c r="Q187" s="3">
        <v>269.0763</v>
      </c>
      <c r="R187" s="3">
        <v>16</v>
      </c>
      <c r="S187" s="3">
        <v>0</v>
      </c>
      <c r="U187" s="3">
        <v>12.4</v>
      </c>
      <c r="V187" s="3">
        <v>12.45</v>
      </c>
    </row>
    <row r="188" spans="1:22" ht="21.75">
      <c r="A188" s="3">
        <v>57</v>
      </c>
      <c r="B188" s="4" t="s">
        <v>380</v>
      </c>
      <c r="C188" s="4" t="s">
        <v>380</v>
      </c>
      <c r="D188" s="3">
        <v>250</v>
      </c>
      <c r="E188" s="3">
        <v>29.6</v>
      </c>
      <c r="F188" s="3">
        <v>125</v>
      </c>
      <c r="G188" s="4" t="s">
        <v>176</v>
      </c>
      <c r="H188" s="3" t="b">
        <v>1</v>
      </c>
      <c r="I188" s="3">
        <v>6</v>
      </c>
      <c r="J188" s="3">
        <v>9</v>
      </c>
      <c r="K188" s="3">
        <v>37.66</v>
      </c>
      <c r="L188" s="3">
        <v>4050</v>
      </c>
      <c r="M188" s="3">
        <v>294</v>
      </c>
      <c r="N188" s="3">
        <v>10.4</v>
      </c>
      <c r="O188" s="25">
        <v>2.79</v>
      </c>
      <c r="P188" s="32">
        <v>324</v>
      </c>
      <c r="Q188" s="3">
        <v>47.04</v>
      </c>
      <c r="R188" s="3">
        <v>12</v>
      </c>
      <c r="S188" s="3">
        <v>0</v>
      </c>
      <c r="U188" s="3">
        <v>12.5</v>
      </c>
      <c r="V188" s="3">
        <v>6.25</v>
      </c>
    </row>
    <row r="189" spans="1:22" ht="21.75">
      <c r="A189" s="3">
        <v>58</v>
      </c>
      <c r="B189" s="4" t="s">
        <v>380</v>
      </c>
      <c r="C189" s="4" t="s">
        <v>380</v>
      </c>
      <c r="D189" s="3">
        <v>250</v>
      </c>
      <c r="E189" s="3">
        <v>72.3</v>
      </c>
      <c r="F189" s="3">
        <v>250</v>
      </c>
      <c r="G189" s="4" t="s">
        <v>177</v>
      </c>
      <c r="H189" s="3" t="b">
        <v>1</v>
      </c>
      <c r="I189" s="3">
        <v>9</v>
      </c>
      <c r="J189" s="3">
        <v>14</v>
      </c>
      <c r="K189" s="3">
        <v>92.18</v>
      </c>
      <c r="L189" s="3">
        <v>10800</v>
      </c>
      <c r="M189" s="3">
        <v>3650</v>
      </c>
      <c r="N189" s="3">
        <v>10.8</v>
      </c>
      <c r="O189" s="25">
        <v>6.29</v>
      </c>
      <c r="P189" s="32">
        <v>864</v>
      </c>
      <c r="Q189" s="3">
        <v>292</v>
      </c>
      <c r="R189" s="3">
        <v>16</v>
      </c>
      <c r="S189" s="3">
        <v>0</v>
      </c>
      <c r="U189" s="3">
        <v>12.5</v>
      </c>
      <c r="V189" s="3">
        <v>12.5</v>
      </c>
    </row>
    <row r="190" spans="1:22" ht="21.75">
      <c r="A190" s="3">
        <v>59</v>
      </c>
      <c r="B190" s="4" t="s">
        <v>380</v>
      </c>
      <c r="C190" s="4" t="s">
        <v>380</v>
      </c>
      <c r="D190" s="3">
        <v>250</v>
      </c>
      <c r="E190" s="3">
        <v>82.1</v>
      </c>
      <c r="F190" s="3">
        <v>255</v>
      </c>
      <c r="G190" s="4" t="s">
        <v>178</v>
      </c>
      <c r="H190" s="3" t="b">
        <v>1</v>
      </c>
      <c r="I190" s="3">
        <v>14</v>
      </c>
      <c r="J190" s="3">
        <v>14</v>
      </c>
      <c r="K190" s="3">
        <v>104.7</v>
      </c>
      <c r="L190" s="3">
        <v>11500</v>
      </c>
      <c r="M190" s="3">
        <v>3880</v>
      </c>
      <c r="N190" s="3">
        <v>10.5</v>
      </c>
      <c r="O190" s="25">
        <v>6.09</v>
      </c>
      <c r="P190" s="32">
        <v>920</v>
      </c>
      <c r="Q190" s="3">
        <v>304.3137</v>
      </c>
      <c r="R190" s="3">
        <v>16</v>
      </c>
      <c r="S190" s="3">
        <v>0</v>
      </c>
      <c r="U190" s="3">
        <v>12.5</v>
      </c>
      <c r="V190" s="3">
        <v>12.75</v>
      </c>
    </row>
    <row r="191" spans="1:22" ht="21.75">
      <c r="A191" s="3">
        <v>60</v>
      </c>
      <c r="B191" s="4" t="s">
        <v>380</v>
      </c>
      <c r="C191" s="4" t="s">
        <v>380</v>
      </c>
      <c r="D191" s="3">
        <v>294</v>
      </c>
      <c r="E191" s="3">
        <v>56.7</v>
      </c>
      <c r="F191" s="3">
        <v>200</v>
      </c>
      <c r="G191" s="4" t="s">
        <v>179</v>
      </c>
      <c r="H191" s="3" t="b">
        <v>1</v>
      </c>
      <c r="I191" s="3">
        <v>8</v>
      </c>
      <c r="J191" s="3">
        <v>12</v>
      </c>
      <c r="K191" s="3">
        <v>72.38</v>
      </c>
      <c r="L191" s="3">
        <v>11300</v>
      </c>
      <c r="M191" s="3">
        <v>1600</v>
      </c>
      <c r="N191" s="3">
        <v>12.49482</v>
      </c>
      <c r="O191" s="25">
        <v>4.701654</v>
      </c>
      <c r="P191" s="32">
        <v>768.71</v>
      </c>
      <c r="Q191" s="3">
        <v>160</v>
      </c>
      <c r="R191" s="3">
        <v>18</v>
      </c>
      <c r="S191" s="3">
        <v>0</v>
      </c>
      <c r="U191" s="3">
        <v>14.7</v>
      </c>
      <c r="V191" s="3">
        <v>10</v>
      </c>
    </row>
    <row r="192" spans="1:22" ht="21.75">
      <c r="A192" s="3">
        <v>61</v>
      </c>
      <c r="B192" s="4" t="s">
        <v>380</v>
      </c>
      <c r="C192" s="4" t="s">
        <v>380</v>
      </c>
      <c r="D192" s="3">
        <v>294</v>
      </c>
      <c r="E192" s="3">
        <v>84.4</v>
      </c>
      <c r="F192" s="3">
        <v>302</v>
      </c>
      <c r="G192" s="4" t="s">
        <v>180</v>
      </c>
      <c r="H192" s="3" t="b">
        <v>1</v>
      </c>
      <c r="I192" s="3">
        <v>12</v>
      </c>
      <c r="J192" s="3">
        <v>12</v>
      </c>
      <c r="K192" s="3">
        <v>107.7</v>
      </c>
      <c r="L192" s="3">
        <v>16900</v>
      </c>
      <c r="M192" s="3">
        <v>5520</v>
      </c>
      <c r="N192" s="3">
        <v>12.52667</v>
      </c>
      <c r="O192" s="25">
        <v>7.159154</v>
      </c>
      <c r="P192" s="32">
        <v>1149.66</v>
      </c>
      <c r="Q192" s="3">
        <v>365.5629</v>
      </c>
      <c r="R192" s="3">
        <v>18</v>
      </c>
      <c r="S192" s="3">
        <v>0</v>
      </c>
      <c r="U192" s="3">
        <v>14.7</v>
      </c>
      <c r="V192" s="3">
        <v>15.1</v>
      </c>
    </row>
    <row r="193" spans="1:22" ht="21.75">
      <c r="A193" s="3">
        <v>62</v>
      </c>
      <c r="B193" s="4" t="s">
        <v>380</v>
      </c>
      <c r="C193" s="4" t="s">
        <v>380</v>
      </c>
      <c r="D193" s="3">
        <v>298</v>
      </c>
      <c r="E193" s="3">
        <v>32</v>
      </c>
      <c r="F193" s="3">
        <v>149</v>
      </c>
      <c r="G193" s="4" t="s">
        <v>181</v>
      </c>
      <c r="H193" s="3" t="b">
        <v>1</v>
      </c>
      <c r="I193" s="3">
        <v>5.5</v>
      </c>
      <c r="J193" s="3">
        <v>8</v>
      </c>
      <c r="K193" s="3">
        <v>40.8</v>
      </c>
      <c r="L193" s="3">
        <v>6320</v>
      </c>
      <c r="M193" s="3">
        <v>442</v>
      </c>
      <c r="N193" s="3">
        <v>3.935759</v>
      </c>
      <c r="O193" s="25">
        <v>1.040833</v>
      </c>
      <c r="P193" s="32">
        <v>424.16</v>
      </c>
      <c r="Q193" s="3">
        <v>59.32886</v>
      </c>
      <c r="R193" s="3">
        <v>13</v>
      </c>
      <c r="S193" s="3">
        <v>0</v>
      </c>
      <c r="U193" s="3">
        <v>14.9</v>
      </c>
      <c r="V193" s="3">
        <v>7.45</v>
      </c>
    </row>
    <row r="194" spans="1:22" ht="21.75">
      <c r="A194" s="3">
        <v>63</v>
      </c>
      <c r="B194" s="4" t="s">
        <v>380</v>
      </c>
      <c r="C194" s="4" t="s">
        <v>380</v>
      </c>
      <c r="D194" s="3">
        <v>298</v>
      </c>
      <c r="E194" s="3">
        <v>65.3</v>
      </c>
      <c r="F194" s="3">
        <v>201</v>
      </c>
      <c r="G194" s="4" t="s">
        <v>182</v>
      </c>
      <c r="H194" s="3" t="b">
        <v>1</v>
      </c>
      <c r="I194" s="3">
        <v>9</v>
      </c>
      <c r="J194" s="3">
        <v>14</v>
      </c>
      <c r="K194" s="3">
        <v>83.36</v>
      </c>
      <c r="L194" s="3">
        <v>13300</v>
      </c>
      <c r="M194" s="3">
        <v>1900</v>
      </c>
      <c r="N194" s="3">
        <v>12.63127</v>
      </c>
      <c r="O194" s="25">
        <v>4.774171</v>
      </c>
      <c r="P194" s="32">
        <v>892.62</v>
      </c>
      <c r="Q194" s="3">
        <v>189.0547</v>
      </c>
      <c r="R194" s="3">
        <v>18</v>
      </c>
      <c r="S194" s="3">
        <v>0</v>
      </c>
      <c r="U194" s="3">
        <v>14.9</v>
      </c>
      <c r="V194" s="3">
        <v>10.05</v>
      </c>
    </row>
    <row r="195" spans="1:22" ht="21.75">
      <c r="A195" s="3">
        <v>64</v>
      </c>
      <c r="B195" s="4" t="s">
        <v>380</v>
      </c>
      <c r="C195" s="4" t="s">
        <v>380</v>
      </c>
      <c r="D195" s="3">
        <v>298</v>
      </c>
      <c r="E195" s="3">
        <v>86.9</v>
      </c>
      <c r="F195" s="3">
        <v>299</v>
      </c>
      <c r="G195" s="4" t="s">
        <v>183</v>
      </c>
      <c r="H195" s="3" t="b">
        <v>1</v>
      </c>
      <c r="I195" s="3">
        <v>9</v>
      </c>
      <c r="J195" s="3">
        <v>14</v>
      </c>
      <c r="K195" s="3">
        <v>110.8</v>
      </c>
      <c r="L195" s="3">
        <v>18800</v>
      </c>
      <c r="M195" s="3">
        <v>6240</v>
      </c>
      <c r="N195" s="3">
        <v>13.02594</v>
      </c>
      <c r="O195" s="25">
        <v>7.504511</v>
      </c>
      <c r="P195" s="32">
        <v>1261.74</v>
      </c>
      <c r="Q195" s="3">
        <v>417.3913</v>
      </c>
      <c r="R195" s="3">
        <v>18</v>
      </c>
      <c r="S195" s="3">
        <v>0</v>
      </c>
      <c r="U195" s="3">
        <v>14.9</v>
      </c>
      <c r="V195" s="3">
        <v>14.95</v>
      </c>
    </row>
    <row r="196" spans="1:22" ht="21.75">
      <c r="A196" s="3">
        <v>65</v>
      </c>
      <c r="B196" s="4" t="s">
        <v>380</v>
      </c>
      <c r="C196" s="4" t="s">
        <v>380</v>
      </c>
      <c r="D196" s="3">
        <v>300</v>
      </c>
      <c r="E196" s="3">
        <v>36.7</v>
      </c>
      <c r="F196" s="3">
        <v>150</v>
      </c>
      <c r="G196" s="4" t="s">
        <v>184</v>
      </c>
      <c r="H196" s="3" t="b">
        <v>1</v>
      </c>
      <c r="I196" s="3">
        <v>6.5</v>
      </c>
      <c r="J196" s="3">
        <v>9</v>
      </c>
      <c r="K196" s="3">
        <v>46.78</v>
      </c>
      <c r="L196" s="3">
        <v>7210</v>
      </c>
      <c r="M196" s="3">
        <v>508</v>
      </c>
      <c r="N196" s="3">
        <v>12.41474</v>
      </c>
      <c r="O196" s="25">
        <v>3.295352</v>
      </c>
      <c r="P196" s="32">
        <v>480.67</v>
      </c>
      <c r="Q196" s="3">
        <v>67.73333</v>
      </c>
      <c r="R196" s="3">
        <v>13</v>
      </c>
      <c r="S196" s="3">
        <v>0</v>
      </c>
      <c r="U196" s="3">
        <v>15</v>
      </c>
      <c r="V196" s="3">
        <v>7.5</v>
      </c>
    </row>
    <row r="197" spans="1:22" ht="21.75">
      <c r="A197" s="3">
        <v>66</v>
      </c>
      <c r="B197" s="4" t="s">
        <v>380</v>
      </c>
      <c r="C197" s="4" t="s">
        <v>380</v>
      </c>
      <c r="D197" s="3">
        <v>300</v>
      </c>
      <c r="E197" s="3">
        <v>93.9</v>
      </c>
      <c r="F197" s="3">
        <v>300</v>
      </c>
      <c r="G197" s="4" t="s">
        <v>185</v>
      </c>
      <c r="H197" s="3" t="b">
        <v>1</v>
      </c>
      <c r="I197" s="3">
        <v>10</v>
      </c>
      <c r="J197" s="3">
        <v>15</v>
      </c>
      <c r="K197" s="3">
        <v>119.8</v>
      </c>
      <c r="L197" s="3">
        <v>20400</v>
      </c>
      <c r="M197" s="3">
        <v>6750</v>
      </c>
      <c r="N197" s="3">
        <v>13.04928</v>
      </c>
      <c r="O197" s="25">
        <v>7.506258</v>
      </c>
      <c r="P197" s="32">
        <v>1360</v>
      </c>
      <c r="Q197" s="3">
        <v>450</v>
      </c>
      <c r="R197" s="3">
        <v>18</v>
      </c>
      <c r="S197" s="3">
        <v>0</v>
      </c>
      <c r="U197" s="3">
        <v>15</v>
      </c>
      <c r="V197" s="3">
        <v>15</v>
      </c>
    </row>
    <row r="198" spans="1:22" ht="21.75">
      <c r="A198" s="3">
        <v>67</v>
      </c>
      <c r="B198" s="4" t="s">
        <v>380</v>
      </c>
      <c r="C198" s="4" t="s">
        <v>380</v>
      </c>
      <c r="D198" s="3">
        <v>300</v>
      </c>
      <c r="E198" s="3">
        <v>105.9</v>
      </c>
      <c r="F198" s="3">
        <v>305</v>
      </c>
      <c r="G198" s="4" t="s">
        <v>186</v>
      </c>
      <c r="H198" s="3" t="b">
        <v>1</v>
      </c>
      <c r="I198" s="3">
        <v>15</v>
      </c>
      <c r="J198" s="3">
        <v>15</v>
      </c>
      <c r="K198" s="3">
        <v>134.8</v>
      </c>
      <c r="L198" s="3">
        <v>21500</v>
      </c>
      <c r="M198" s="3">
        <v>7100</v>
      </c>
      <c r="N198" s="3">
        <v>12.62916</v>
      </c>
      <c r="O198" s="25">
        <v>7.257453</v>
      </c>
      <c r="P198" s="32">
        <v>1433.33</v>
      </c>
      <c r="Q198" s="3">
        <v>465.5738</v>
      </c>
      <c r="R198" s="3">
        <v>18</v>
      </c>
      <c r="S198" s="3">
        <v>0</v>
      </c>
      <c r="U198" s="3">
        <v>15</v>
      </c>
      <c r="V198" s="3">
        <v>15.25</v>
      </c>
    </row>
    <row r="199" spans="1:22" ht="21.75">
      <c r="A199" s="3">
        <v>68</v>
      </c>
      <c r="B199" s="4" t="s">
        <v>380</v>
      </c>
      <c r="C199" s="4" t="s">
        <v>380</v>
      </c>
      <c r="D199" s="3">
        <v>304</v>
      </c>
      <c r="E199" s="3">
        <v>105.9</v>
      </c>
      <c r="F199" s="3">
        <v>301</v>
      </c>
      <c r="G199" s="4" t="s">
        <v>187</v>
      </c>
      <c r="H199" s="3" t="b">
        <v>1</v>
      </c>
      <c r="I199" s="3">
        <v>11</v>
      </c>
      <c r="J199" s="3">
        <v>17</v>
      </c>
      <c r="K199" s="3">
        <v>134.8</v>
      </c>
      <c r="L199" s="3">
        <v>23400</v>
      </c>
      <c r="M199" s="3">
        <v>7730</v>
      </c>
      <c r="N199" s="3">
        <v>13.17537</v>
      </c>
      <c r="O199" s="25">
        <v>7.572596</v>
      </c>
      <c r="P199" s="32">
        <v>1539.47</v>
      </c>
      <c r="Q199" s="3">
        <v>513.6213</v>
      </c>
      <c r="R199" s="3">
        <v>18</v>
      </c>
      <c r="S199" s="3">
        <v>0</v>
      </c>
      <c r="U199" s="3">
        <v>15.2</v>
      </c>
      <c r="V199" s="3">
        <v>15.05</v>
      </c>
    </row>
    <row r="200" spans="1:22" ht="21.75">
      <c r="A200" s="3">
        <v>69</v>
      </c>
      <c r="B200" s="4" t="s">
        <v>380</v>
      </c>
      <c r="C200" s="4" t="s">
        <v>380</v>
      </c>
      <c r="D200" s="3">
        <v>336</v>
      </c>
      <c r="E200" s="3">
        <v>69.1</v>
      </c>
      <c r="F200" s="3">
        <v>249</v>
      </c>
      <c r="G200" s="4" t="s">
        <v>188</v>
      </c>
      <c r="H200" s="3" t="b">
        <v>1</v>
      </c>
      <c r="I200" s="3">
        <v>8</v>
      </c>
      <c r="J200" s="3">
        <v>12</v>
      </c>
      <c r="K200" s="3">
        <v>88.15</v>
      </c>
      <c r="L200" s="3">
        <v>18500</v>
      </c>
      <c r="M200" s="3">
        <v>3090</v>
      </c>
      <c r="N200" s="3">
        <v>14.48687</v>
      </c>
      <c r="O200" s="25">
        <v>5.920632</v>
      </c>
      <c r="P200" s="32">
        <v>1101.19</v>
      </c>
      <c r="Q200" s="3">
        <v>248.1928</v>
      </c>
      <c r="R200" s="3">
        <v>20</v>
      </c>
      <c r="S200" s="3">
        <v>0</v>
      </c>
      <c r="U200" s="3">
        <v>16.8</v>
      </c>
      <c r="V200" s="3">
        <v>12.45</v>
      </c>
    </row>
    <row r="201" spans="1:22" ht="21.75">
      <c r="A201" s="3">
        <v>70</v>
      </c>
      <c r="B201" s="4" t="s">
        <v>380</v>
      </c>
      <c r="C201" s="4" t="s">
        <v>380</v>
      </c>
      <c r="D201" s="3">
        <v>338</v>
      </c>
      <c r="E201" s="3">
        <v>105.9</v>
      </c>
      <c r="F201" s="3">
        <v>351</v>
      </c>
      <c r="G201" s="4" t="s">
        <v>189</v>
      </c>
      <c r="H201" s="3" t="b">
        <v>1</v>
      </c>
      <c r="I201" s="3">
        <v>13</v>
      </c>
      <c r="J201" s="3">
        <v>13</v>
      </c>
      <c r="K201" s="3">
        <v>135.3</v>
      </c>
      <c r="L201" s="3">
        <v>28200</v>
      </c>
      <c r="M201" s="3">
        <v>9380</v>
      </c>
      <c r="N201" s="3">
        <v>14.43696</v>
      </c>
      <c r="O201" s="25">
        <v>8.326309</v>
      </c>
      <c r="P201" s="32">
        <v>1668.64</v>
      </c>
      <c r="Q201" s="3">
        <v>534.473</v>
      </c>
      <c r="R201" s="3">
        <v>20</v>
      </c>
      <c r="S201" s="3">
        <v>0</v>
      </c>
      <c r="U201" s="3">
        <v>16.9</v>
      </c>
      <c r="V201" s="3">
        <v>17.55</v>
      </c>
    </row>
    <row r="202" spans="1:22" ht="21.75">
      <c r="A202" s="3">
        <v>71</v>
      </c>
      <c r="B202" s="4" t="s">
        <v>380</v>
      </c>
      <c r="C202" s="4" t="s">
        <v>380</v>
      </c>
      <c r="D202" s="3">
        <v>340</v>
      </c>
      <c r="E202" s="3">
        <v>79.6</v>
      </c>
      <c r="F202" s="3">
        <v>250</v>
      </c>
      <c r="G202" s="4" t="s">
        <v>190</v>
      </c>
      <c r="H202" s="3" t="b">
        <v>1</v>
      </c>
      <c r="I202" s="3">
        <v>9</v>
      </c>
      <c r="J202" s="3">
        <v>14</v>
      </c>
      <c r="K202" s="3">
        <v>101.5</v>
      </c>
      <c r="L202" s="3">
        <v>21700</v>
      </c>
      <c r="M202" s="3">
        <v>3650</v>
      </c>
      <c r="N202" s="3">
        <v>14.62167</v>
      </c>
      <c r="O202" s="25">
        <v>5.996715</v>
      </c>
      <c r="P202" s="32">
        <v>1276.47</v>
      </c>
      <c r="Q202" s="3">
        <v>292</v>
      </c>
      <c r="R202" s="3">
        <v>20</v>
      </c>
      <c r="S202" s="3">
        <v>0</v>
      </c>
      <c r="U202" s="3">
        <v>17</v>
      </c>
      <c r="V202" s="3">
        <v>12.5</v>
      </c>
    </row>
    <row r="203" spans="1:22" ht="21.75">
      <c r="A203" s="3">
        <v>72</v>
      </c>
      <c r="B203" s="4" t="s">
        <v>380</v>
      </c>
      <c r="C203" s="4" t="s">
        <v>380</v>
      </c>
      <c r="D203" s="3">
        <v>344</v>
      </c>
      <c r="E203" s="3">
        <v>114.9</v>
      </c>
      <c r="F203" s="3">
        <v>348</v>
      </c>
      <c r="G203" s="4" t="s">
        <v>191</v>
      </c>
      <c r="H203" s="3" t="b">
        <v>1</v>
      </c>
      <c r="I203" s="3">
        <v>10</v>
      </c>
      <c r="J203" s="3">
        <v>16</v>
      </c>
      <c r="K203" s="3">
        <v>146</v>
      </c>
      <c r="L203" s="3">
        <v>33300</v>
      </c>
      <c r="M203" s="3">
        <v>11200</v>
      </c>
      <c r="N203" s="3">
        <v>15.10239</v>
      </c>
      <c r="O203" s="25">
        <v>8.758557</v>
      </c>
      <c r="P203" s="32">
        <v>1936.05</v>
      </c>
      <c r="Q203" s="3">
        <v>643.6782</v>
      </c>
      <c r="R203" s="3">
        <v>20</v>
      </c>
      <c r="S203" s="3">
        <v>0</v>
      </c>
      <c r="U203" s="3">
        <v>17.2</v>
      </c>
      <c r="V203" s="3">
        <v>17.4</v>
      </c>
    </row>
    <row r="204" spans="1:22" ht="21.75">
      <c r="A204" s="3">
        <v>73</v>
      </c>
      <c r="B204" s="4" t="s">
        <v>380</v>
      </c>
      <c r="C204" s="4" t="s">
        <v>380</v>
      </c>
      <c r="D204" s="3">
        <v>344</v>
      </c>
      <c r="E204" s="3">
        <v>130.8</v>
      </c>
      <c r="F204" s="3">
        <v>354</v>
      </c>
      <c r="G204" s="4" t="s">
        <v>192</v>
      </c>
      <c r="H204" s="3" t="b">
        <v>1</v>
      </c>
      <c r="I204" s="3">
        <v>16</v>
      </c>
      <c r="J204" s="3">
        <v>16</v>
      </c>
      <c r="K204" s="3">
        <v>166.6</v>
      </c>
      <c r="L204" s="3">
        <v>35300</v>
      </c>
      <c r="M204" s="3">
        <v>11800</v>
      </c>
      <c r="N204" s="3">
        <v>14.55626</v>
      </c>
      <c r="O204" s="25">
        <v>8.415956</v>
      </c>
      <c r="P204" s="32">
        <v>2052.33</v>
      </c>
      <c r="Q204" s="3">
        <v>666.6667</v>
      </c>
      <c r="R204" s="3">
        <v>20</v>
      </c>
      <c r="S204" s="3">
        <v>0</v>
      </c>
      <c r="U204" s="3">
        <v>17.2</v>
      </c>
      <c r="V204" s="3">
        <v>17.7</v>
      </c>
    </row>
    <row r="205" spans="1:22" ht="21.75">
      <c r="A205" s="3">
        <v>74</v>
      </c>
      <c r="B205" s="4" t="s">
        <v>380</v>
      </c>
      <c r="C205" s="4" t="s">
        <v>380</v>
      </c>
      <c r="D205" s="3">
        <v>346</v>
      </c>
      <c r="E205" s="3">
        <v>41.3</v>
      </c>
      <c r="F205" s="3">
        <v>174</v>
      </c>
      <c r="G205" s="4" t="s">
        <v>193</v>
      </c>
      <c r="H205" s="3" t="b">
        <v>1</v>
      </c>
      <c r="I205" s="3">
        <v>6</v>
      </c>
      <c r="J205" s="3">
        <v>9</v>
      </c>
      <c r="K205" s="3">
        <v>52.68</v>
      </c>
      <c r="L205" s="3">
        <v>11100</v>
      </c>
      <c r="M205" s="3">
        <v>792</v>
      </c>
      <c r="N205" s="3">
        <v>14.51572</v>
      </c>
      <c r="O205" s="25">
        <v>3.877392</v>
      </c>
      <c r="P205" s="32">
        <v>641.62</v>
      </c>
      <c r="Q205" s="3">
        <v>91.03448</v>
      </c>
      <c r="R205" s="3">
        <v>14</v>
      </c>
      <c r="S205" s="3">
        <v>0</v>
      </c>
      <c r="U205" s="3">
        <v>17.3</v>
      </c>
      <c r="V205" s="3">
        <v>8.7</v>
      </c>
    </row>
    <row r="206" spans="1:22" ht="21.75">
      <c r="A206" s="3">
        <v>75</v>
      </c>
      <c r="B206" s="4" t="s">
        <v>380</v>
      </c>
      <c r="C206" s="4" t="s">
        <v>380</v>
      </c>
      <c r="D206" s="3">
        <v>350</v>
      </c>
      <c r="E206" s="3">
        <v>49.5</v>
      </c>
      <c r="F206" s="3">
        <v>175</v>
      </c>
      <c r="G206" s="4" t="s">
        <v>194</v>
      </c>
      <c r="H206" s="3" t="b">
        <v>1</v>
      </c>
      <c r="I206" s="3">
        <v>7</v>
      </c>
      <c r="J206" s="3">
        <v>11</v>
      </c>
      <c r="K206" s="3">
        <v>63.14</v>
      </c>
      <c r="L206" s="3">
        <v>13600</v>
      </c>
      <c r="M206" s="3">
        <v>984</v>
      </c>
      <c r="N206" s="3">
        <v>14.67632</v>
      </c>
      <c r="O206" s="25">
        <v>3.94771</v>
      </c>
      <c r="P206" s="32">
        <v>777.14</v>
      </c>
      <c r="Q206" s="3">
        <v>112.4571</v>
      </c>
      <c r="R206" s="3">
        <v>14</v>
      </c>
      <c r="S206" s="3">
        <v>0</v>
      </c>
      <c r="U206" s="3">
        <v>17.5</v>
      </c>
      <c r="V206" s="3">
        <v>8.75</v>
      </c>
    </row>
    <row r="207" spans="1:22" ht="21.75">
      <c r="A207" s="3">
        <v>76</v>
      </c>
      <c r="B207" s="4" t="s">
        <v>380</v>
      </c>
      <c r="C207" s="4" t="s">
        <v>380</v>
      </c>
      <c r="D207" s="3">
        <v>350</v>
      </c>
      <c r="E207" s="3">
        <v>136.8</v>
      </c>
      <c r="F207" s="3">
        <v>350</v>
      </c>
      <c r="G207" s="4" t="s">
        <v>195</v>
      </c>
      <c r="H207" s="3" t="b">
        <v>1</v>
      </c>
      <c r="I207" s="3">
        <v>12</v>
      </c>
      <c r="J207" s="3">
        <v>19</v>
      </c>
      <c r="K207" s="3">
        <v>173.9</v>
      </c>
      <c r="L207" s="3">
        <v>40300</v>
      </c>
      <c r="M207" s="3">
        <v>13600</v>
      </c>
      <c r="N207" s="3">
        <v>15.22309</v>
      </c>
      <c r="O207" s="25">
        <v>8.843408</v>
      </c>
      <c r="P207" s="32">
        <v>2302.86</v>
      </c>
      <c r="Q207" s="3">
        <v>777.1429</v>
      </c>
      <c r="R207" s="3">
        <v>20</v>
      </c>
      <c r="S207" s="3">
        <v>0</v>
      </c>
      <c r="U207" s="3">
        <v>17.5</v>
      </c>
      <c r="V207" s="3">
        <v>17.5</v>
      </c>
    </row>
    <row r="208" spans="1:22" ht="21.75">
      <c r="A208" s="3">
        <v>77</v>
      </c>
      <c r="B208" s="4" t="s">
        <v>380</v>
      </c>
      <c r="C208" s="4" t="s">
        <v>380</v>
      </c>
      <c r="D208" s="3">
        <v>350</v>
      </c>
      <c r="E208" s="3">
        <v>155.8</v>
      </c>
      <c r="F208" s="3">
        <v>357</v>
      </c>
      <c r="G208" s="4" t="s">
        <v>196</v>
      </c>
      <c r="H208" s="3" t="b">
        <v>1</v>
      </c>
      <c r="I208" s="3">
        <v>19</v>
      </c>
      <c r="J208" s="3">
        <v>19</v>
      </c>
      <c r="K208" s="3">
        <v>198.4</v>
      </c>
      <c r="L208" s="3">
        <v>42800</v>
      </c>
      <c r="M208" s="3">
        <v>14400</v>
      </c>
      <c r="N208" s="3">
        <v>14.68761</v>
      </c>
      <c r="O208" s="25">
        <v>8.519427</v>
      </c>
      <c r="P208" s="32">
        <v>2445.71</v>
      </c>
      <c r="Q208" s="3">
        <v>806.7227</v>
      </c>
      <c r="R208" s="3">
        <v>20</v>
      </c>
      <c r="S208" s="3">
        <v>0</v>
      </c>
      <c r="U208" s="3">
        <v>17.5</v>
      </c>
      <c r="V208" s="3">
        <v>17.85</v>
      </c>
    </row>
    <row r="209" spans="1:22" ht="21.75">
      <c r="A209" s="3">
        <v>78</v>
      </c>
      <c r="B209" s="4" t="s">
        <v>380</v>
      </c>
      <c r="C209" s="4" t="s">
        <v>380</v>
      </c>
      <c r="D209" s="3">
        <v>354</v>
      </c>
      <c r="E209" s="3">
        <v>57.7</v>
      </c>
      <c r="F209" s="3">
        <v>176</v>
      </c>
      <c r="G209" s="4" t="s">
        <v>197</v>
      </c>
      <c r="H209" s="3" t="b">
        <v>1</v>
      </c>
      <c r="I209" s="3">
        <v>8</v>
      </c>
      <c r="J209" s="3">
        <v>13</v>
      </c>
      <c r="K209" s="3">
        <v>73.68</v>
      </c>
      <c r="L209" s="3">
        <v>16100</v>
      </c>
      <c r="M209" s="3">
        <v>1180</v>
      </c>
      <c r="N209" s="3">
        <v>14.78217</v>
      </c>
      <c r="O209" s="25">
        <v>4.0019</v>
      </c>
      <c r="P209" s="32">
        <v>909.6</v>
      </c>
      <c r="Q209" s="3">
        <v>134.0909</v>
      </c>
      <c r="R209" s="3">
        <v>14</v>
      </c>
      <c r="S209" s="3">
        <v>0</v>
      </c>
      <c r="U209" s="3">
        <v>17.7</v>
      </c>
      <c r="V209" s="3">
        <v>8.8</v>
      </c>
    </row>
    <row r="210" spans="1:22" ht="21.75">
      <c r="A210" s="3">
        <v>79</v>
      </c>
      <c r="B210" s="4" t="s">
        <v>380</v>
      </c>
      <c r="C210" s="4" t="s">
        <v>380</v>
      </c>
      <c r="D210" s="3">
        <v>386</v>
      </c>
      <c r="E210" s="3">
        <v>94.2</v>
      </c>
      <c r="F210" s="3">
        <v>299</v>
      </c>
      <c r="G210" s="4" t="s">
        <v>198</v>
      </c>
      <c r="H210" s="3" t="b">
        <v>1</v>
      </c>
      <c r="I210" s="3">
        <v>9</v>
      </c>
      <c r="J210" s="3">
        <v>14</v>
      </c>
      <c r="K210" s="3">
        <v>120.1</v>
      </c>
      <c r="L210" s="3">
        <v>33700</v>
      </c>
      <c r="M210" s="3">
        <v>6240</v>
      </c>
      <c r="N210" s="3">
        <v>16.7511</v>
      </c>
      <c r="O210" s="25">
        <v>7.2081</v>
      </c>
      <c r="P210" s="32">
        <v>1746.11</v>
      </c>
      <c r="Q210" s="3">
        <v>417.3913</v>
      </c>
      <c r="R210" s="3">
        <v>22</v>
      </c>
      <c r="S210" s="3">
        <v>0</v>
      </c>
      <c r="U210" s="3">
        <v>19.3</v>
      </c>
      <c r="V210" s="3">
        <v>14.95</v>
      </c>
    </row>
    <row r="211" spans="1:22" ht="21.75">
      <c r="A211" s="3">
        <v>80</v>
      </c>
      <c r="B211" s="4" t="s">
        <v>380</v>
      </c>
      <c r="C211" s="4" t="s">
        <v>380</v>
      </c>
      <c r="D211" s="3">
        <v>388</v>
      </c>
      <c r="E211" s="3">
        <v>139.8</v>
      </c>
      <c r="F211" s="3">
        <v>402</v>
      </c>
      <c r="G211" s="4" t="s">
        <v>199</v>
      </c>
      <c r="H211" s="3" t="b">
        <v>1</v>
      </c>
      <c r="I211" s="3">
        <v>15</v>
      </c>
      <c r="J211" s="3">
        <v>15</v>
      </c>
      <c r="K211" s="3">
        <v>178.5</v>
      </c>
      <c r="L211" s="3">
        <v>49000</v>
      </c>
      <c r="M211" s="3">
        <v>16300</v>
      </c>
      <c r="N211" s="3">
        <v>16.56834</v>
      </c>
      <c r="O211" s="25">
        <v>9.555968</v>
      </c>
      <c r="P211" s="32">
        <v>2525.77</v>
      </c>
      <c r="Q211" s="3">
        <v>810.9453</v>
      </c>
      <c r="R211" s="3">
        <v>22</v>
      </c>
      <c r="S211" s="3">
        <v>0</v>
      </c>
      <c r="U211" s="3">
        <v>19.4</v>
      </c>
      <c r="V211" s="3">
        <v>20.1</v>
      </c>
    </row>
    <row r="212" spans="1:22" ht="21.75">
      <c r="A212" s="3">
        <v>81</v>
      </c>
      <c r="B212" s="4" t="s">
        <v>380</v>
      </c>
      <c r="C212" s="4" t="s">
        <v>380</v>
      </c>
      <c r="D212" s="3">
        <v>390</v>
      </c>
      <c r="E212" s="3">
        <v>106.9</v>
      </c>
      <c r="F212" s="3">
        <v>300</v>
      </c>
      <c r="G212" s="4" t="s">
        <v>200</v>
      </c>
      <c r="H212" s="3" t="b">
        <v>1</v>
      </c>
      <c r="I212" s="3">
        <v>10</v>
      </c>
      <c r="J212" s="3">
        <v>16</v>
      </c>
      <c r="K212" s="3">
        <v>136</v>
      </c>
      <c r="L212" s="3">
        <v>38700</v>
      </c>
      <c r="M212" s="3">
        <v>7210</v>
      </c>
      <c r="N212" s="3">
        <v>16.86887</v>
      </c>
      <c r="O212" s="25">
        <v>7.28112</v>
      </c>
      <c r="P212" s="32">
        <v>1984.62</v>
      </c>
      <c r="Q212" s="3">
        <v>480.6667</v>
      </c>
      <c r="R212" s="3">
        <v>22</v>
      </c>
      <c r="S212" s="3">
        <v>0</v>
      </c>
      <c r="U212" s="3">
        <v>19.5</v>
      </c>
      <c r="V212" s="3">
        <v>15</v>
      </c>
    </row>
    <row r="213" spans="1:22" ht="21.75">
      <c r="A213" s="3">
        <v>82</v>
      </c>
      <c r="B213" s="4" t="s">
        <v>380</v>
      </c>
      <c r="C213" s="4" t="s">
        <v>380</v>
      </c>
      <c r="D213" s="3">
        <v>394</v>
      </c>
      <c r="E213" s="3">
        <v>146.8</v>
      </c>
      <c r="F213" s="3">
        <v>398</v>
      </c>
      <c r="G213" s="4" t="s">
        <v>201</v>
      </c>
      <c r="H213" s="3" t="b">
        <v>1</v>
      </c>
      <c r="I213" s="3">
        <v>11</v>
      </c>
      <c r="J213" s="3">
        <v>18</v>
      </c>
      <c r="K213" s="3">
        <v>186.8</v>
      </c>
      <c r="L213" s="3">
        <v>56100</v>
      </c>
      <c r="M213" s="3">
        <v>18900</v>
      </c>
      <c r="N213" s="3">
        <v>17.32978</v>
      </c>
      <c r="O213" s="25">
        <v>10.05871</v>
      </c>
      <c r="P213" s="32">
        <v>2847.72</v>
      </c>
      <c r="Q213" s="3">
        <v>949.7487</v>
      </c>
      <c r="R213" s="3">
        <v>22</v>
      </c>
      <c r="S213" s="3">
        <v>0</v>
      </c>
      <c r="U213" s="3">
        <v>19.7</v>
      </c>
      <c r="V213" s="3">
        <v>19.9</v>
      </c>
    </row>
    <row r="214" spans="1:22" ht="21.75">
      <c r="A214" s="3">
        <v>83</v>
      </c>
      <c r="B214" s="4" t="s">
        <v>380</v>
      </c>
      <c r="C214" s="4" t="s">
        <v>380</v>
      </c>
      <c r="D214" s="3">
        <v>396</v>
      </c>
      <c r="E214" s="3">
        <v>56.5</v>
      </c>
      <c r="F214" s="3">
        <v>199</v>
      </c>
      <c r="G214" s="4" t="s">
        <v>202</v>
      </c>
      <c r="H214" s="3" t="b">
        <v>1</v>
      </c>
      <c r="I214" s="3">
        <v>7</v>
      </c>
      <c r="J214" s="3">
        <v>11</v>
      </c>
      <c r="K214" s="3">
        <v>72.16</v>
      </c>
      <c r="L214" s="3">
        <v>20000</v>
      </c>
      <c r="M214" s="3">
        <v>1450</v>
      </c>
      <c r="N214" s="3">
        <v>16.64818</v>
      </c>
      <c r="O214" s="25">
        <v>4.482659</v>
      </c>
      <c r="P214" s="32">
        <v>1010.1</v>
      </c>
      <c r="Q214" s="3">
        <v>145.7286</v>
      </c>
      <c r="R214" s="3">
        <v>16</v>
      </c>
      <c r="S214" s="3">
        <v>0</v>
      </c>
      <c r="U214" s="3">
        <v>19.8</v>
      </c>
      <c r="V214" s="3">
        <v>9.95</v>
      </c>
    </row>
    <row r="215" spans="1:22" ht="21.75">
      <c r="A215" s="3">
        <v>84</v>
      </c>
      <c r="B215" s="4" t="s">
        <v>380</v>
      </c>
      <c r="C215" s="4" t="s">
        <v>380</v>
      </c>
      <c r="D215" s="3">
        <v>400</v>
      </c>
      <c r="E215" s="3">
        <v>65.9</v>
      </c>
      <c r="F215" s="3">
        <v>200</v>
      </c>
      <c r="G215" s="4" t="s">
        <v>203</v>
      </c>
      <c r="H215" s="3" t="b">
        <v>1</v>
      </c>
      <c r="I215" s="3">
        <v>8</v>
      </c>
      <c r="J215" s="3">
        <v>13</v>
      </c>
      <c r="K215" s="3">
        <v>84.12</v>
      </c>
      <c r="L215" s="3">
        <v>23700</v>
      </c>
      <c r="M215" s="3">
        <v>1740</v>
      </c>
      <c r="N215" s="3">
        <v>16.78512</v>
      </c>
      <c r="O215" s="25">
        <v>4.548048</v>
      </c>
      <c r="P215" s="32">
        <v>1185</v>
      </c>
      <c r="Q215" s="3">
        <v>174</v>
      </c>
      <c r="R215" s="3">
        <v>16</v>
      </c>
      <c r="S215" s="3">
        <v>0</v>
      </c>
      <c r="U215" s="3">
        <v>20</v>
      </c>
      <c r="V215" s="3">
        <v>10</v>
      </c>
    </row>
    <row r="216" spans="1:22" ht="21.75">
      <c r="A216" s="3">
        <v>85</v>
      </c>
      <c r="B216" s="4" t="s">
        <v>380</v>
      </c>
      <c r="C216" s="4" t="s">
        <v>380</v>
      </c>
      <c r="D216" s="3">
        <v>400</v>
      </c>
      <c r="E216" s="3">
        <v>171.8</v>
      </c>
      <c r="F216" s="3">
        <v>400</v>
      </c>
      <c r="G216" s="4" t="s">
        <v>204</v>
      </c>
      <c r="H216" s="3" t="b">
        <v>1</v>
      </c>
      <c r="I216" s="3">
        <v>13</v>
      </c>
      <c r="J216" s="3">
        <v>21</v>
      </c>
      <c r="K216" s="3">
        <v>218.7</v>
      </c>
      <c r="L216" s="3">
        <v>66600</v>
      </c>
      <c r="M216" s="3">
        <v>22400</v>
      </c>
      <c r="N216" s="3">
        <v>17.4507</v>
      </c>
      <c r="O216" s="25">
        <v>10.12045</v>
      </c>
      <c r="P216" s="32">
        <v>3330</v>
      </c>
      <c r="Q216" s="3">
        <v>1120</v>
      </c>
      <c r="R216" s="3">
        <v>22</v>
      </c>
      <c r="S216" s="3">
        <v>0</v>
      </c>
      <c r="U216" s="3">
        <v>20</v>
      </c>
      <c r="V216" s="3">
        <v>20</v>
      </c>
    </row>
    <row r="217" spans="1:22" ht="21.75">
      <c r="A217" s="3">
        <v>86</v>
      </c>
      <c r="B217" s="4" t="s">
        <v>380</v>
      </c>
      <c r="C217" s="4" t="s">
        <v>380</v>
      </c>
      <c r="D217" s="3">
        <v>400</v>
      </c>
      <c r="E217" s="3">
        <v>196.7</v>
      </c>
      <c r="F217" s="3">
        <v>408</v>
      </c>
      <c r="G217" s="4" t="s">
        <v>205</v>
      </c>
      <c r="H217" s="3" t="b">
        <v>1</v>
      </c>
      <c r="I217" s="3">
        <v>21</v>
      </c>
      <c r="J217" s="3">
        <v>21</v>
      </c>
      <c r="K217" s="3">
        <v>250.7</v>
      </c>
      <c r="L217" s="3">
        <v>70900</v>
      </c>
      <c r="M217" s="3">
        <v>23800</v>
      </c>
      <c r="N217" s="3">
        <v>16.8169</v>
      </c>
      <c r="O217" s="25">
        <v>9.743418</v>
      </c>
      <c r="P217" s="32">
        <v>3545</v>
      </c>
      <c r="Q217" s="3">
        <v>1166.667</v>
      </c>
      <c r="R217" s="3">
        <v>22</v>
      </c>
      <c r="S217" s="3">
        <v>0</v>
      </c>
      <c r="U217" s="3">
        <v>20</v>
      </c>
      <c r="V217" s="3">
        <v>20.4</v>
      </c>
    </row>
    <row r="218" spans="1:22" ht="21.75">
      <c r="A218" s="3">
        <v>87</v>
      </c>
      <c r="B218" s="4" t="s">
        <v>380</v>
      </c>
      <c r="C218" s="4" t="s">
        <v>380</v>
      </c>
      <c r="D218" s="3">
        <v>404</v>
      </c>
      <c r="E218" s="3">
        <v>75.4</v>
      </c>
      <c r="F218" s="3">
        <v>201</v>
      </c>
      <c r="G218" s="4" t="s">
        <v>206</v>
      </c>
      <c r="H218" s="3" t="b">
        <v>1</v>
      </c>
      <c r="I218" s="3">
        <v>9</v>
      </c>
      <c r="J218" s="3">
        <v>15</v>
      </c>
      <c r="K218" s="3">
        <v>96.16</v>
      </c>
      <c r="L218" s="3">
        <v>27500</v>
      </c>
      <c r="M218" s="3">
        <v>2030</v>
      </c>
      <c r="N218" s="3">
        <v>16.91099</v>
      </c>
      <c r="O218" s="25">
        <v>4.594633</v>
      </c>
      <c r="P218" s="32">
        <v>1361.39</v>
      </c>
      <c r="Q218" s="3">
        <v>201.9901</v>
      </c>
      <c r="R218" s="3">
        <v>16</v>
      </c>
      <c r="S218" s="3">
        <v>0</v>
      </c>
      <c r="U218" s="3">
        <v>20.2</v>
      </c>
      <c r="V218" s="3">
        <v>10.05</v>
      </c>
    </row>
    <row r="219" spans="1:22" ht="21.75">
      <c r="A219" s="3">
        <v>88</v>
      </c>
      <c r="B219" s="4" t="s">
        <v>380</v>
      </c>
      <c r="C219" s="4" t="s">
        <v>380</v>
      </c>
      <c r="D219" s="3">
        <v>414</v>
      </c>
      <c r="E219" s="3">
        <v>231.7</v>
      </c>
      <c r="F219" s="3">
        <v>405</v>
      </c>
      <c r="G219" s="4" t="s">
        <v>207</v>
      </c>
      <c r="H219" s="3" t="b">
        <v>1</v>
      </c>
      <c r="I219" s="3">
        <v>18</v>
      </c>
      <c r="J219" s="3">
        <v>28</v>
      </c>
      <c r="K219" s="3">
        <v>295.4</v>
      </c>
      <c r="L219" s="3">
        <v>92800</v>
      </c>
      <c r="M219" s="3">
        <v>31000</v>
      </c>
      <c r="N219" s="3">
        <v>17.72429</v>
      </c>
      <c r="O219" s="25">
        <v>10.24414</v>
      </c>
      <c r="P219" s="32">
        <v>4483.09</v>
      </c>
      <c r="Q219" s="3">
        <v>1530.864</v>
      </c>
      <c r="R219" s="3">
        <v>22</v>
      </c>
      <c r="S219" s="3">
        <v>0</v>
      </c>
      <c r="U219" s="3">
        <v>20.7</v>
      </c>
      <c r="V219" s="3">
        <v>20.25</v>
      </c>
    </row>
    <row r="220" spans="1:22" ht="21.75">
      <c r="A220" s="3">
        <v>89</v>
      </c>
      <c r="B220" s="4" t="s">
        <v>380</v>
      </c>
      <c r="C220" s="4" t="s">
        <v>380</v>
      </c>
      <c r="D220" s="3">
        <v>428</v>
      </c>
      <c r="E220" s="3">
        <v>282.6</v>
      </c>
      <c r="F220" s="3">
        <v>407</v>
      </c>
      <c r="G220" s="4" t="s">
        <v>208</v>
      </c>
      <c r="H220" s="3" t="b">
        <v>0</v>
      </c>
      <c r="I220" s="3">
        <v>20</v>
      </c>
      <c r="J220" s="3">
        <v>35</v>
      </c>
      <c r="K220" s="3">
        <v>360.7</v>
      </c>
      <c r="L220" s="3">
        <v>119000</v>
      </c>
      <c r="M220" s="3">
        <v>39400</v>
      </c>
      <c r="N220" s="3">
        <v>18.16354</v>
      </c>
      <c r="O220" s="25">
        <v>10.45141</v>
      </c>
      <c r="P220" s="32">
        <v>5560.75</v>
      </c>
      <c r="Q220" s="3">
        <v>1936.118</v>
      </c>
      <c r="R220" s="3">
        <v>22</v>
      </c>
      <c r="S220" s="3">
        <v>0</v>
      </c>
      <c r="U220" s="3">
        <v>21.4</v>
      </c>
      <c r="V220" s="3">
        <v>20.35</v>
      </c>
    </row>
    <row r="221" spans="1:22" ht="21.75">
      <c r="A221" s="3">
        <v>90</v>
      </c>
      <c r="B221" s="4" t="s">
        <v>380</v>
      </c>
      <c r="C221" s="4" t="s">
        <v>380</v>
      </c>
      <c r="D221" s="3">
        <v>434</v>
      </c>
      <c r="E221" s="3">
        <v>105.9</v>
      </c>
      <c r="F221" s="3">
        <v>299</v>
      </c>
      <c r="G221" s="4" t="s">
        <v>209</v>
      </c>
      <c r="H221" s="3" t="b">
        <v>1</v>
      </c>
      <c r="I221" s="3">
        <v>10</v>
      </c>
      <c r="J221" s="3">
        <v>15</v>
      </c>
      <c r="K221" s="3">
        <v>135</v>
      </c>
      <c r="L221" s="3">
        <v>46800</v>
      </c>
      <c r="M221" s="3">
        <v>6690</v>
      </c>
      <c r="N221" s="3">
        <v>18.61899</v>
      </c>
      <c r="O221" s="25">
        <v>7.039571</v>
      </c>
      <c r="P221" s="32">
        <v>2156.68</v>
      </c>
      <c r="Q221" s="3">
        <v>447.4916</v>
      </c>
      <c r="R221" s="3">
        <v>24</v>
      </c>
      <c r="S221" s="3">
        <v>0</v>
      </c>
      <c r="U221" s="3">
        <v>21.7</v>
      </c>
      <c r="V221" s="3">
        <v>14.95</v>
      </c>
    </row>
    <row r="222" spans="1:22" ht="21.75">
      <c r="A222" s="3">
        <v>91</v>
      </c>
      <c r="B222" s="4" t="s">
        <v>380</v>
      </c>
      <c r="C222" s="4" t="s">
        <v>380</v>
      </c>
      <c r="D222" s="3">
        <v>440</v>
      </c>
      <c r="E222" s="3">
        <v>123.8</v>
      </c>
      <c r="F222" s="3">
        <v>300</v>
      </c>
      <c r="G222" s="4" t="s">
        <v>210</v>
      </c>
      <c r="H222" s="3" t="b">
        <v>1</v>
      </c>
      <c r="I222" s="3">
        <v>11</v>
      </c>
      <c r="J222" s="3">
        <v>18</v>
      </c>
      <c r="K222" s="3">
        <v>157.4</v>
      </c>
      <c r="L222" s="3">
        <v>56100</v>
      </c>
      <c r="M222" s="3">
        <v>8110</v>
      </c>
      <c r="N222" s="3">
        <v>18.879</v>
      </c>
      <c r="O222" s="25">
        <v>7.178076</v>
      </c>
      <c r="P222" s="32">
        <v>2550</v>
      </c>
      <c r="Q222" s="3">
        <v>540.6667</v>
      </c>
      <c r="R222" s="3">
        <v>24</v>
      </c>
      <c r="S222" s="3">
        <v>0</v>
      </c>
      <c r="U222" s="3">
        <v>22</v>
      </c>
      <c r="V222" s="3">
        <v>15</v>
      </c>
    </row>
    <row r="223" spans="1:22" ht="21.75">
      <c r="A223" s="3">
        <v>92</v>
      </c>
      <c r="B223" s="4" t="s">
        <v>380</v>
      </c>
      <c r="C223" s="4" t="s">
        <v>380</v>
      </c>
      <c r="D223" s="3">
        <v>446</v>
      </c>
      <c r="E223" s="3">
        <v>66.1</v>
      </c>
      <c r="F223" s="3">
        <v>199</v>
      </c>
      <c r="G223" s="4" t="s">
        <v>211</v>
      </c>
      <c r="H223" s="3" t="b">
        <v>1</v>
      </c>
      <c r="I223" s="3">
        <v>8</v>
      </c>
      <c r="J223" s="3">
        <v>12</v>
      </c>
      <c r="K223" s="3">
        <v>84.3</v>
      </c>
      <c r="L223" s="3">
        <v>28700</v>
      </c>
      <c r="M223" s="3">
        <v>1580</v>
      </c>
      <c r="N223" s="3">
        <v>18.45131</v>
      </c>
      <c r="O223" s="25">
        <v>4.329271</v>
      </c>
      <c r="P223" s="32">
        <v>1287</v>
      </c>
      <c r="Q223" s="3">
        <v>158.794</v>
      </c>
      <c r="R223" s="3">
        <v>18</v>
      </c>
      <c r="S223" s="3">
        <v>0</v>
      </c>
      <c r="U223" s="3">
        <v>22.3</v>
      </c>
      <c r="V223" s="3">
        <v>9.95</v>
      </c>
    </row>
    <row r="224" spans="1:22" ht="21.75">
      <c r="A224" s="3">
        <v>93</v>
      </c>
      <c r="B224" s="4" t="s">
        <v>380</v>
      </c>
      <c r="C224" s="4" t="s">
        <v>380</v>
      </c>
      <c r="D224" s="3">
        <v>446</v>
      </c>
      <c r="E224" s="3">
        <v>144.8</v>
      </c>
      <c r="F224" s="3">
        <v>302</v>
      </c>
      <c r="G224" s="4" t="s">
        <v>212</v>
      </c>
      <c r="H224" s="3" t="b">
        <v>1</v>
      </c>
      <c r="I224" s="3">
        <v>13</v>
      </c>
      <c r="J224" s="3">
        <v>21</v>
      </c>
      <c r="K224" s="3">
        <v>184.3</v>
      </c>
      <c r="L224" s="3">
        <v>66400</v>
      </c>
      <c r="M224" s="3">
        <v>9660</v>
      </c>
      <c r="N224" s="3">
        <v>18.9811</v>
      </c>
      <c r="O224" s="25">
        <v>7.239789</v>
      </c>
      <c r="P224" s="32">
        <v>2977.58</v>
      </c>
      <c r="Q224" s="3">
        <v>639.7351</v>
      </c>
      <c r="R224" s="3">
        <v>24</v>
      </c>
      <c r="S224" s="3">
        <v>0</v>
      </c>
      <c r="U224" s="3">
        <v>22.3</v>
      </c>
      <c r="V224" s="3">
        <v>15.1</v>
      </c>
    </row>
    <row r="225" spans="1:22" ht="21.75">
      <c r="A225" s="3">
        <v>94</v>
      </c>
      <c r="B225" s="4" t="s">
        <v>380</v>
      </c>
      <c r="C225" s="4" t="s">
        <v>380</v>
      </c>
      <c r="D225" s="3">
        <v>450</v>
      </c>
      <c r="E225" s="3">
        <v>75.9</v>
      </c>
      <c r="F225" s="3">
        <v>200</v>
      </c>
      <c r="G225" s="4" t="s">
        <v>213</v>
      </c>
      <c r="H225" s="3" t="b">
        <v>1</v>
      </c>
      <c r="I225" s="3">
        <v>9</v>
      </c>
      <c r="J225" s="3">
        <v>14</v>
      </c>
      <c r="K225" s="3">
        <v>96.76</v>
      </c>
      <c r="L225" s="3">
        <v>33500</v>
      </c>
      <c r="M225" s="3">
        <v>1870</v>
      </c>
      <c r="N225" s="3">
        <v>18.60692</v>
      </c>
      <c r="O225" s="25">
        <v>4.396154</v>
      </c>
      <c r="P225" s="32">
        <v>1488.89</v>
      </c>
      <c r="Q225" s="3">
        <v>187</v>
      </c>
      <c r="R225" s="3">
        <v>18</v>
      </c>
      <c r="S225" s="3">
        <v>0</v>
      </c>
      <c r="U225" s="3">
        <v>22.5</v>
      </c>
      <c r="V225" s="3">
        <v>10</v>
      </c>
    </row>
    <row r="226" spans="1:22" ht="21.75">
      <c r="A226" s="3">
        <v>95</v>
      </c>
      <c r="B226" s="4" t="s">
        <v>380</v>
      </c>
      <c r="C226" s="4" t="s">
        <v>380</v>
      </c>
      <c r="D226" s="3">
        <v>456</v>
      </c>
      <c r="E226" s="3">
        <v>88.8</v>
      </c>
      <c r="F226" s="3">
        <v>201</v>
      </c>
      <c r="G226" s="4" t="s">
        <v>214</v>
      </c>
      <c r="H226" s="3" t="b">
        <v>1</v>
      </c>
      <c r="I226" s="3">
        <v>10</v>
      </c>
      <c r="J226" s="3">
        <v>17</v>
      </c>
      <c r="K226" s="3">
        <v>113.3</v>
      </c>
      <c r="L226" s="3">
        <v>40400</v>
      </c>
      <c r="M226" s="3">
        <v>2310</v>
      </c>
      <c r="N226" s="3">
        <v>18.88321</v>
      </c>
      <c r="O226" s="25">
        <v>4.515346</v>
      </c>
      <c r="P226" s="32">
        <v>1771.93</v>
      </c>
      <c r="Q226" s="3">
        <v>229.8508</v>
      </c>
      <c r="R226" s="3">
        <v>18</v>
      </c>
      <c r="S226" s="3">
        <v>0</v>
      </c>
      <c r="U226" s="3">
        <v>22.8</v>
      </c>
      <c r="V226" s="3">
        <v>10.05</v>
      </c>
    </row>
    <row r="227" spans="1:22" ht="21.75">
      <c r="A227" s="3">
        <v>96</v>
      </c>
      <c r="B227" s="4" t="s">
        <v>380</v>
      </c>
      <c r="C227" s="4" t="s">
        <v>380</v>
      </c>
      <c r="D227" s="3">
        <v>458</v>
      </c>
      <c r="E227" s="3">
        <v>414.5</v>
      </c>
      <c r="F227" s="3">
        <v>417</v>
      </c>
      <c r="G227" s="4" t="s">
        <v>215</v>
      </c>
      <c r="H227" s="3" t="b">
        <v>0</v>
      </c>
      <c r="I227" s="3">
        <v>30</v>
      </c>
      <c r="J227" s="3">
        <v>50</v>
      </c>
      <c r="K227" s="3">
        <v>528.6</v>
      </c>
      <c r="L227" s="3">
        <v>187000</v>
      </c>
      <c r="M227" s="3">
        <v>60500</v>
      </c>
      <c r="N227" s="3">
        <v>18.80863</v>
      </c>
      <c r="O227" s="25">
        <v>10.69828</v>
      </c>
      <c r="P227" s="32">
        <v>8165.94</v>
      </c>
      <c r="Q227" s="3">
        <v>2901.679</v>
      </c>
      <c r="R227" s="3">
        <v>22</v>
      </c>
      <c r="S227" s="3">
        <v>0</v>
      </c>
      <c r="U227" s="3">
        <v>22.9</v>
      </c>
      <c r="V227" s="3">
        <v>20.85</v>
      </c>
    </row>
    <row r="228" spans="1:22" ht="21.75">
      <c r="A228" s="3">
        <v>97</v>
      </c>
      <c r="B228" s="4" t="s">
        <v>380</v>
      </c>
      <c r="C228" s="4" t="s">
        <v>380</v>
      </c>
      <c r="D228" s="3">
        <v>482</v>
      </c>
      <c r="E228" s="3">
        <v>113.9</v>
      </c>
      <c r="F228" s="3">
        <v>300</v>
      </c>
      <c r="G228" s="4" t="s">
        <v>216</v>
      </c>
      <c r="H228" s="3" t="b">
        <v>1</v>
      </c>
      <c r="I228" s="3">
        <v>11</v>
      </c>
      <c r="J228" s="3">
        <v>15</v>
      </c>
      <c r="K228" s="3">
        <v>145.5</v>
      </c>
      <c r="L228" s="3">
        <v>60400</v>
      </c>
      <c r="M228" s="3">
        <v>6760</v>
      </c>
      <c r="N228" s="3">
        <v>20.3745</v>
      </c>
      <c r="O228" s="25">
        <v>6.816193</v>
      </c>
      <c r="P228" s="32">
        <v>2506.22</v>
      </c>
      <c r="Q228" s="3">
        <v>450.6667</v>
      </c>
      <c r="R228" s="3">
        <v>26</v>
      </c>
      <c r="S228" s="3">
        <v>0</v>
      </c>
      <c r="U228" s="3">
        <v>24.1</v>
      </c>
      <c r="V228" s="3">
        <v>15</v>
      </c>
    </row>
    <row r="229" spans="1:22" ht="21.75">
      <c r="A229" s="3">
        <v>98</v>
      </c>
      <c r="B229" s="4" t="s">
        <v>380</v>
      </c>
      <c r="C229" s="4" t="s">
        <v>380</v>
      </c>
      <c r="D229" s="3">
        <v>488</v>
      </c>
      <c r="E229" s="3">
        <v>127.8</v>
      </c>
      <c r="F229" s="3">
        <v>300</v>
      </c>
      <c r="G229" s="4" t="s">
        <v>217</v>
      </c>
      <c r="H229" s="3" t="b">
        <v>1</v>
      </c>
      <c r="I229" s="3">
        <v>11</v>
      </c>
      <c r="J229" s="3">
        <v>18</v>
      </c>
      <c r="K229" s="3">
        <v>163.5</v>
      </c>
      <c r="L229" s="3">
        <v>71000</v>
      </c>
      <c r="M229" s="3">
        <v>8110</v>
      </c>
      <c r="N229" s="3">
        <v>20.83868</v>
      </c>
      <c r="O229" s="25">
        <v>7.042901</v>
      </c>
      <c r="P229" s="32">
        <v>2909.84</v>
      </c>
      <c r="Q229" s="3">
        <v>540.6667</v>
      </c>
      <c r="R229" s="3">
        <v>26</v>
      </c>
      <c r="S229" s="3">
        <v>0</v>
      </c>
      <c r="U229" s="3">
        <v>24.4</v>
      </c>
      <c r="V229" s="3">
        <v>15</v>
      </c>
    </row>
    <row r="230" spans="1:22" ht="21.75">
      <c r="A230" s="3">
        <v>99</v>
      </c>
      <c r="B230" s="4" t="s">
        <v>380</v>
      </c>
      <c r="C230" s="4" t="s">
        <v>380</v>
      </c>
      <c r="D230" s="3">
        <v>494</v>
      </c>
      <c r="E230" s="3">
        <v>149.8</v>
      </c>
      <c r="F230" s="3">
        <v>302</v>
      </c>
      <c r="G230" s="4" t="s">
        <v>218</v>
      </c>
      <c r="H230" s="3" t="b">
        <v>1</v>
      </c>
      <c r="I230" s="3">
        <v>13</v>
      </c>
      <c r="J230" s="3">
        <v>21</v>
      </c>
      <c r="K230" s="3">
        <v>191.4</v>
      </c>
      <c r="L230" s="3">
        <v>83800</v>
      </c>
      <c r="M230" s="3">
        <v>9660</v>
      </c>
      <c r="N230" s="3">
        <v>20.9243</v>
      </c>
      <c r="O230" s="25">
        <v>7.104239</v>
      </c>
      <c r="P230" s="32">
        <v>3392.71</v>
      </c>
      <c r="Q230" s="3">
        <v>639.7351</v>
      </c>
      <c r="R230" s="3">
        <v>26</v>
      </c>
      <c r="S230" s="3">
        <v>0</v>
      </c>
      <c r="U230" s="3">
        <v>24.7</v>
      </c>
      <c r="V230" s="3">
        <v>15.1</v>
      </c>
    </row>
    <row r="231" spans="1:22" ht="21.75">
      <c r="A231" s="3">
        <v>100</v>
      </c>
      <c r="B231" s="4" t="s">
        <v>380</v>
      </c>
      <c r="C231" s="4" t="s">
        <v>380</v>
      </c>
      <c r="D231" s="3">
        <v>496</v>
      </c>
      <c r="E231" s="3">
        <v>79.4</v>
      </c>
      <c r="F231" s="3">
        <v>199</v>
      </c>
      <c r="G231" s="4" t="s">
        <v>219</v>
      </c>
      <c r="H231" s="3" t="b">
        <v>1</v>
      </c>
      <c r="I231" s="3">
        <v>9</v>
      </c>
      <c r="J231" s="3">
        <v>14</v>
      </c>
      <c r="K231" s="3">
        <v>101.3</v>
      </c>
      <c r="L231" s="3">
        <v>41900</v>
      </c>
      <c r="M231" s="3">
        <v>1840</v>
      </c>
      <c r="N231" s="3">
        <v>20.33772</v>
      </c>
      <c r="O231" s="25">
        <v>4.261909</v>
      </c>
      <c r="P231" s="32">
        <v>1689.52</v>
      </c>
      <c r="Q231" s="3">
        <v>184.9246</v>
      </c>
      <c r="R231" s="3">
        <v>20</v>
      </c>
      <c r="S231" s="3">
        <v>0</v>
      </c>
      <c r="U231" s="3">
        <v>24.8</v>
      </c>
      <c r="V231" s="3">
        <v>9.95</v>
      </c>
    </row>
    <row r="232" spans="1:22" ht="21.75">
      <c r="A232" s="3">
        <v>101</v>
      </c>
      <c r="B232" s="4" t="s">
        <v>380</v>
      </c>
      <c r="C232" s="4" t="s">
        <v>380</v>
      </c>
      <c r="D232" s="3">
        <v>498</v>
      </c>
      <c r="E232" s="3">
        <v>604.2</v>
      </c>
      <c r="F232" s="3">
        <v>432</v>
      </c>
      <c r="G232" s="4" t="s">
        <v>220</v>
      </c>
      <c r="H232" s="3" t="b">
        <v>0</v>
      </c>
      <c r="I232" s="3">
        <v>45</v>
      </c>
      <c r="J232" s="3">
        <v>70</v>
      </c>
      <c r="K232" s="3">
        <v>770.1</v>
      </c>
      <c r="L232" s="3">
        <v>298000</v>
      </c>
      <c r="M232" s="3">
        <v>94400</v>
      </c>
      <c r="N232" s="3">
        <v>19.67137</v>
      </c>
      <c r="O232" s="25">
        <v>11.07165</v>
      </c>
      <c r="P232" s="32">
        <v>11967.87</v>
      </c>
      <c r="Q232" s="3">
        <v>4370.371</v>
      </c>
      <c r="R232" s="3">
        <v>22</v>
      </c>
      <c r="S232" s="3">
        <v>0</v>
      </c>
      <c r="U232" s="3">
        <v>24.9</v>
      </c>
      <c r="V232" s="3">
        <v>21.6</v>
      </c>
    </row>
    <row r="233" spans="1:22" ht="21.75">
      <c r="A233" s="3">
        <v>102</v>
      </c>
      <c r="B233" s="4" t="s">
        <v>380</v>
      </c>
      <c r="C233" s="4" t="s">
        <v>380</v>
      </c>
      <c r="D233" s="3">
        <v>500</v>
      </c>
      <c r="E233" s="3">
        <v>89.5</v>
      </c>
      <c r="F233" s="3">
        <v>200</v>
      </c>
      <c r="G233" s="4" t="s">
        <v>221</v>
      </c>
      <c r="H233" s="3" t="b">
        <v>1</v>
      </c>
      <c r="I233" s="3">
        <v>10</v>
      </c>
      <c r="J233" s="3">
        <v>16</v>
      </c>
      <c r="K233" s="3">
        <v>114.2</v>
      </c>
      <c r="L233" s="3">
        <v>47800</v>
      </c>
      <c r="M233" s="3">
        <v>2140</v>
      </c>
      <c r="N233" s="3">
        <v>20.45884</v>
      </c>
      <c r="O233" s="25">
        <v>4.328863</v>
      </c>
      <c r="P233" s="32">
        <v>1912</v>
      </c>
      <c r="Q233" s="3">
        <v>214</v>
      </c>
      <c r="R233" s="3">
        <v>20</v>
      </c>
      <c r="S233" s="3">
        <v>0</v>
      </c>
      <c r="U233" s="3">
        <v>25</v>
      </c>
      <c r="V233" s="3">
        <v>10</v>
      </c>
    </row>
    <row r="234" spans="1:22" ht="21.75">
      <c r="A234" s="3">
        <v>103</v>
      </c>
      <c r="B234" s="4" t="s">
        <v>380</v>
      </c>
      <c r="C234" s="4" t="s">
        <v>380</v>
      </c>
      <c r="D234" s="3">
        <v>506</v>
      </c>
      <c r="E234" s="3">
        <v>102.9</v>
      </c>
      <c r="F234" s="3">
        <v>201</v>
      </c>
      <c r="G234" s="4" t="s">
        <v>222</v>
      </c>
      <c r="H234" s="3" t="b">
        <v>1</v>
      </c>
      <c r="I234" s="3">
        <v>11</v>
      </c>
      <c r="J234" s="3">
        <v>19</v>
      </c>
      <c r="K234" s="3">
        <v>131.3</v>
      </c>
      <c r="L234" s="3">
        <v>56500</v>
      </c>
      <c r="M234" s="3">
        <v>2580</v>
      </c>
      <c r="N234" s="3">
        <v>20.74397</v>
      </c>
      <c r="O234" s="25">
        <v>4.432794</v>
      </c>
      <c r="P234" s="32">
        <v>2233.2</v>
      </c>
      <c r="Q234" s="3">
        <v>256.7164</v>
      </c>
      <c r="R234" s="3">
        <v>20</v>
      </c>
      <c r="S234" s="3">
        <v>0</v>
      </c>
      <c r="U234" s="3">
        <v>25.3</v>
      </c>
      <c r="V234" s="3">
        <v>10.05</v>
      </c>
    </row>
    <row r="235" spans="1:22" ht="21.75">
      <c r="A235" s="3">
        <v>104</v>
      </c>
      <c r="B235" s="4" t="s">
        <v>380</v>
      </c>
      <c r="C235" s="4" t="s">
        <v>380</v>
      </c>
      <c r="D235" s="3">
        <v>582</v>
      </c>
      <c r="E235" s="3">
        <v>136.8</v>
      </c>
      <c r="F235" s="3">
        <v>300</v>
      </c>
      <c r="G235" s="4" t="s">
        <v>223</v>
      </c>
      <c r="H235" s="3" t="b">
        <v>1</v>
      </c>
      <c r="I235" s="3">
        <v>12</v>
      </c>
      <c r="J235" s="3">
        <v>17</v>
      </c>
      <c r="K235" s="3">
        <v>174.5</v>
      </c>
      <c r="L235" s="3">
        <v>103000</v>
      </c>
      <c r="M235" s="3">
        <v>7670</v>
      </c>
      <c r="N235" s="3">
        <v>24.29522</v>
      </c>
      <c r="O235" s="25">
        <v>6.629793</v>
      </c>
      <c r="P235" s="32">
        <v>3539.52</v>
      </c>
      <c r="Q235" s="3">
        <v>511.3333</v>
      </c>
      <c r="R235" s="3">
        <v>28</v>
      </c>
      <c r="S235" s="3">
        <v>0</v>
      </c>
      <c r="U235" s="3">
        <v>29.1</v>
      </c>
      <c r="V235" s="3">
        <v>15</v>
      </c>
    </row>
    <row r="236" spans="1:22" ht="21.75">
      <c r="A236" s="3">
        <v>105</v>
      </c>
      <c r="B236" s="4" t="s">
        <v>380</v>
      </c>
      <c r="C236" s="4" t="s">
        <v>380</v>
      </c>
      <c r="D236" s="3">
        <v>588</v>
      </c>
      <c r="E236" s="3">
        <v>150.8</v>
      </c>
      <c r="F236" s="3">
        <v>300</v>
      </c>
      <c r="G236" s="4" t="s">
        <v>224</v>
      </c>
      <c r="H236" s="3" t="b">
        <v>1</v>
      </c>
      <c r="I236" s="3">
        <v>12</v>
      </c>
      <c r="J236" s="3">
        <v>20</v>
      </c>
      <c r="K236" s="3">
        <v>192.5</v>
      </c>
      <c r="L236" s="3">
        <v>118000</v>
      </c>
      <c r="M236" s="3">
        <v>9020</v>
      </c>
      <c r="N236" s="3">
        <v>24.75858</v>
      </c>
      <c r="O236" s="25">
        <v>6.845228</v>
      </c>
      <c r="P236" s="32">
        <v>4013.61</v>
      </c>
      <c r="Q236" s="3">
        <v>601.3333</v>
      </c>
      <c r="R236" s="3">
        <v>28</v>
      </c>
      <c r="S236" s="3">
        <v>0</v>
      </c>
      <c r="U236" s="3">
        <v>29.4</v>
      </c>
      <c r="V236" s="3">
        <v>15</v>
      </c>
    </row>
    <row r="237" spans="1:22" ht="21.75">
      <c r="A237" s="3">
        <v>106</v>
      </c>
      <c r="B237" s="4" t="s">
        <v>380</v>
      </c>
      <c r="C237" s="4" t="s">
        <v>380</v>
      </c>
      <c r="D237" s="3">
        <v>594</v>
      </c>
      <c r="E237" s="3">
        <v>174.8</v>
      </c>
      <c r="F237" s="3">
        <v>302</v>
      </c>
      <c r="G237" s="4" t="s">
        <v>225</v>
      </c>
      <c r="H237" s="3" t="b">
        <v>1</v>
      </c>
      <c r="I237" s="3">
        <v>14</v>
      </c>
      <c r="J237" s="3">
        <v>23</v>
      </c>
      <c r="K237" s="3">
        <v>222.4</v>
      </c>
      <c r="L237" s="3">
        <v>137000</v>
      </c>
      <c r="M237" s="3">
        <v>10600</v>
      </c>
      <c r="N237" s="3">
        <v>24.81949</v>
      </c>
      <c r="O237" s="25">
        <v>6.903758</v>
      </c>
      <c r="P237" s="32">
        <v>4612.79</v>
      </c>
      <c r="Q237" s="3">
        <v>701.9868</v>
      </c>
      <c r="R237" s="3">
        <v>28</v>
      </c>
      <c r="S237" s="3">
        <v>0</v>
      </c>
      <c r="U237" s="3">
        <v>29.7</v>
      </c>
      <c r="V237" s="3">
        <v>15.1</v>
      </c>
    </row>
    <row r="238" spans="1:22" ht="21.75">
      <c r="A238" s="3">
        <v>107</v>
      </c>
      <c r="B238" s="4" t="s">
        <v>380</v>
      </c>
      <c r="C238" s="4" t="s">
        <v>380</v>
      </c>
      <c r="D238" s="3">
        <v>596</v>
      </c>
      <c r="E238" s="3">
        <v>94.5</v>
      </c>
      <c r="F238" s="3">
        <v>199</v>
      </c>
      <c r="G238" s="4" t="s">
        <v>226</v>
      </c>
      <c r="H238" s="3" t="b">
        <v>1</v>
      </c>
      <c r="I238" s="3">
        <v>10</v>
      </c>
      <c r="J238" s="3">
        <v>15</v>
      </c>
      <c r="K238" s="3">
        <v>120.5</v>
      </c>
      <c r="L238" s="3">
        <v>68700</v>
      </c>
      <c r="M238" s="3">
        <v>1980</v>
      </c>
      <c r="N238" s="3">
        <v>23.87728</v>
      </c>
      <c r="O238" s="25">
        <v>4.053583</v>
      </c>
      <c r="P238" s="32">
        <v>2305.37</v>
      </c>
      <c r="Q238" s="3">
        <v>198.995</v>
      </c>
      <c r="R238" s="3">
        <v>22</v>
      </c>
      <c r="S238" s="3">
        <v>0</v>
      </c>
      <c r="U238" s="3">
        <v>29.8</v>
      </c>
      <c r="V238" s="3">
        <v>9.95</v>
      </c>
    </row>
    <row r="239" spans="1:22" ht="21.75">
      <c r="A239" s="3">
        <v>108</v>
      </c>
      <c r="B239" s="4" t="s">
        <v>380</v>
      </c>
      <c r="C239" s="4" t="s">
        <v>380</v>
      </c>
      <c r="D239" s="3">
        <v>600</v>
      </c>
      <c r="E239" s="3">
        <v>105.9</v>
      </c>
      <c r="F239" s="3">
        <v>200</v>
      </c>
      <c r="G239" s="4" t="s">
        <v>227</v>
      </c>
      <c r="H239" s="3" t="b">
        <v>1</v>
      </c>
      <c r="I239" s="3">
        <v>11</v>
      </c>
      <c r="J239" s="3">
        <v>17</v>
      </c>
      <c r="K239" s="3">
        <v>134.4</v>
      </c>
      <c r="L239" s="3">
        <v>77600</v>
      </c>
      <c r="M239" s="3">
        <v>2280</v>
      </c>
      <c r="N239" s="3">
        <v>24.02875</v>
      </c>
      <c r="O239" s="25">
        <v>4.118773</v>
      </c>
      <c r="P239" s="32">
        <v>2586.67</v>
      </c>
      <c r="Q239" s="3">
        <v>228</v>
      </c>
      <c r="R239" s="3">
        <v>22</v>
      </c>
      <c r="S239" s="3">
        <v>0</v>
      </c>
      <c r="U239" s="3">
        <v>30</v>
      </c>
      <c r="V239" s="3">
        <v>10</v>
      </c>
    </row>
    <row r="240" spans="1:22" ht="21.75">
      <c r="A240" s="3">
        <v>109</v>
      </c>
      <c r="B240" s="4" t="s">
        <v>380</v>
      </c>
      <c r="C240" s="4" t="s">
        <v>380</v>
      </c>
      <c r="D240" s="3">
        <v>606</v>
      </c>
      <c r="E240" s="3">
        <v>119.8</v>
      </c>
      <c r="F240" s="3">
        <v>201</v>
      </c>
      <c r="G240" s="4" t="s">
        <v>228</v>
      </c>
      <c r="H240" s="3" t="b">
        <v>1</v>
      </c>
      <c r="I240" s="3">
        <v>12</v>
      </c>
      <c r="J240" s="3">
        <v>20</v>
      </c>
      <c r="K240" s="3">
        <v>152.5</v>
      </c>
      <c r="L240" s="3">
        <v>90400</v>
      </c>
      <c r="M240" s="3">
        <v>2720</v>
      </c>
      <c r="N240" s="3">
        <v>24.34722</v>
      </c>
      <c r="O240" s="25">
        <v>4.223277</v>
      </c>
      <c r="P240" s="32">
        <v>2983.5</v>
      </c>
      <c r="Q240" s="3">
        <v>270.6468</v>
      </c>
      <c r="R240" s="3">
        <v>22</v>
      </c>
      <c r="S240" s="3">
        <v>0</v>
      </c>
      <c r="U240" s="3">
        <v>30.3</v>
      </c>
      <c r="V240" s="3">
        <v>10.05</v>
      </c>
    </row>
    <row r="241" spans="1:22" ht="21.75">
      <c r="A241" s="3">
        <v>110</v>
      </c>
      <c r="B241" s="4" t="s">
        <v>380</v>
      </c>
      <c r="C241" s="4" t="s">
        <v>380</v>
      </c>
      <c r="D241" s="3">
        <v>612</v>
      </c>
      <c r="E241" s="3">
        <v>133.8</v>
      </c>
      <c r="F241" s="3">
        <v>202</v>
      </c>
      <c r="G241" s="4" t="s">
        <v>229</v>
      </c>
      <c r="H241" s="3" t="b">
        <v>1</v>
      </c>
      <c r="I241" s="3">
        <v>13</v>
      </c>
      <c r="J241" s="3">
        <v>23</v>
      </c>
      <c r="K241" s="3">
        <v>170.7</v>
      </c>
      <c r="L241" s="3">
        <v>103000</v>
      </c>
      <c r="M241" s="3">
        <v>3180</v>
      </c>
      <c r="N241" s="3">
        <v>24.56416</v>
      </c>
      <c r="O241" s="25">
        <v>4.316153</v>
      </c>
      <c r="P241" s="32">
        <v>3366.01</v>
      </c>
      <c r="Q241" s="3">
        <v>314.8515</v>
      </c>
      <c r="R241" s="3">
        <v>22</v>
      </c>
      <c r="S241" s="3">
        <v>0</v>
      </c>
      <c r="U241" s="3">
        <v>30.6</v>
      </c>
      <c r="V241" s="3">
        <v>10.1</v>
      </c>
    </row>
    <row r="242" spans="1:22" ht="21.75">
      <c r="A242" s="3">
        <v>111</v>
      </c>
      <c r="B242" s="4" t="s">
        <v>380</v>
      </c>
      <c r="C242" s="4" t="s">
        <v>380</v>
      </c>
      <c r="D242" s="3">
        <v>692</v>
      </c>
      <c r="E242" s="3">
        <v>165.8</v>
      </c>
      <c r="F242" s="3">
        <v>300</v>
      </c>
      <c r="G242" s="4" t="s">
        <v>230</v>
      </c>
      <c r="H242" s="3" t="b">
        <v>1</v>
      </c>
      <c r="I242" s="3">
        <v>13</v>
      </c>
      <c r="J242" s="3">
        <v>20</v>
      </c>
      <c r="K242" s="3">
        <v>211.5</v>
      </c>
      <c r="L242" s="3">
        <v>172000</v>
      </c>
      <c r="M242" s="3">
        <v>9020</v>
      </c>
      <c r="N242" s="3">
        <v>28.51734</v>
      </c>
      <c r="O242" s="25">
        <v>6.530525</v>
      </c>
      <c r="P242" s="32">
        <v>4971.1</v>
      </c>
      <c r="Q242" s="3">
        <v>601.3333</v>
      </c>
      <c r="R242" s="3">
        <v>28</v>
      </c>
      <c r="S242" s="3">
        <v>0</v>
      </c>
      <c r="U242" s="3">
        <v>34.6</v>
      </c>
      <c r="V242" s="3">
        <v>15</v>
      </c>
    </row>
    <row r="243" spans="1:22" ht="21.75">
      <c r="A243" s="3">
        <v>112</v>
      </c>
      <c r="B243" s="4" t="s">
        <v>380</v>
      </c>
      <c r="C243" s="4" t="s">
        <v>380</v>
      </c>
      <c r="D243" s="3">
        <v>700</v>
      </c>
      <c r="E243" s="3">
        <v>184.8</v>
      </c>
      <c r="F243" s="3">
        <v>300</v>
      </c>
      <c r="G243" s="4" t="s">
        <v>231</v>
      </c>
      <c r="H243" s="3" t="b">
        <v>1</v>
      </c>
      <c r="I243" s="3">
        <v>13</v>
      </c>
      <c r="J243" s="3">
        <v>24</v>
      </c>
      <c r="K243" s="3">
        <v>235.5</v>
      </c>
      <c r="L243" s="3">
        <v>201000</v>
      </c>
      <c r="M243" s="3">
        <v>10800</v>
      </c>
      <c r="N243" s="3">
        <v>29.21478</v>
      </c>
      <c r="O243" s="25">
        <v>6.771992</v>
      </c>
      <c r="P243" s="32">
        <v>5742.86</v>
      </c>
      <c r="Q243" s="3">
        <v>720</v>
      </c>
      <c r="R243" s="3">
        <v>28</v>
      </c>
      <c r="S243" s="3">
        <v>0</v>
      </c>
      <c r="U243" s="3">
        <v>35</v>
      </c>
      <c r="V243" s="3">
        <v>15</v>
      </c>
    </row>
    <row r="244" spans="1:22" ht="21.75">
      <c r="A244" s="3">
        <v>113</v>
      </c>
      <c r="B244" s="4" t="s">
        <v>380</v>
      </c>
      <c r="C244" s="4" t="s">
        <v>380</v>
      </c>
      <c r="D244" s="3">
        <v>792</v>
      </c>
      <c r="E244" s="3">
        <v>190.8</v>
      </c>
      <c r="F244" s="3">
        <v>300</v>
      </c>
      <c r="G244" s="4" t="s">
        <v>232</v>
      </c>
      <c r="H244" s="3" t="b">
        <v>1</v>
      </c>
      <c r="I244" s="3">
        <v>14</v>
      </c>
      <c r="J244" s="3">
        <v>22</v>
      </c>
      <c r="K244" s="3">
        <v>243.4</v>
      </c>
      <c r="L244" s="3">
        <v>254000</v>
      </c>
      <c r="M244" s="3">
        <v>9930</v>
      </c>
      <c r="N244" s="3">
        <v>32.30402</v>
      </c>
      <c r="O244" s="25">
        <v>6.387256</v>
      </c>
      <c r="P244" s="32">
        <v>6414.14</v>
      </c>
      <c r="Q244" s="3">
        <v>662</v>
      </c>
      <c r="R244" s="3">
        <v>28</v>
      </c>
      <c r="S244" s="3">
        <v>0</v>
      </c>
      <c r="U244" s="3">
        <v>39.6</v>
      </c>
      <c r="V244" s="3">
        <v>15</v>
      </c>
    </row>
    <row r="245" spans="1:22" ht="21.75">
      <c r="A245" s="3">
        <v>114</v>
      </c>
      <c r="B245" s="4" t="s">
        <v>380</v>
      </c>
      <c r="C245" s="4" t="s">
        <v>380</v>
      </c>
      <c r="D245" s="3">
        <v>800</v>
      </c>
      <c r="E245" s="3">
        <v>209.7</v>
      </c>
      <c r="F245" s="3">
        <v>300</v>
      </c>
      <c r="G245" s="4" t="s">
        <v>233</v>
      </c>
      <c r="H245" s="3" t="b">
        <v>1</v>
      </c>
      <c r="I245" s="3">
        <v>14</v>
      </c>
      <c r="J245" s="3">
        <v>26</v>
      </c>
      <c r="K245" s="3">
        <v>267.4</v>
      </c>
      <c r="L245" s="3">
        <v>292000</v>
      </c>
      <c r="M245" s="3">
        <v>11700</v>
      </c>
      <c r="N245" s="3">
        <v>33.04538</v>
      </c>
      <c r="O245" s="25">
        <v>6.614732</v>
      </c>
      <c r="P245" s="32">
        <v>7300</v>
      </c>
      <c r="Q245" s="3">
        <v>780</v>
      </c>
      <c r="R245" s="3">
        <v>28</v>
      </c>
      <c r="S245" s="3">
        <v>0</v>
      </c>
      <c r="U245" s="3">
        <v>40</v>
      </c>
      <c r="V245" s="3">
        <v>15</v>
      </c>
    </row>
    <row r="246" spans="1:22" ht="21.75">
      <c r="A246" s="3">
        <v>115</v>
      </c>
      <c r="B246" s="4" t="s">
        <v>380</v>
      </c>
      <c r="C246" s="4" t="s">
        <v>380</v>
      </c>
      <c r="D246" s="3">
        <v>890</v>
      </c>
      <c r="E246" s="3">
        <v>212.7</v>
      </c>
      <c r="F246" s="3">
        <v>299</v>
      </c>
      <c r="G246" s="4" t="s">
        <v>234</v>
      </c>
      <c r="H246" s="3" t="b">
        <v>0</v>
      </c>
      <c r="I246" s="3">
        <v>15</v>
      </c>
      <c r="J246" s="3">
        <v>23</v>
      </c>
      <c r="K246" s="3">
        <v>270.9</v>
      </c>
      <c r="L246" s="3">
        <v>345000</v>
      </c>
      <c r="M246" s="3">
        <v>10300</v>
      </c>
      <c r="N246" s="3">
        <v>35.68659</v>
      </c>
      <c r="O246" s="25">
        <v>6.166151</v>
      </c>
      <c r="P246" s="32">
        <v>7752.81</v>
      </c>
      <c r="Q246" s="3">
        <v>688.9632</v>
      </c>
      <c r="R246" s="3">
        <v>28</v>
      </c>
      <c r="S246" s="3">
        <v>0</v>
      </c>
      <c r="U246" s="3">
        <v>44.5</v>
      </c>
      <c r="V246" s="3">
        <v>14.95</v>
      </c>
    </row>
    <row r="247" spans="1:22" ht="21.75">
      <c r="A247" s="3">
        <v>116</v>
      </c>
      <c r="B247" s="4" t="s">
        <v>380</v>
      </c>
      <c r="C247" s="4" t="s">
        <v>380</v>
      </c>
      <c r="D247" s="3">
        <v>900</v>
      </c>
      <c r="E247" s="3">
        <v>242.7</v>
      </c>
      <c r="F247" s="3">
        <v>300</v>
      </c>
      <c r="G247" s="4" t="s">
        <v>235</v>
      </c>
      <c r="H247" s="3" t="b">
        <v>0</v>
      </c>
      <c r="I247" s="3">
        <v>16</v>
      </c>
      <c r="J247" s="3">
        <v>28</v>
      </c>
      <c r="K247" s="3">
        <v>309.8</v>
      </c>
      <c r="L247" s="3">
        <v>411000</v>
      </c>
      <c r="M247" s="3">
        <v>12600</v>
      </c>
      <c r="N247" s="3">
        <v>36.42338</v>
      </c>
      <c r="O247" s="25">
        <v>6.377413</v>
      </c>
      <c r="P247" s="32">
        <v>9133.33</v>
      </c>
      <c r="Q247" s="3">
        <v>840</v>
      </c>
      <c r="R247" s="3">
        <v>28</v>
      </c>
      <c r="S247" s="3">
        <v>0</v>
      </c>
      <c r="U247" s="3">
        <v>45</v>
      </c>
      <c r="V247" s="3">
        <v>15</v>
      </c>
    </row>
    <row r="248" spans="1:22" ht="21.75">
      <c r="A248" s="3">
        <v>117</v>
      </c>
      <c r="B248" s="4" t="s">
        <v>380</v>
      </c>
      <c r="C248" s="4" t="s">
        <v>380</v>
      </c>
      <c r="D248" s="3">
        <v>912</v>
      </c>
      <c r="E248" s="3">
        <v>285.6</v>
      </c>
      <c r="F248" s="3">
        <v>302</v>
      </c>
      <c r="G248" s="4" t="s">
        <v>236</v>
      </c>
      <c r="H248" s="3" t="b">
        <v>0</v>
      </c>
      <c r="I248" s="3">
        <v>18</v>
      </c>
      <c r="J248" s="3">
        <v>34</v>
      </c>
      <c r="K248" s="3">
        <v>364</v>
      </c>
      <c r="L248" s="3">
        <v>498000</v>
      </c>
      <c r="M248" s="3">
        <v>15700</v>
      </c>
      <c r="N248" s="3">
        <v>36.98827</v>
      </c>
      <c r="O248" s="25">
        <v>6.567486</v>
      </c>
      <c r="P248" s="32">
        <v>10921.05</v>
      </c>
      <c r="Q248" s="3">
        <v>1039.735</v>
      </c>
      <c r="R248" s="3">
        <v>28</v>
      </c>
      <c r="S248" s="3">
        <v>0</v>
      </c>
      <c r="U248" s="3">
        <v>45.6</v>
      </c>
      <c r="V248" s="3">
        <v>15.1</v>
      </c>
    </row>
    <row r="249" spans="1:22" ht="21.75">
      <c r="A249" s="3">
        <v>118</v>
      </c>
      <c r="B249" s="4" t="s">
        <v>381</v>
      </c>
      <c r="C249" s="4" t="s">
        <v>382</v>
      </c>
      <c r="D249" s="3">
        <v>50</v>
      </c>
      <c r="E249" s="3">
        <v>8.6</v>
      </c>
      <c r="F249" s="3">
        <v>100</v>
      </c>
      <c r="G249" s="4" t="s">
        <v>316</v>
      </c>
      <c r="H249" s="3" t="b">
        <v>1</v>
      </c>
      <c r="I249" s="3">
        <v>6</v>
      </c>
      <c r="J249" s="3">
        <v>8</v>
      </c>
      <c r="K249" s="3">
        <v>10.95</v>
      </c>
      <c r="L249" s="3">
        <v>16.1</v>
      </c>
      <c r="M249" s="3">
        <v>66.9</v>
      </c>
      <c r="N249" s="3">
        <v>1.21</v>
      </c>
      <c r="O249" s="25">
        <v>2.47</v>
      </c>
      <c r="P249" s="32">
        <v>4.03</v>
      </c>
      <c r="Q249" s="3">
        <v>13.4</v>
      </c>
      <c r="R249" s="3">
        <v>10</v>
      </c>
      <c r="S249" s="3">
        <v>0</v>
      </c>
      <c r="U249" s="3">
        <v>4</v>
      </c>
      <c r="V249" s="3">
        <v>5</v>
      </c>
    </row>
    <row r="250" spans="1:22" ht="21.75">
      <c r="A250" s="3">
        <v>119</v>
      </c>
      <c r="B250" s="4" t="s">
        <v>381</v>
      </c>
      <c r="C250" s="4" t="s">
        <v>382</v>
      </c>
      <c r="D250" s="3">
        <v>62.5</v>
      </c>
      <c r="E250" s="3">
        <v>11.9</v>
      </c>
      <c r="F250" s="3">
        <v>125</v>
      </c>
      <c r="G250" s="4" t="s">
        <v>317</v>
      </c>
      <c r="H250" s="3" t="b">
        <v>1</v>
      </c>
      <c r="I250" s="3">
        <v>6.5</v>
      </c>
      <c r="J250" s="3">
        <v>9</v>
      </c>
      <c r="K250" s="3">
        <v>15.16</v>
      </c>
      <c r="L250" s="3">
        <v>35</v>
      </c>
      <c r="M250" s="3">
        <v>147</v>
      </c>
      <c r="N250" s="3">
        <v>1.52</v>
      </c>
      <c r="O250" s="25">
        <v>3.11</v>
      </c>
      <c r="P250" s="32">
        <v>6.91</v>
      </c>
      <c r="Q250" s="3">
        <v>23.5</v>
      </c>
      <c r="R250" s="3">
        <v>10</v>
      </c>
      <c r="S250" s="3">
        <v>0</v>
      </c>
      <c r="U250" s="3">
        <v>5.06</v>
      </c>
      <c r="V250" s="3">
        <v>6.25</v>
      </c>
    </row>
    <row r="251" spans="1:22" ht="21.75">
      <c r="A251" s="3">
        <v>120</v>
      </c>
      <c r="B251" s="4" t="s">
        <v>381</v>
      </c>
      <c r="C251" s="4" t="s">
        <v>382</v>
      </c>
      <c r="D251" s="3">
        <v>74</v>
      </c>
      <c r="E251" s="3">
        <v>10.5</v>
      </c>
      <c r="F251" s="3">
        <v>100</v>
      </c>
      <c r="G251" s="4" t="s">
        <v>318</v>
      </c>
      <c r="H251" s="3" t="b">
        <v>1</v>
      </c>
      <c r="I251" s="3">
        <v>6</v>
      </c>
      <c r="J251" s="3">
        <v>9</v>
      </c>
      <c r="K251" s="3">
        <v>13.42</v>
      </c>
      <c r="L251" s="3">
        <v>51.7</v>
      </c>
      <c r="M251" s="3">
        <v>75.3</v>
      </c>
      <c r="N251" s="3">
        <v>1.96</v>
      </c>
      <c r="O251" s="25">
        <v>2.37</v>
      </c>
      <c r="P251" s="32">
        <v>8.84</v>
      </c>
      <c r="Q251" s="3">
        <v>15.1</v>
      </c>
      <c r="R251" s="3">
        <v>11</v>
      </c>
      <c r="S251" s="3">
        <v>0</v>
      </c>
      <c r="U251" s="3">
        <v>5.85</v>
      </c>
      <c r="V251" s="3">
        <v>5</v>
      </c>
    </row>
    <row r="252" spans="1:22" ht="21.75">
      <c r="A252" s="3">
        <v>121</v>
      </c>
      <c r="B252" s="4" t="s">
        <v>381</v>
      </c>
      <c r="C252" s="4" t="s">
        <v>382</v>
      </c>
      <c r="D252" s="3">
        <v>75</v>
      </c>
      <c r="E252" s="3">
        <v>15.8</v>
      </c>
      <c r="F252" s="3">
        <v>150</v>
      </c>
      <c r="G252" s="4" t="s">
        <v>319</v>
      </c>
      <c r="H252" s="3" t="b">
        <v>1</v>
      </c>
      <c r="I252" s="3">
        <v>7</v>
      </c>
      <c r="J252" s="3">
        <v>10</v>
      </c>
      <c r="K252" s="3">
        <v>20.07</v>
      </c>
      <c r="L252" s="3">
        <v>66.4</v>
      </c>
      <c r="M252" s="3">
        <v>282</v>
      </c>
      <c r="N252" s="3">
        <v>1.82</v>
      </c>
      <c r="O252" s="25">
        <v>3.75</v>
      </c>
      <c r="P252" s="32">
        <v>10.8</v>
      </c>
      <c r="Q252" s="3">
        <v>37.6</v>
      </c>
      <c r="R252" s="3">
        <v>11</v>
      </c>
      <c r="S252" s="3">
        <v>0</v>
      </c>
      <c r="U252" s="3">
        <v>6.13</v>
      </c>
      <c r="V252" s="3">
        <v>7.5</v>
      </c>
    </row>
    <row r="253" spans="1:22" ht="21.75">
      <c r="A253" s="3">
        <v>122</v>
      </c>
      <c r="B253" s="4" t="s">
        <v>381</v>
      </c>
      <c r="C253" s="4" t="s">
        <v>382</v>
      </c>
      <c r="D253" s="3">
        <v>87.5</v>
      </c>
      <c r="E253" s="3">
        <v>20.1</v>
      </c>
      <c r="F253" s="3">
        <v>175</v>
      </c>
      <c r="G253" s="4" t="s">
        <v>320</v>
      </c>
      <c r="H253" s="3" t="b">
        <v>1</v>
      </c>
      <c r="I253" s="3">
        <v>7.5</v>
      </c>
      <c r="J253" s="3">
        <v>11</v>
      </c>
      <c r="K253" s="3">
        <v>25.61</v>
      </c>
      <c r="L253" s="3">
        <v>115</v>
      </c>
      <c r="M253" s="3">
        <v>492</v>
      </c>
      <c r="N253" s="3">
        <v>2.12</v>
      </c>
      <c r="O253" s="25">
        <v>4.38</v>
      </c>
      <c r="P253" s="32">
        <v>15.9</v>
      </c>
      <c r="Q253" s="3">
        <v>56.2</v>
      </c>
      <c r="R253" s="3">
        <v>12</v>
      </c>
      <c r="S253" s="3">
        <v>0</v>
      </c>
      <c r="U253" s="3">
        <v>7.2</v>
      </c>
      <c r="V253" s="3">
        <v>8.75</v>
      </c>
    </row>
    <row r="254" spans="1:22" ht="21.75">
      <c r="A254" s="3">
        <v>123</v>
      </c>
      <c r="B254" s="4" t="s">
        <v>381</v>
      </c>
      <c r="C254" s="4" t="s">
        <v>382</v>
      </c>
      <c r="D254" s="3">
        <v>99</v>
      </c>
      <c r="E254" s="3">
        <v>9.1</v>
      </c>
      <c r="F254" s="3">
        <v>99</v>
      </c>
      <c r="G254" s="4" t="s">
        <v>322</v>
      </c>
      <c r="H254" s="3" t="b">
        <v>1</v>
      </c>
      <c r="I254" s="3">
        <v>4.5</v>
      </c>
      <c r="J254" s="3">
        <v>7</v>
      </c>
      <c r="K254" s="3">
        <v>11.59</v>
      </c>
      <c r="L254" s="3">
        <v>93.8</v>
      </c>
      <c r="M254" s="3">
        <v>56.8</v>
      </c>
      <c r="N254" s="3">
        <v>2.84</v>
      </c>
      <c r="O254" s="25">
        <v>2.21</v>
      </c>
      <c r="P254" s="32">
        <v>12.1</v>
      </c>
      <c r="Q254" s="3">
        <v>11.5</v>
      </c>
      <c r="R254" s="3">
        <v>11</v>
      </c>
      <c r="S254" s="3">
        <v>0</v>
      </c>
      <c r="U254" s="3">
        <v>7.76</v>
      </c>
      <c r="V254" s="3">
        <v>4.95</v>
      </c>
    </row>
    <row r="255" spans="1:22" ht="21.75">
      <c r="A255" s="3">
        <v>124</v>
      </c>
      <c r="B255" s="4" t="s">
        <v>381</v>
      </c>
      <c r="C255" s="4" t="s">
        <v>382</v>
      </c>
      <c r="D255" s="3">
        <v>100</v>
      </c>
      <c r="E255" s="3">
        <v>10.7</v>
      </c>
      <c r="F255" s="3">
        <v>100</v>
      </c>
      <c r="G255" s="4" t="s">
        <v>257</v>
      </c>
      <c r="H255" s="3" t="b">
        <v>1</v>
      </c>
      <c r="I255" s="3">
        <v>5.5</v>
      </c>
      <c r="J255" s="3">
        <v>8</v>
      </c>
      <c r="K255" s="3">
        <v>13.58</v>
      </c>
      <c r="L255" s="3">
        <v>114</v>
      </c>
      <c r="M255" s="3">
        <v>67</v>
      </c>
      <c r="N255" s="3">
        <v>2.9</v>
      </c>
      <c r="O255" s="25">
        <v>2.22</v>
      </c>
      <c r="P255" s="32">
        <v>14.8</v>
      </c>
      <c r="Q255" s="3">
        <v>13.4</v>
      </c>
      <c r="R255" s="3">
        <v>11</v>
      </c>
      <c r="S255" s="3">
        <v>0</v>
      </c>
      <c r="U255" s="3">
        <v>7.71</v>
      </c>
      <c r="V255" s="3">
        <v>5</v>
      </c>
    </row>
    <row r="256" spans="1:22" ht="21.75">
      <c r="A256" s="3">
        <v>125</v>
      </c>
      <c r="B256" s="4" t="s">
        <v>381</v>
      </c>
      <c r="C256" s="4" t="s">
        <v>382</v>
      </c>
      <c r="D256" s="3">
        <v>97</v>
      </c>
      <c r="E256" s="3">
        <v>15.3</v>
      </c>
      <c r="F256" s="3">
        <v>150</v>
      </c>
      <c r="G256" s="4" t="s">
        <v>321</v>
      </c>
      <c r="H256" s="3" t="b">
        <v>1</v>
      </c>
      <c r="I256" s="3">
        <v>6</v>
      </c>
      <c r="J256" s="3">
        <v>9</v>
      </c>
      <c r="K256" s="3">
        <v>19.51</v>
      </c>
      <c r="L256" s="3">
        <v>125</v>
      </c>
      <c r="M256" s="3">
        <v>254</v>
      </c>
      <c r="N256" s="3">
        <v>2.53</v>
      </c>
      <c r="O256" s="25">
        <v>3.61</v>
      </c>
      <c r="P256" s="32">
        <v>15.8</v>
      </c>
      <c r="Q256" s="3">
        <v>33.8</v>
      </c>
      <c r="R256" s="3">
        <v>13</v>
      </c>
      <c r="S256" s="3">
        <v>0</v>
      </c>
      <c r="U256" s="3">
        <v>7.91</v>
      </c>
      <c r="V256" s="3">
        <v>7.5</v>
      </c>
    </row>
    <row r="257" spans="1:22" ht="21.75">
      <c r="A257" s="3">
        <v>126</v>
      </c>
      <c r="B257" s="4" t="s">
        <v>381</v>
      </c>
      <c r="C257" s="4" t="s">
        <v>382</v>
      </c>
      <c r="D257" s="3">
        <v>100</v>
      </c>
      <c r="E257" s="3">
        <v>24.9</v>
      </c>
      <c r="F257" s="3">
        <v>200</v>
      </c>
      <c r="G257" s="4" t="s">
        <v>258</v>
      </c>
      <c r="H257" s="3" t="b">
        <v>1</v>
      </c>
      <c r="I257" s="3">
        <v>8</v>
      </c>
      <c r="J257" s="3">
        <v>12</v>
      </c>
      <c r="K257" s="3">
        <v>31.77</v>
      </c>
      <c r="L257" s="3">
        <v>184</v>
      </c>
      <c r="M257" s="3">
        <v>801</v>
      </c>
      <c r="N257" s="3">
        <v>2.41</v>
      </c>
      <c r="O257" s="25">
        <v>5.02</v>
      </c>
      <c r="P257" s="32">
        <v>22.3</v>
      </c>
      <c r="Q257" s="3">
        <v>80.1</v>
      </c>
      <c r="R257" s="3">
        <v>13</v>
      </c>
      <c r="S257" s="3">
        <v>0</v>
      </c>
      <c r="U257" s="3">
        <v>8.27</v>
      </c>
      <c r="V257" s="3">
        <v>10</v>
      </c>
    </row>
    <row r="258" spans="1:22" ht="21.75">
      <c r="A258" s="3">
        <v>127</v>
      </c>
      <c r="B258" s="4" t="s">
        <v>381</v>
      </c>
      <c r="C258" s="4" t="s">
        <v>382</v>
      </c>
      <c r="D258" s="3">
        <v>100</v>
      </c>
      <c r="E258" s="3">
        <v>28.1</v>
      </c>
      <c r="F258" s="3">
        <v>204</v>
      </c>
      <c r="G258" s="4" t="s">
        <v>259</v>
      </c>
      <c r="H258" s="3" t="b">
        <v>1</v>
      </c>
      <c r="I258" s="3">
        <v>12</v>
      </c>
      <c r="J258" s="3">
        <v>12</v>
      </c>
      <c r="K258" s="3">
        <v>35.77</v>
      </c>
      <c r="L258" s="3">
        <v>256</v>
      </c>
      <c r="M258" s="3">
        <v>851</v>
      </c>
      <c r="N258" s="3">
        <v>2.67</v>
      </c>
      <c r="O258" s="25">
        <v>4.88</v>
      </c>
      <c r="P258" s="32">
        <v>32.4</v>
      </c>
      <c r="Q258" s="3">
        <v>83.4</v>
      </c>
      <c r="R258" s="3">
        <v>13</v>
      </c>
      <c r="S258" s="3">
        <v>0</v>
      </c>
      <c r="U258" s="3">
        <v>7.91</v>
      </c>
      <c r="V258" s="3">
        <v>10.2</v>
      </c>
    </row>
    <row r="259" spans="1:22" ht="21.75">
      <c r="A259" s="3">
        <v>128</v>
      </c>
      <c r="B259" s="4" t="s">
        <v>381</v>
      </c>
      <c r="C259" s="4" t="s">
        <v>382</v>
      </c>
      <c r="D259" s="3">
        <v>104</v>
      </c>
      <c r="E259" s="3">
        <v>32.8</v>
      </c>
      <c r="F259" s="3">
        <v>202</v>
      </c>
      <c r="G259" s="4" t="s">
        <v>260</v>
      </c>
      <c r="H259" s="3" t="b">
        <v>1</v>
      </c>
      <c r="I259" s="3">
        <v>10</v>
      </c>
      <c r="J259" s="3">
        <v>16</v>
      </c>
      <c r="K259" s="3">
        <v>41.85</v>
      </c>
      <c r="L259" s="3">
        <v>251</v>
      </c>
      <c r="M259" s="3">
        <v>1100</v>
      </c>
      <c r="N259" s="3">
        <v>2.45</v>
      </c>
      <c r="O259" s="25">
        <v>5.13</v>
      </c>
      <c r="P259" s="32">
        <v>29.4</v>
      </c>
      <c r="Q259" s="3">
        <v>109</v>
      </c>
      <c r="R259" s="3">
        <v>13</v>
      </c>
      <c r="S259" s="3">
        <v>0</v>
      </c>
      <c r="U259" s="3">
        <v>8.49</v>
      </c>
      <c r="V259" s="3">
        <v>10.1</v>
      </c>
    </row>
    <row r="260" spans="1:22" ht="21.75">
      <c r="A260" s="3">
        <v>129</v>
      </c>
      <c r="B260" s="4" t="s">
        <v>381</v>
      </c>
      <c r="C260" s="4" t="s">
        <v>382</v>
      </c>
      <c r="D260" s="3">
        <v>124</v>
      </c>
      <c r="E260" s="3">
        <v>12.8</v>
      </c>
      <c r="F260" s="3">
        <v>124</v>
      </c>
      <c r="G260" s="4" t="s">
        <v>263</v>
      </c>
      <c r="H260" s="3" t="b">
        <v>1</v>
      </c>
      <c r="I260" s="3">
        <v>5</v>
      </c>
      <c r="J260" s="3">
        <v>8</v>
      </c>
      <c r="K260" s="3">
        <v>16.34</v>
      </c>
      <c r="L260" s="3">
        <v>208</v>
      </c>
      <c r="M260" s="3">
        <v>127</v>
      </c>
      <c r="N260" s="3">
        <v>3.57</v>
      </c>
      <c r="O260" s="25">
        <v>2.79</v>
      </c>
      <c r="P260" s="32">
        <v>21.3</v>
      </c>
      <c r="Q260" s="3">
        <v>20.5</v>
      </c>
      <c r="R260" s="3">
        <v>12</v>
      </c>
      <c r="S260" s="3">
        <v>0</v>
      </c>
      <c r="U260" s="3">
        <v>9.72</v>
      </c>
      <c r="V260" s="3">
        <v>6.2</v>
      </c>
    </row>
    <row r="261" spans="1:22" ht="21.75">
      <c r="A261" s="3">
        <v>130</v>
      </c>
      <c r="B261" s="4" t="s">
        <v>381</v>
      </c>
      <c r="C261" s="4" t="s">
        <v>382</v>
      </c>
      <c r="D261" s="3">
        <v>125</v>
      </c>
      <c r="E261" s="3">
        <v>14.8</v>
      </c>
      <c r="F261" s="3">
        <v>125</v>
      </c>
      <c r="G261" s="4" t="s">
        <v>265</v>
      </c>
      <c r="H261" s="3" t="b">
        <v>1</v>
      </c>
      <c r="I261" s="3">
        <v>6</v>
      </c>
      <c r="J261" s="3">
        <v>9</v>
      </c>
      <c r="K261" s="3">
        <v>18.83</v>
      </c>
      <c r="L261" s="3">
        <v>248</v>
      </c>
      <c r="M261" s="3">
        <v>147</v>
      </c>
      <c r="N261" s="3">
        <v>3.63</v>
      </c>
      <c r="O261" s="25">
        <v>2.79</v>
      </c>
      <c r="P261" s="32">
        <v>25.6</v>
      </c>
      <c r="Q261" s="3">
        <v>23.5</v>
      </c>
      <c r="R261" s="3">
        <v>12</v>
      </c>
      <c r="S261" s="3">
        <v>0</v>
      </c>
      <c r="U261" s="3">
        <v>9.72</v>
      </c>
      <c r="V261" s="3">
        <v>6.25</v>
      </c>
    </row>
    <row r="262" spans="1:22" ht="21.75">
      <c r="A262" s="3">
        <v>131</v>
      </c>
      <c r="B262" s="4" t="s">
        <v>381</v>
      </c>
      <c r="C262" s="4" t="s">
        <v>382</v>
      </c>
      <c r="D262" s="3">
        <v>122</v>
      </c>
      <c r="E262" s="3">
        <v>22.1</v>
      </c>
      <c r="F262" s="3">
        <v>175</v>
      </c>
      <c r="G262" s="4" t="s">
        <v>261</v>
      </c>
      <c r="H262" s="3" t="b">
        <v>1</v>
      </c>
      <c r="I262" s="3">
        <v>7</v>
      </c>
      <c r="J262" s="3">
        <v>11</v>
      </c>
      <c r="K262" s="3">
        <v>28.12</v>
      </c>
      <c r="L262" s="3">
        <v>289</v>
      </c>
      <c r="M262" s="3">
        <v>492</v>
      </c>
      <c r="N262" s="3">
        <v>3.2</v>
      </c>
      <c r="O262" s="25">
        <v>4.18</v>
      </c>
      <c r="P262" s="32">
        <v>29.1</v>
      </c>
      <c r="Q262" s="3">
        <v>56.3</v>
      </c>
      <c r="R262" s="3">
        <v>16</v>
      </c>
      <c r="S262" s="3">
        <v>0</v>
      </c>
      <c r="U262" s="3">
        <v>9.93</v>
      </c>
      <c r="V262" s="3">
        <v>8.75</v>
      </c>
    </row>
    <row r="263" spans="1:22" ht="21.75">
      <c r="A263" s="3">
        <v>132</v>
      </c>
      <c r="B263" s="4" t="s">
        <v>381</v>
      </c>
      <c r="C263" s="4" t="s">
        <v>382</v>
      </c>
      <c r="D263" s="3">
        <v>122</v>
      </c>
      <c r="E263" s="3">
        <v>32.2</v>
      </c>
      <c r="F263" s="3">
        <v>252</v>
      </c>
      <c r="G263" s="4" t="s">
        <v>262</v>
      </c>
      <c r="H263" s="3" t="b">
        <v>1</v>
      </c>
      <c r="I263" s="3">
        <v>11</v>
      </c>
      <c r="J263" s="3">
        <v>11</v>
      </c>
      <c r="K263" s="3">
        <v>41.03</v>
      </c>
      <c r="L263" s="3">
        <v>445</v>
      </c>
      <c r="M263" s="3">
        <v>1470</v>
      </c>
      <c r="N263" s="3">
        <v>3.29</v>
      </c>
      <c r="O263" s="25">
        <v>5.98</v>
      </c>
      <c r="P263" s="32">
        <v>45.3</v>
      </c>
      <c r="Q263" s="3">
        <v>117</v>
      </c>
      <c r="R263" s="3">
        <v>16</v>
      </c>
      <c r="S263" s="3">
        <v>0</v>
      </c>
      <c r="U263" s="3">
        <v>9.81</v>
      </c>
      <c r="V263" s="3">
        <v>12.6</v>
      </c>
    </row>
    <row r="264" spans="1:22" ht="21.75">
      <c r="A264" s="3">
        <v>133</v>
      </c>
      <c r="B264" s="4" t="s">
        <v>381</v>
      </c>
      <c r="C264" s="4" t="s">
        <v>382</v>
      </c>
      <c r="D264" s="3">
        <v>124</v>
      </c>
      <c r="E264" s="3">
        <v>33.2</v>
      </c>
      <c r="F264" s="3">
        <v>249</v>
      </c>
      <c r="G264" s="4" t="s">
        <v>264</v>
      </c>
      <c r="H264" s="3" t="b">
        <v>1</v>
      </c>
      <c r="I264" s="3">
        <v>8</v>
      </c>
      <c r="J264" s="3">
        <v>13</v>
      </c>
      <c r="K264" s="3">
        <v>42.35</v>
      </c>
      <c r="L264" s="3">
        <v>364</v>
      </c>
      <c r="M264" s="3">
        <v>1670</v>
      </c>
      <c r="N264" s="3">
        <v>2.93</v>
      </c>
      <c r="O264" s="25">
        <v>6.29</v>
      </c>
      <c r="P264" s="32">
        <v>34.9</v>
      </c>
      <c r="Q264" s="3">
        <v>134</v>
      </c>
      <c r="R264" s="3">
        <v>16</v>
      </c>
      <c r="S264" s="3">
        <v>0</v>
      </c>
      <c r="U264" s="3">
        <v>10.42</v>
      </c>
      <c r="V264" s="3">
        <v>12.45</v>
      </c>
    </row>
    <row r="265" spans="1:22" ht="21.75">
      <c r="A265" s="3">
        <v>134</v>
      </c>
      <c r="B265" s="4" t="s">
        <v>381</v>
      </c>
      <c r="C265" s="4" t="s">
        <v>382</v>
      </c>
      <c r="D265" s="3">
        <v>125</v>
      </c>
      <c r="E265" s="3">
        <v>36.2</v>
      </c>
      <c r="F265" s="3">
        <v>250</v>
      </c>
      <c r="G265" s="4" t="s">
        <v>266</v>
      </c>
      <c r="H265" s="3" t="b">
        <v>1</v>
      </c>
      <c r="I265" s="3">
        <v>9</v>
      </c>
      <c r="J265" s="3">
        <v>14</v>
      </c>
      <c r="K265" s="3">
        <v>46.09</v>
      </c>
      <c r="L265" s="3">
        <v>412</v>
      </c>
      <c r="M265" s="3">
        <v>1820</v>
      </c>
      <c r="N265" s="3">
        <v>2.99</v>
      </c>
      <c r="O265" s="25">
        <v>6.29</v>
      </c>
      <c r="P265" s="32">
        <v>39.5</v>
      </c>
      <c r="Q265" s="3">
        <v>146</v>
      </c>
      <c r="R265" s="3">
        <v>16</v>
      </c>
      <c r="S265" s="3">
        <v>0</v>
      </c>
      <c r="U265" s="3">
        <v>10.42</v>
      </c>
      <c r="V265" s="3">
        <v>12.5</v>
      </c>
    </row>
    <row r="266" spans="1:22" ht="21.75">
      <c r="A266" s="3">
        <v>135</v>
      </c>
      <c r="B266" s="4" t="s">
        <v>381</v>
      </c>
      <c r="C266" s="4" t="s">
        <v>382</v>
      </c>
      <c r="D266" s="3">
        <v>125</v>
      </c>
      <c r="E266" s="3">
        <v>41</v>
      </c>
      <c r="F266" s="3">
        <v>255</v>
      </c>
      <c r="G266" s="4" t="s">
        <v>267</v>
      </c>
      <c r="H266" s="3" t="b">
        <v>1</v>
      </c>
      <c r="I266" s="3">
        <v>14</v>
      </c>
      <c r="J266" s="3">
        <v>14</v>
      </c>
      <c r="K266" s="3">
        <v>52.34</v>
      </c>
      <c r="L266" s="3">
        <v>589</v>
      </c>
      <c r="M266" s="3">
        <v>1940</v>
      </c>
      <c r="N266" s="3">
        <v>3.36</v>
      </c>
      <c r="O266" s="25">
        <v>6.09</v>
      </c>
      <c r="P266" s="32">
        <v>59.4</v>
      </c>
      <c r="Q266" s="3">
        <v>152</v>
      </c>
      <c r="R266" s="3">
        <v>16</v>
      </c>
      <c r="S266" s="3">
        <v>0</v>
      </c>
      <c r="U266" s="3">
        <v>9.92</v>
      </c>
      <c r="V266" s="3">
        <v>12.75</v>
      </c>
    </row>
    <row r="267" spans="1:22" ht="21.75">
      <c r="A267" s="3">
        <v>136</v>
      </c>
      <c r="B267" s="4" t="s">
        <v>381</v>
      </c>
      <c r="C267" s="4" t="s">
        <v>382</v>
      </c>
      <c r="D267" s="3">
        <v>149</v>
      </c>
      <c r="E267" s="3">
        <v>16</v>
      </c>
      <c r="F267" s="3">
        <v>149</v>
      </c>
      <c r="G267" s="4" t="s">
        <v>270</v>
      </c>
      <c r="H267" s="3" t="b">
        <v>1</v>
      </c>
      <c r="I267" s="3">
        <v>5.5</v>
      </c>
      <c r="J267" s="3">
        <v>8</v>
      </c>
      <c r="K267" s="3">
        <v>20.4</v>
      </c>
      <c r="L267" s="3">
        <v>393</v>
      </c>
      <c r="M267" s="3">
        <v>221</v>
      </c>
      <c r="N267" s="3">
        <v>4.39</v>
      </c>
      <c r="O267" s="25">
        <v>3.29</v>
      </c>
      <c r="P267" s="32">
        <v>33.8</v>
      </c>
      <c r="Q267" s="3">
        <v>29.7</v>
      </c>
      <c r="R267" s="3">
        <v>13</v>
      </c>
      <c r="S267" s="3">
        <v>0</v>
      </c>
      <c r="U267" s="3">
        <v>11.64</v>
      </c>
      <c r="V267" s="3">
        <v>7.45</v>
      </c>
    </row>
    <row r="268" spans="1:22" ht="21.75">
      <c r="A268" s="3">
        <v>137</v>
      </c>
      <c r="B268" s="4" t="s">
        <v>381</v>
      </c>
      <c r="C268" s="4" t="s">
        <v>382</v>
      </c>
      <c r="D268" s="3">
        <v>150</v>
      </c>
      <c r="E268" s="3">
        <v>18.4</v>
      </c>
      <c r="F268" s="3">
        <v>150</v>
      </c>
      <c r="G268" s="4" t="s">
        <v>273</v>
      </c>
      <c r="H268" s="3" t="b">
        <v>1</v>
      </c>
      <c r="I268" s="3">
        <v>6.5</v>
      </c>
      <c r="J268" s="3">
        <v>9</v>
      </c>
      <c r="K268" s="3">
        <v>23.39</v>
      </c>
      <c r="L268" s="3">
        <v>464</v>
      </c>
      <c r="M268" s="3">
        <v>254</v>
      </c>
      <c r="N268" s="3">
        <v>4.45</v>
      </c>
      <c r="O268" s="25">
        <v>3.29</v>
      </c>
      <c r="P268" s="32">
        <v>40</v>
      </c>
      <c r="Q268" s="3">
        <v>33.8</v>
      </c>
      <c r="R268" s="3">
        <v>13</v>
      </c>
      <c r="S268" s="3">
        <v>0</v>
      </c>
      <c r="U268" s="3">
        <v>11.59</v>
      </c>
      <c r="V268" s="3">
        <v>7.5</v>
      </c>
    </row>
    <row r="269" spans="1:22" ht="21.75">
      <c r="A269" s="3">
        <v>138</v>
      </c>
      <c r="B269" s="4" t="s">
        <v>381</v>
      </c>
      <c r="C269" s="4" t="s">
        <v>382</v>
      </c>
      <c r="D269" s="3">
        <v>147</v>
      </c>
      <c r="E269" s="3">
        <v>28.4</v>
      </c>
      <c r="F269" s="3">
        <v>200</v>
      </c>
      <c r="G269" s="4" t="s">
        <v>268</v>
      </c>
      <c r="H269" s="3" t="b">
        <v>1</v>
      </c>
      <c r="I269" s="3">
        <v>8</v>
      </c>
      <c r="J269" s="3">
        <v>12</v>
      </c>
      <c r="K269" s="3">
        <v>36.19</v>
      </c>
      <c r="L269" s="3">
        <v>572</v>
      </c>
      <c r="M269" s="3">
        <v>802</v>
      </c>
      <c r="N269" s="3">
        <v>3.97</v>
      </c>
      <c r="O269" s="25">
        <v>4.71</v>
      </c>
      <c r="P269" s="32">
        <v>48.2</v>
      </c>
      <c r="Q269" s="3">
        <v>80.2</v>
      </c>
      <c r="R269" s="3">
        <v>18</v>
      </c>
      <c r="S269" s="3">
        <v>0</v>
      </c>
      <c r="U269" s="3">
        <v>11.87</v>
      </c>
      <c r="V269" s="3">
        <v>10</v>
      </c>
    </row>
    <row r="270" spans="1:22" ht="21.75">
      <c r="A270" s="3">
        <v>139</v>
      </c>
      <c r="B270" s="4" t="s">
        <v>381</v>
      </c>
      <c r="C270" s="4" t="s">
        <v>382</v>
      </c>
      <c r="D270" s="3">
        <v>149</v>
      </c>
      <c r="E270" s="3">
        <v>32.7</v>
      </c>
      <c r="F270" s="3">
        <v>201</v>
      </c>
      <c r="G270" s="4" t="s">
        <v>271</v>
      </c>
      <c r="H270" s="3" t="b">
        <v>1</v>
      </c>
      <c r="I270" s="3">
        <v>9</v>
      </c>
      <c r="J270" s="3">
        <v>14</v>
      </c>
      <c r="K270" s="3">
        <v>41.68</v>
      </c>
      <c r="L270" s="3">
        <v>662</v>
      </c>
      <c r="M270" s="3">
        <v>949</v>
      </c>
      <c r="N270" s="3">
        <v>3.99</v>
      </c>
      <c r="O270" s="25">
        <v>4.77</v>
      </c>
      <c r="P270" s="32">
        <v>55.2</v>
      </c>
      <c r="Q270" s="3">
        <v>94.4</v>
      </c>
      <c r="R270" s="3">
        <v>18</v>
      </c>
      <c r="S270" s="3">
        <v>0</v>
      </c>
      <c r="U270" s="3">
        <v>11.99</v>
      </c>
      <c r="V270" s="3">
        <v>10.05</v>
      </c>
    </row>
    <row r="271" spans="1:22" ht="21.75">
      <c r="A271" s="3">
        <v>140</v>
      </c>
      <c r="B271" s="4" t="s">
        <v>381</v>
      </c>
      <c r="C271" s="4" t="s">
        <v>382</v>
      </c>
      <c r="D271" s="3">
        <v>147</v>
      </c>
      <c r="E271" s="3">
        <v>42.3</v>
      </c>
      <c r="F271" s="3">
        <v>302</v>
      </c>
      <c r="G271" s="4" t="s">
        <v>269</v>
      </c>
      <c r="H271" s="3" t="b">
        <v>1</v>
      </c>
      <c r="I271" s="3">
        <v>12</v>
      </c>
      <c r="J271" s="3">
        <v>12</v>
      </c>
      <c r="K271" s="3">
        <v>53.83</v>
      </c>
      <c r="L271" s="3">
        <v>858</v>
      </c>
      <c r="M271" s="3">
        <v>2760</v>
      </c>
      <c r="N271" s="3">
        <v>3.99</v>
      </c>
      <c r="O271" s="25">
        <v>7.16</v>
      </c>
      <c r="P271" s="32">
        <v>72.3</v>
      </c>
      <c r="Q271" s="3">
        <v>183</v>
      </c>
      <c r="R271" s="3">
        <v>18</v>
      </c>
      <c r="S271" s="3">
        <v>0</v>
      </c>
      <c r="U271" s="3">
        <v>10.86</v>
      </c>
      <c r="V271" s="3">
        <v>15.1</v>
      </c>
    </row>
    <row r="272" spans="1:22" ht="21.75">
      <c r="A272" s="3">
        <v>141</v>
      </c>
      <c r="B272" s="4" t="s">
        <v>381</v>
      </c>
      <c r="C272" s="4" t="s">
        <v>382</v>
      </c>
      <c r="D272" s="3">
        <v>149</v>
      </c>
      <c r="E272" s="3">
        <v>43.5</v>
      </c>
      <c r="F272" s="3">
        <v>299</v>
      </c>
      <c r="G272" s="4" t="s">
        <v>272</v>
      </c>
      <c r="H272" s="3" t="b">
        <v>1</v>
      </c>
      <c r="I272" s="3">
        <v>9</v>
      </c>
      <c r="J272" s="3">
        <v>14</v>
      </c>
      <c r="K272" s="3">
        <v>55.4</v>
      </c>
      <c r="L272" s="3">
        <v>715</v>
      </c>
      <c r="M272" s="3">
        <v>3120</v>
      </c>
      <c r="N272" s="3">
        <v>3.59</v>
      </c>
      <c r="O272" s="25">
        <v>7.51</v>
      </c>
      <c r="P272" s="32">
        <v>57</v>
      </c>
      <c r="Q272" s="3">
        <v>209</v>
      </c>
      <c r="R272" s="3">
        <v>18</v>
      </c>
      <c r="S272" s="3">
        <v>0</v>
      </c>
      <c r="U272" s="3">
        <v>12.54</v>
      </c>
      <c r="V272" s="3">
        <v>14.95</v>
      </c>
    </row>
    <row r="273" spans="1:22" ht="21.75">
      <c r="A273" s="3">
        <v>142</v>
      </c>
      <c r="B273" s="4" t="s">
        <v>381</v>
      </c>
      <c r="C273" s="4" t="s">
        <v>382</v>
      </c>
      <c r="D273" s="3">
        <v>150</v>
      </c>
      <c r="E273" s="3">
        <v>47</v>
      </c>
      <c r="F273" s="3">
        <v>300</v>
      </c>
      <c r="G273" s="4" t="s">
        <v>274</v>
      </c>
      <c r="H273" s="3" t="b">
        <v>1</v>
      </c>
      <c r="I273" s="3">
        <v>10</v>
      </c>
      <c r="J273" s="3">
        <v>15</v>
      </c>
      <c r="K273" s="3">
        <v>59.89</v>
      </c>
      <c r="L273" s="3">
        <v>798</v>
      </c>
      <c r="M273" s="3">
        <v>3380</v>
      </c>
      <c r="N273" s="3">
        <v>3.65</v>
      </c>
      <c r="O273" s="25">
        <v>7.51</v>
      </c>
      <c r="P273" s="32">
        <v>63.7</v>
      </c>
      <c r="Q273" s="3">
        <v>225</v>
      </c>
      <c r="R273" s="3">
        <v>18</v>
      </c>
      <c r="S273" s="3">
        <v>0</v>
      </c>
      <c r="U273" s="3">
        <v>12.53</v>
      </c>
      <c r="V273" s="3">
        <v>15</v>
      </c>
    </row>
    <row r="274" spans="1:22" ht="21.75">
      <c r="A274" s="3">
        <v>143</v>
      </c>
      <c r="B274" s="4" t="s">
        <v>381</v>
      </c>
      <c r="C274" s="4" t="s">
        <v>382</v>
      </c>
      <c r="D274" s="3">
        <v>150</v>
      </c>
      <c r="E274" s="3">
        <v>52.9</v>
      </c>
      <c r="F274" s="3">
        <v>305</v>
      </c>
      <c r="G274" s="4" t="s">
        <v>275</v>
      </c>
      <c r="H274" s="3" t="b">
        <v>1</v>
      </c>
      <c r="I274" s="3">
        <v>15</v>
      </c>
      <c r="J274" s="3">
        <v>15</v>
      </c>
      <c r="K274" s="3">
        <v>67.39</v>
      </c>
      <c r="L274" s="3">
        <v>1110</v>
      </c>
      <c r="M274" s="3">
        <v>3550</v>
      </c>
      <c r="N274" s="3">
        <v>4.05</v>
      </c>
      <c r="O274" s="25">
        <v>7.26</v>
      </c>
      <c r="P274" s="32">
        <v>92.5</v>
      </c>
      <c r="Q274" s="3">
        <v>233</v>
      </c>
      <c r="R274" s="3">
        <v>18</v>
      </c>
      <c r="S274" s="3">
        <v>0</v>
      </c>
      <c r="U274" s="3">
        <v>12.97</v>
      </c>
      <c r="V274" s="3">
        <v>15.25</v>
      </c>
    </row>
    <row r="275" spans="1:22" ht="21.75">
      <c r="A275" s="3">
        <v>144</v>
      </c>
      <c r="B275" s="4" t="s">
        <v>381</v>
      </c>
      <c r="C275" s="4" t="s">
        <v>382</v>
      </c>
      <c r="D275" s="3">
        <v>152</v>
      </c>
      <c r="E275" s="3">
        <v>52.9</v>
      </c>
      <c r="F275" s="3">
        <v>301</v>
      </c>
      <c r="G275" s="4" t="s">
        <v>276</v>
      </c>
      <c r="H275" s="3" t="b">
        <v>1</v>
      </c>
      <c r="I275" s="3">
        <v>11</v>
      </c>
      <c r="J275" s="3">
        <v>17</v>
      </c>
      <c r="K275" s="3">
        <v>67.41</v>
      </c>
      <c r="L275" s="3">
        <v>903</v>
      </c>
      <c r="M275" s="3">
        <v>3870</v>
      </c>
      <c r="N275" s="3">
        <v>3.66</v>
      </c>
      <c r="O275" s="25">
        <v>7.57</v>
      </c>
      <c r="P275" s="32">
        <v>71.4</v>
      </c>
      <c r="Q275" s="3">
        <v>257</v>
      </c>
      <c r="R275" s="3">
        <v>18</v>
      </c>
      <c r="S275" s="3">
        <v>0</v>
      </c>
      <c r="U275" s="3">
        <v>12.65</v>
      </c>
      <c r="V275" s="3">
        <v>15.05</v>
      </c>
    </row>
    <row r="276" spans="1:22" ht="21.75">
      <c r="A276" s="3">
        <v>145</v>
      </c>
      <c r="B276" s="4" t="s">
        <v>381</v>
      </c>
      <c r="C276" s="4" t="s">
        <v>382</v>
      </c>
      <c r="D276" s="3">
        <v>173</v>
      </c>
      <c r="E276" s="3">
        <v>20.7</v>
      </c>
      <c r="F276" s="3">
        <v>174</v>
      </c>
      <c r="G276" s="4" t="s">
        <v>282</v>
      </c>
      <c r="H276" s="3" t="b">
        <v>1</v>
      </c>
      <c r="I276" s="3">
        <v>6</v>
      </c>
      <c r="J276" s="3">
        <v>9</v>
      </c>
      <c r="K276" s="3">
        <v>26.34</v>
      </c>
      <c r="L276" s="3">
        <v>679</v>
      </c>
      <c r="M276" s="3">
        <v>396</v>
      </c>
      <c r="N276" s="3">
        <v>5.08</v>
      </c>
      <c r="O276" s="25">
        <v>3.88</v>
      </c>
      <c r="P276" s="32">
        <v>50</v>
      </c>
      <c r="Q276" s="3">
        <v>45.5</v>
      </c>
      <c r="R276" s="3">
        <v>14</v>
      </c>
      <c r="S276" s="3">
        <v>0</v>
      </c>
      <c r="U276" s="3">
        <v>13.59</v>
      </c>
      <c r="V276" s="3">
        <v>8.7</v>
      </c>
    </row>
    <row r="277" spans="1:22" ht="21.75">
      <c r="A277" s="3">
        <v>146</v>
      </c>
      <c r="B277" s="4" t="s">
        <v>381</v>
      </c>
      <c r="C277" s="4" t="s">
        <v>382</v>
      </c>
      <c r="D277" s="3">
        <v>175</v>
      </c>
      <c r="E277" s="3">
        <v>24.8</v>
      </c>
      <c r="F277" s="3">
        <v>175</v>
      </c>
      <c r="G277" s="4" t="s">
        <v>283</v>
      </c>
      <c r="H277" s="3" t="b">
        <v>1</v>
      </c>
      <c r="I277" s="3">
        <v>7</v>
      </c>
      <c r="J277" s="3">
        <v>11</v>
      </c>
      <c r="K277" s="3">
        <v>31.57</v>
      </c>
      <c r="L277" s="3">
        <v>815</v>
      </c>
      <c r="M277" s="3">
        <v>492</v>
      </c>
      <c r="N277" s="3">
        <v>5.08</v>
      </c>
      <c r="O277" s="25">
        <v>3.95</v>
      </c>
      <c r="P277" s="32">
        <v>59.3</v>
      </c>
      <c r="Q277" s="3">
        <v>56.2</v>
      </c>
      <c r="R277" s="3">
        <v>14</v>
      </c>
      <c r="S277" s="3">
        <v>0</v>
      </c>
      <c r="U277" s="3">
        <v>13.75</v>
      </c>
      <c r="V277" s="3">
        <v>8.75</v>
      </c>
    </row>
    <row r="278" spans="1:22" ht="21.75">
      <c r="A278" s="3">
        <v>147</v>
      </c>
      <c r="B278" s="4" t="s">
        <v>381</v>
      </c>
      <c r="C278" s="4" t="s">
        <v>382</v>
      </c>
      <c r="D278" s="3">
        <v>168</v>
      </c>
      <c r="E278" s="3">
        <v>34.6</v>
      </c>
      <c r="F278" s="3">
        <v>249</v>
      </c>
      <c r="G278" s="4" t="s">
        <v>277</v>
      </c>
      <c r="H278" s="3" t="b">
        <v>1</v>
      </c>
      <c r="I278" s="3">
        <v>8</v>
      </c>
      <c r="J278" s="3">
        <v>12</v>
      </c>
      <c r="K278" s="3">
        <v>44.08</v>
      </c>
      <c r="L278" s="3">
        <v>881</v>
      </c>
      <c r="M278" s="3">
        <v>1540</v>
      </c>
      <c r="N278" s="3">
        <v>4.47</v>
      </c>
      <c r="O278" s="25">
        <v>5.92</v>
      </c>
      <c r="P278" s="32">
        <v>64</v>
      </c>
      <c r="Q278" s="3">
        <v>124</v>
      </c>
      <c r="R278" s="3">
        <v>20</v>
      </c>
      <c r="S278" s="3">
        <v>0</v>
      </c>
      <c r="U278" s="3">
        <v>13.78</v>
      </c>
      <c r="V278" s="3">
        <v>12.45</v>
      </c>
    </row>
    <row r="279" spans="1:22" ht="21.75">
      <c r="A279" s="3">
        <v>148</v>
      </c>
      <c r="B279" s="4" t="s">
        <v>381</v>
      </c>
      <c r="C279" s="4" t="s">
        <v>382</v>
      </c>
      <c r="D279" s="3">
        <v>170</v>
      </c>
      <c r="E279" s="3">
        <v>39.7</v>
      </c>
      <c r="F279" s="3">
        <v>250</v>
      </c>
      <c r="G279" s="4" t="s">
        <v>279</v>
      </c>
      <c r="H279" s="3" t="b">
        <v>1</v>
      </c>
      <c r="I279" s="3">
        <v>9</v>
      </c>
      <c r="J279" s="3">
        <v>14</v>
      </c>
      <c r="K279" s="3">
        <v>50.76</v>
      </c>
      <c r="L279" s="3">
        <v>1020</v>
      </c>
      <c r="M279" s="3">
        <v>1830</v>
      </c>
      <c r="N279" s="3">
        <v>4.48</v>
      </c>
      <c r="O279" s="25">
        <v>6</v>
      </c>
      <c r="P279" s="32">
        <v>73.1</v>
      </c>
      <c r="Q279" s="3">
        <v>146</v>
      </c>
      <c r="R279" s="3">
        <v>20</v>
      </c>
      <c r="S279" s="3">
        <v>0</v>
      </c>
      <c r="U279" s="3">
        <v>13.91</v>
      </c>
      <c r="V279" s="3">
        <v>12.5</v>
      </c>
    </row>
    <row r="280" spans="1:22" ht="21.75">
      <c r="A280" s="3">
        <v>149</v>
      </c>
      <c r="B280" s="4" t="s">
        <v>381</v>
      </c>
      <c r="C280" s="4" t="s">
        <v>382</v>
      </c>
      <c r="D280" s="3">
        <v>169</v>
      </c>
      <c r="E280" s="3">
        <v>53</v>
      </c>
      <c r="F280" s="3">
        <v>351</v>
      </c>
      <c r="G280" s="4" t="s">
        <v>278</v>
      </c>
      <c r="H280" s="3" t="b">
        <v>1</v>
      </c>
      <c r="I280" s="3">
        <v>13</v>
      </c>
      <c r="J280" s="3">
        <v>13</v>
      </c>
      <c r="K280" s="3">
        <v>67.63</v>
      </c>
      <c r="L280" s="3">
        <v>1420</v>
      </c>
      <c r="M280" s="3">
        <v>4690</v>
      </c>
      <c r="N280" s="3">
        <v>4.59</v>
      </c>
      <c r="O280" s="25">
        <v>8.33</v>
      </c>
      <c r="P280" s="32">
        <v>104</v>
      </c>
      <c r="Q280" s="3">
        <v>267</v>
      </c>
      <c r="R280" s="3">
        <v>20</v>
      </c>
      <c r="S280" s="3">
        <v>0</v>
      </c>
      <c r="U280" s="3">
        <v>13.69</v>
      </c>
      <c r="V280" s="3">
        <v>17.55</v>
      </c>
    </row>
    <row r="281" spans="1:22" ht="21.75">
      <c r="A281" s="3">
        <v>150</v>
      </c>
      <c r="B281" s="4" t="s">
        <v>381</v>
      </c>
      <c r="C281" s="4" t="s">
        <v>382</v>
      </c>
      <c r="D281" s="3">
        <v>172</v>
      </c>
      <c r="E281" s="3">
        <v>57.2</v>
      </c>
      <c r="F281" s="3">
        <v>348</v>
      </c>
      <c r="G281" s="4" t="s">
        <v>280</v>
      </c>
      <c r="H281" s="3" t="b">
        <v>1</v>
      </c>
      <c r="I281" s="3">
        <v>10</v>
      </c>
      <c r="J281" s="3">
        <v>16</v>
      </c>
      <c r="K281" s="3">
        <v>73</v>
      </c>
      <c r="L281" s="3">
        <v>1230</v>
      </c>
      <c r="M281" s="3">
        <v>5620</v>
      </c>
      <c r="N281" s="3">
        <v>4.11</v>
      </c>
      <c r="O281" s="25">
        <v>8.78</v>
      </c>
      <c r="P281" s="32">
        <v>84.7</v>
      </c>
      <c r="Q281" s="3">
        <v>323</v>
      </c>
      <c r="R281" s="3">
        <v>20</v>
      </c>
      <c r="S281" s="3">
        <v>0</v>
      </c>
      <c r="U281" s="3">
        <v>14.53</v>
      </c>
      <c r="V281" s="3">
        <v>17.4</v>
      </c>
    </row>
    <row r="282" spans="1:22" ht="21.75">
      <c r="A282" s="3">
        <v>151</v>
      </c>
      <c r="B282" s="4" t="s">
        <v>381</v>
      </c>
      <c r="C282" s="4" t="s">
        <v>382</v>
      </c>
      <c r="D282" s="3">
        <v>172</v>
      </c>
      <c r="E282" s="3">
        <v>65.3</v>
      </c>
      <c r="F282" s="3">
        <v>354</v>
      </c>
      <c r="G282" s="4" t="s">
        <v>281</v>
      </c>
      <c r="H282" s="3" t="b">
        <v>1</v>
      </c>
      <c r="I282" s="3">
        <v>16</v>
      </c>
      <c r="J282" s="3">
        <v>16</v>
      </c>
      <c r="K282" s="3">
        <v>83.32</v>
      </c>
      <c r="L282" s="3">
        <v>1800</v>
      </c>
      <c r="M282" s="3">
        <v>5920</v>
      </c>
      <c r="N282" s="3">
        <v>4.65</v>
      </c>
      <c r="O282" s="25">
        <v>8.43</v>
      </c>
      <c r="P282" s="32">
        <v>131</v>
      </c>
      <c r="Q282" s="3">
        <v>335</v>
      </c>
      <c r="R282" s="3">
        <v>20</v>
      </c>
      <c r="S282" s="3">
        <v>0</v>
      </c>
      <c r="U282" s="3">
        <v>13.8</v>
      </c>
      <c r="V282" s="3">
        <v>17.7</v>
      </c>
    </row>
    <row r="283" spans="1:22" ht="21.75">
      <c r="A283" s="3">
        <v>152</v>
      </c>
      <c r="B283" s="4" t="s">
        <v>381</v>
      </c>
      <c r="C283" s="4" t="s">
        <v>382</v>
      </c>
      <c r="D283" s="3">
        <v>175</v>
      </c>
      <c r="E283" s="3">
        <v>68.1</v>
      </c>
      <c r="F283" s="3">
        <v>350</v>
      </c>
      <c r="G283" s="4" t="s">
        <v>284</v>
      </c>
      <c r="H283" s="3" t="b">
        <v>1</v>
      </c>
      <c r="I283" s="3">
        <v>12</v>
      </c>
      <c r="J283" s="3">
        <v>19</v>
      </c>
      <c r="K283" s="3">
        <v>86.94</v>
      </c>
      <c r="L283" s="3">
        <v>1520</v>
      </c>
      <c r="M283" s="3">
        <v>6790</v>
      </c>
      <c r="N283" s="3">
        <v>4.18</v>
      </c>
      <c r="O283" s="25">
        <v>8.84</v>
      </c>
      <c r="P283" s="32">
        <v>104</v>
      </c>
      <c r="Q283" s="3">
        <v>388</v>
      </c>
      <c r="R283" s="3">
        <v>20</v>
      </c>
      <c r="S283" s="3">
        <v>0</v>
      </c>
      <c r="U283" s="3">
        <v>14.64</v>
      </c>
      <c r="V283" s="3">
        <v>17.5</v>
      </c>
    </row>
    <row r="284" spans="1:22" ht="21.75">
      <c r="A284" s="3">
        <v>153</v>
      </c>
      <c r="B284" s="4" t="s">
        <v>381</v>
      </c>
      <c r="C284" s="4" t="s">
        <v>382</v>
      </c>
      <c r="D284" s="3">
        <v>175</v>
      </c>
      <c r="E284" s="3">
        <v>77.8</v>
      </c>
      <c r="F284" s="3">
        <v>357</v>
      </c>
      <c r="G284" s="4" t="s">
        <v>285</v>
      </c>
      <c r="H284" s="3" t="b">
        <v>1</v>
      </c>
      <c r="I284" s="3">
        <v>19</v>
      </c>
      <c r="J284" s="3">
        <v>19</v>
      </c>
      <c r="K284" s="3">
        <v>99.19</v>
      </c>
      <c r="L284" s="3">
        <v>2200</v>
      </c>
      <c r="M284" s="3">
        <v>7220</v>
      </c>
      <c r="N284" s="3">
        <v>4.71</v>
      </c>
      <c r="O284" s="25">
        <v>8.53</v>
      </c>
      <c r="P284" s="32">
        <v>158</v>
      </c>
      <c r="Q284" s="3">
        <v>404</v>
      </c>
      <c r="R284" s="3">
        <v>20</v>
      </c>
      <c r="S284" s="3">
        <v>0</v>
      </c>
      <c r="U284" s="3">
        <v>13.91</v>
      </c>
      <c r="V284" s="3">
        <v>17.85</v>
      </c>
    </row>
    <row r="285" spans="1:22" ht="21.75">
      <c r="A285" s="3">
        <v>154</v>
      </c>
      <c r="B285" s="4" t="s">
        <v>381</v>
      </c>
      <c r="C285" s="4" t="s">
        <v>382</v>
      </c>
      <c r="D285" s="3">
        <v>198</v>
      </c>
      <c r="E285" s="3">
        <v>28.3</v>
      </c>
      <c r="F285" s="3">
        <v>199</v>
      </c>
      <c r="G285" s="4" t="s">
        <v>291</v>
      </c>
      <c r="H285" s="3" t="b">
        <v>1</v>
      </c>
      <c r="I285" s="3">
        <v>7</v>
      </c>
      <c r="J285" s="3">
        <v>11</v>
      </c>
      <c r="K285" s="3">
        <v>36.08</v>
      </c>
      <c r="L285" s="3">
        <v>1190</v>
      </c>
      <c r="M285" s="3">
        <v>723</v>
      </c>
      <c r="N285" s="3">
        <v>5.76</v>
      </c>
      <c r="O285" s="25">
        <v>4.48</v>
      </c>
      <c r="P285" s="32">
        <v>76.4</v>
      </c>
      <c r="Q285" s="3">
        <v>72.7</v>
      </c>
      <c r="R285" s="3">
        <v>16</v>
      </c>
      <c r="S285" s="3">
        <v>0</v>
      </c>
      <c r="U285" s="3">
        <v>15.63</v>
      </c>
      <c r="V285" s="3">
        <v>9.95</v>
      </c>
    </row>
    <row r="286" spans="1:22" ht="21.75">
      <c r="A286" s="3">
        <v>155</v>
      </c>
      <c r="B286" s="4" t="s">
        <v>381</v>
      </c>
      <c r="C286" s="4" t="s">
        <v>382</v>
      </c>
      <c r="D286" s="3">
        <v>200</v>
      </c>
      <c r="E286" s="3">
        <v>33</v>
      </c>
      <c r="F286" s="3">
        <v>200</v>
      </c>
      <c r="G286" s="4" t="s">
        <v>292</v>
      </c>
      <c r="H286" s="3" t="b">
        <v>1</v>
      </c>
      <c r="I286" s="3">
        <v>8</v>
      </c>
      <c r="J286" s="3">
        <v>13</v>
      </c>
      <c r="K286" s="3">
        <v>42.06</v>
      </c>
      <c r="L286" s="3">
        <v>1400</v>
      </c>
      <c r="M286" s="3">
        <v>868</v>
      </c>
      <c r="N286" s="3">
        <v>5.76</v>
      </c>
      <c r="O286" s="25">
        <v>4.54</v>
      </c>
      <c r="P286" s="32">
        <v>88.6</v>
      </c>
      <c r="Q286" s="3">
        <v>86.8</v>
      </c>
      <c r="R286" s="3">
        <v>16</v>
      </c>
      <c r="S286" s="3">
        <v>0</v>
      </c>
      <c r="U286" s="3">
        <v>15.77</v>
      </c>
      <c r="V286" s="3">
        <v>10</v>
      </c>
    </row>
    <row r="287" spans="1:22" ht="21.75">
      <c r="A287" s="3">
        <v>156</v>
      </c>
      <c r="B287" s="4" t="s">
        <v>381</v>
      </c>
      <c r="C287" s="4" t="s">
        <v>382</v>
      </c>
      <c r="D287" s="3">
        <v>193</v>
      </c>
      <c r="E287" s="3">
        <v>47</v>
      </c>
      <c r="F287" s="3">
        <v>299</v>
      </c>
      <c r="G287" s="4" t="s">
        <v>286</v>
      </c>
      <c r="H287" s="3" t="b">
        <v>1</v>
      </c>
      <c r="I287" s="3">
        <v>9</v>
      </c>
      <c r="J287" s="3">
        <v>14</v>
      </c>
      <c r="K287" s="3">
        <v>60.05</v>
      </c>
      <c r="L287" s="3">
        <v>1530</v>
      </c>
      <c r="M287" s="3">
        <v>3120</v>
      </c>
      <c r="N287" s="3">
        <v>5.04</v>
      </c>
      <c r="O287" s="25">
        <v>7.21</v>
      </c>
      <c r="P287" s="32">
        <v>95.5</v>
      </c>
      <c r="Q287" s="3">
        <v>209</v>
      </c>
      <c r="R287" s="3">
        <v>22</v>
      </c>
      <c r="S287" s="3">
        <v>0</v>
      </c>
      <c r="U287" s="3">
        <v>15.97</v>
      </c>
      <c r="V287" s="3">
        <v>14.95</v>
      </c>
    </row>
    <row r="288" spans="1:22" ht="21.75">
      <c r="A288" s="3">
        <v>157</v>
      </c>
      <c r="B288" s="4" t="s">
        <v>381</v>
      </c>
      <c r="C288" s="4" t="s">
        <v>382</v>
      </c>
      <c r="D288" s="3">
        <v>195</v>
      </c>
      <c r="E288" s="3">
        <v>53.3</v>
      </c>
      <c r="F288" s="3">
        <v>300</v>
      </c>
      <c r="G288" s="4" t="s">
        <v>288</v>
      </c>
      <c r="H288" s="3" t="b">
        <v>1</v>
      </c>
      <c r="I288" s="3">
        <v>10</v>
      </c>
      <c r="J288" s="3">
        <v>16</v>
      </c>
      <c r="K288" s="3">
        <v>67.98</v>
      </c>
      <c r="L288" s="3">
        <v>1730</v>
      </c>
      <c r="M288" s="3">
        <v>3600</v>
      </c>
      <c r="N288" s="3">
        <v>5.05</v>
      </c>
      <c r="O288" s="25">
        <v>7.28</v>
      </c>
      <c r="P288" s="32">
        <v>108</v>
      </c>
      <c r="Q288" s="3">
        <v>240</v>
      </c>
      <c r="R288" s="3">
        <v>22</v>
      </c>
      <c r="S288" s="3">
        <v>0</v>
      </c>
      <c r="U288" s="3">
        <v>16.09</v>
      </c>
      <c r="V288" s="3">
        <v>15</v>
      </c>
    </row>
    <row r="289" spans="1:22" ht="21.75">
      <c r="A289" s="3">
        <v>158</v>
      </c>
      <c r="B289" s="4" t="s">
        <v>381</v>
      </c>
      <c r="C289" s="4" t="s">
        <v>382</v>
      </c>
      <c r="D289" s="3">
        <v>194</v>
      </c>
      <c r="E289" s="3">
        <v>70</v>
      </c>
      <c r="F289" s="3">
        <v>402</v>
      </c>
      <c r="G289" s="4" t="s">
        <v>287</v>
      </c>
      <c r="H289" s="3" t="b">
        <v>1</v>
      </c>
      <c r="I289" s="3">
        <v>15</v>
      </c>
      <c r="J289" s="3">
        <v>15</v>
      </c>
      <c r="K289" s="3">
        <v>89.23</v>
      </c>
      <c r="L289" s="3">
        <v>2480</v>
      </c>
      <c r="M289" s="3">
        <v>8130</v>
      </c>
      <c r="N289" s="3">
        <v>5.27</v>
      </c>
      <c r="O289" s="25">
        <v>9.54</v>
      </c>
      <c r="P289" s="32">
        <v>158</v>
      </c>
      <c r="Q289" s="3">
        <v>404</v>
      </c>
      <c r="R289" s="3">
        <v>22</v>
      </c>
      <c r="S289" s="3">
        <v>0</v>
      </c>
      <c r="U289" s="3">
        <v>15.7</v>
      </c>
      <c r="V289" s="3">
        <v>20.1</v>
      </c>
    </row>
    <row r="290" spans="1:22" ht="21.75">
      <c r="A290" s="3">
        <v>159</v>
      </c>
      <c r="B290" s="4" t="s">
        <v>381</v>
      </c>
      <c r="C290" s="4" t="s">
        <v>382</v>
      </c>
      <c r="D290" s="3">
        <v>197</v>
      </c>
      <c r="E290" s="3">
        <v>73.3</v>
      </c>
      <c r="F290" s="3">
        <v>398</v>
      </c>
      <c r="G290" s="4" t="s">
        <v>289</v>
      </c>
      <c r="H290" s="3" t="b">
        <v>1</v>
      </c>
      <c r="I290" s="3">
        <v>11</v>
      </c>
      <c r="J290" s="3">
        <v>18</v>
      </c>
      <c r="K290" s="3">
        <v>93.41</v>
      </c>
      <c r="L290" s="3">
        <v>2050</v>
      </c>
      <c r="M290" s="3">
        <v>9460</v>
      </c>
      <c r="N290" s="3">
        <v>4.68</v>
      </c>
      <c r="O290" s="25">
        <v>10</v>
      </c>
      <c r="P290" s="32">
        <v>123</v>
      </c>
      <c r="Q290" s="3">
        <v>475</v>
      </c>
      <c r="R290" s="3">
        <v>22</v>
      </c>
      <c r="S290" s="3">
        <v>0</v>
      </c>
      <c r="U290" s="3">
        <v>16.69</v>
      </c>
      <c r="V290" s="3">
        <v>19.9</v>
      </c>
    </row>
    <row r="291" spans="1:22" ht="21.75">
      <c r="A291" s="3">
        <v>160</v>
      </c>
      <c r="B291" s="4" t="s">
        <v>381</v>
      </c>
      <c r="C291" s="4" t="s">
        <v>382</v>
      </c>
      <c r="D291" s="3">
        <v>197</v>
      </c>
      <c r="E291" s="3">
        <v>84.1</v>
      </c>
      <c r="F291" s="3">
        <v>405</v>
      </c>
      <c r="G291" s="4" t="s">
        <v>290</v>
      </c>
      <c r="H291" s="3" t="b">
        <v>1</v>
      </c>
      <c r="I291" s="3">
        <v>18</v>
      </c>
      <c r="J291" s="3">
        <v>18</v>
      </c>
      <c r="K291" s="3">
        <v>107.2</v>
      </c>
      <c r="L291" s="3">
        <v>3050</v>
      </c>
      <c r="M291" s="3">
        <v>9980</v>
      </c>
      <c r="N291" s="3">
        <v>5.34</v>
      </c>
      <c r="O291" s="25">
        <v>9.65</v>
      </c>
      <c r="P291" s="32">
        <v>193</v>
      </c>
      <c r="Q291" s="3">
        <v>493</v>
      </c>
      <c r="R291" s="3">
        <v>22</v>
      </c>
      <c r="S291" s="3">
        <v>0</v>
      </c>
      <c r="U291" s="3">
        <v>15.81</v>
      </c>
      <c r="V291" s="3">
        <v>20.25</v>
      </c>
    </row>
    <row r="292" spans="1:22" ht="21.75">
      <c r="A292" s="3">
        <v>161</v>
      </c>
      <c r="B292" s="4" t="s">
        <v>381</v>
      </c>
      <c r="C292" s="4" t="s">
        <v>382</v>
      </c>
      <c r="D292" s="3">
        <v>200</v>
      </c>
      <c r="E292" s="3">
        <v>85.8</v>
      </c>
      <c r="F292" s="3">
        <v>400</v>
      </c>
      <c r="G292" s="4" t="s">
        <v>293</v>
      </c>
      <c r="H292" s="3" t="b">
        <v>1</v>
      </c>
      <c r="I292" s="3">
        <v>13</v>
      </c>
      <c r="J292" s="3">
        <v>21</v>
      </c>
      <c r="K292" s="3">
        <v>109.3</v>
      </c>
      <c r="L292" s="3">
        <v>2480</v>
      </c>
      <c r="M292" s="3">
        <v>11200</v>
      </c>
      <c r="N292" s="3">
        <v>4.76</v>
      </c>
      <c r="O292" s="25">
        <v>10.1</v>
      </c>
      <c r="P292" s="32">
        <v>147</v>
      </c>
      <c r="Q292" s="3">
        <v>560</v>
      </c>
      <c r="R292" s="3">
        <v>22</v>
      </c>
      <c r="S292" s="3">
        <v>0</v>
      </c>
      <c r="U292" s="3">
        <v>16.79</v>
      </c>
      <c r="V292" s="3">
        <v>20</v>
      </c>
    </row>
    <row r="293" spans="1:22" ht="21.75">
      <c r="A293" s="3">
        <v>162</v>
      </c>
      <c r="B293" s="4" t="s">
        <v>381</v>
      </c>
      <c r="C293" s="4" t="s">
        <v>382</v>
      </c>
      <c r="D293" s="3">
        <v>200</v>
      </c>
      <c r="E293" s="3">
        <v>98.4</v>
      </c>
      <c r="F293" s="3">
        <v>408</v>
      </c>
      <c r="G293" s="4" t="s">
        <v>294</v>
      </c>
      <c r="H293" s="3" t="b">
        <v>1</v>
      </c>
      <c r="I293" s="3">
        <v>21</v>
      </c>
      <c r="J293" s="3">
        <v>21</v>
      </c>
      <c r="K293" s="3">
        <v>125.3</v>
      </c>
      <c r="L293" s="3">
        <v>3650</v>
      </c>
      <c r="M293" s="3">
        <v>11900</v>
      </c>
      <c r="N293" s="3">
        <v>5.4</v>
      </c>
      <c r="O293" s="25">
        <v>9.75</v>
      </c>
      <c r="P293" s="32">
        <v>229</v>
      </c>
      <c r="Q293" s="3">
        <v>584</v>
      </c>
      <c r="R293" s="3">
        <v>22</v>
      </c>
      <c r="S293" s="3">
        <v>0</v>
      </c>
      <c r="U293" s="3">
        <v>15.93</v>
      </c>
      <c r="V293" s="3">
        <v>20.4</v>
      </c>
    </row>
    <row r="294" spans="1:22" ht="21.75">
      <c r="A294" s="3">
        <v>163</v>
      </c>
      <c r="B294" s="4" t="s">
        <v>381</v>
      </c>
      <c r="C294" s="4" t="s">
        <v>382</v>
      </c>
      <c r="D294" s="3">
        <v>207</v>
      </c>
      <c r="E294" s="3">
        <v>116</v>
      </c>
      <c r="F294" s="3">
        <v>405</v>
      </c>
      <c r="G294" s="4" t="s">
        <v>295</v>
      </c>
      <c r="H294" s="3" t="b">
        <v>1</v>
      </c>
      <c r="I294" s="3">
        <v>18</v>
      </c>
      <c r="J294" s="3">
        <v>28</v>
      </c>
      <c r="K294" s="3">
        <v>147.7</v>
      </c>
      <c r="L294" s="3">
        <v>3620</v>
      </c>
      <c r="M294" s="3">
        <v>15500</v>
      </c>
      <c r="N294" s="3">
        <v>4.95</v>
      </c>
      <c r="O294" s="25">
        <v>10.2</v>
      </c>
      <c r="P294" s="32">
        <v>213</v>
      </c>
      <c r="Q294" s="3">
        <v>776</v>
      </c>
      <c r="R294" s="3">
        <v>22</v>
      </c>
      <c r="S294" s="3">
        <v>0</v>
      </c>
      <c r="U294" s="3">
        <v>17.02</v>
      </c>
      <c r="V294" s="3">
        <v>20.25</v>
      </c>
    </row>
    <row r="295" spans="1:22" ht="21.75">
      <c r="A295" s="3">
        <v>164</v>
      </c>
      <c r="B295" s="4" t="s">
        <v>381</v>
      </c>
      <c r="C295" s="4" t="s">
        <v>382</v>
      </c>
      <c r="D295" s="3">
        <v>223</v>
      </c>
      <c r="E295" s="3">
        <v>33.1</v>
      </c>
      <c r="F295" s="3">
        <v>199</v>
      </c>
      <c r="G295" s="4" t="s">
        <v>298</v>
      </c>
      <c r="H295" s="3" t="b">
        <v>1</v>
      </c>
      <c r="I295" s="3">
        <v>8</v>
      </c>
      <c r="J295" s="3">
        <v>12</v>
      </c>
      <c r="K295" s="3">
        <v>42.15</v>
      </c>
      <c r="L295" s="3">
        <v>1880</v>
      </c>
      <c r="M295" s="3">
        <v>790</v>
      </c>
      <c r="N295" s="3">
        <v>6.67</v>
      </c>
      <c r="O295" s="25">
        <v>4.33</v>
      </c>
      <c r="P295" s="32">
        <v>109</v>
      </c>
      <c r="Q295" s="3">
        <v>79.4</v>
      </c>
      <c r="R295" s="3">
        <v>18</v>
      </c>
      <c r="S295" s="3">
        <v>0</v>
      </c>
      <c r="U295" s="3">
        <v>17.2</v>
      </c>
      <c r="V295" s="3">
        <v>9.95</v>
      </c>
    </row>
    <row r="296" spans="1:22" ht="21.75">
      <c r="A296" s="3">
        <v>165</v>
      </c>
      <c r="B296" s="4" t="s">
        <v>381</v>
      </c>
      <c r="C296" s="4" t="s">
        <v>382</v>
      </c>
      <c r="D296" s="3">
        <v>225</v>
      </c>
      <c r="E296" s="3">
        <v>38</v>
      </c>
      <c r="F296" s="3">
        <v>200</v>
      </c>
      <c r="G296" s="4" t="s">
        <v>299</v>
      </c>
      <c r="H296" s="3" t="b">
        <v>1</v>
      </c>
      <c r="I296" s="3">
        <v>9</v>
      </c>
      <c r="J296" s="3">
        <v>14</v>
      </c>
      <c r="K296" s="3">
        <v>48.38</v>
      </c>
      <c r="L296" s="3">
        <v>2160</v>
      </c>
      <c r="M296" s="3">
        <v>936</v>
      </c>
      <c r="N296" s="3">
        <v>6.68</v>
      </c>
      <c r="O296" s="25">
        <v>4.4</v>
      </c>
      <c r="P296" s="32">
        <v>124</v>
      </c>
      <c r="Q296" s="3">
        <v>93.6</v>
      </c>
      <c r="R296" s="3">
        <v>18</v>
      </c>
      <c r="S296" s="3">
        <v>0</v>
      </c>
      <c r="U296" s="3">
        <v>17.35</v>
      </c>
      <c r="V296" s="3">
        <v>10</v>
      </c>
    </row>
    <row r="297" spans="1:22" ht="21.75">
      <c r="A297" s="3">
        <v>166</v>
      </c>
      <c r="B297" s="4" t="s">
        <v>381</v>
      </c>
      <c r="C297" s="4" t="s">
        <v>382</v>
      </c>
      <c r="D297" s="3">
        <v>217</v>
      </c>
      <c r="E297" s="3">
        <v>53</v>
      </c>
      <c r="F297" s="3">
        <v>299</v>
      </c>
      <c r="G297" s="4" t="s">
        <v>296</v>
      </c>
      <c r="H297" s="3" t="b">
        <v>1</v>
      </c>
      <c r="I297" s="3">
        <v>10</v>
      </c>
      <c r="J297" s="3">
        <v>15</v>
      </c>
      <c r="K297" s="3">
        <v>67.52</v>
      </c>
      <c r="L297" s="3">
        <v>2350</v>
      </c>
      <c r="M297" s="3">
        <v>3350</v>
      </c>
      <c r="N297" s="3">
        <v>5.89</v>
      </c>
      <c r="O297" s="25">
        <v>7.04</v>
      </c>
      <c r="P297" s="32">
        <v>133</v>
      </c>
      <c r="Q297" s="3">
        <v>224</v>
      </c>
      <c r="R297" s="3">
        <v>24</v>
      </c>
      <c r="S297" s="3">
        <v>0</v>
      </c>
      <c r="U297" s="3">
        <v>17.66</v>
      </c>
      <c r="V297" s="3">
        <v>14.95</v>
      </c>
    </row>
    <row r="298" spans="1:22" ht="21.75">
      <c r="A298" s="3">
        <v>167</v>
      </c>
      <c r="B298" s="4" t="s">
        <v>381</v>
      </c>
      <c r="C298" s="4" t="s">
        <v>382</v>
      </c>
      <c r="D298" s="3">
        <v>220</v>
      </c>
      <c r="E298" s="3">
        <v>61.8</v>
      </c>
      <c r="F298" s="3">
        <v>300</v>
      </c>
      <c r="G298" s="4" t="s">
        <v>297</v>
      </c>
      <c r="H298" s="3" t="b">
        <v>1</v>
      </c>
      <c r="I298" s="3">
        <v>11</v>
      </c>
      <c r="J298" s="3">
        <v>18</v>
      </c>
      <c r="K298" s="3">
        <v>78.69</v>
      </c>
      <c r="L298" s="3">
        <v>2680</v>
      </c>
      <c r="M298" s="3">
        <v>4060</v>
      </c>
      <c r="N298" s="3">
        <v>5.84</v>
      </c>
      <c r="O298" s="25">
        <v>7.68</v>
      </c>
      <c r="P298" s="32">
        <v>149</v>
      </c>
      <c r="Q298" s="3">
        <v>270</v>
      </c>
      <c r="R298" s="3">
        <v>24</v>
      </c>
      <c r="S298" s="3">
        <v>0</v>
      </c>
      <c r="U298" s="3">
        <v>17.95</v>
      </c>
      <c r="V298" s="3">
        <v>15</v>
      </c>
    </row>
    <row r="299" spans="1:22" ht="21.75">
      <c r="A299" s="3">
        <v>168</v>
      </c>
      <c r="B299" s="4" t="s">
        <v>381</v>
      </c>
      <c r="C299" s="4" t="s">
        <v>382</v>
      </c>
      <c r="D299" s="3">
        <v>248</v>
      </c>
      <c r="E299" s="3">
        <v>39.6</v>
      </c>
      <c r="F299" s="3">
        <v>199</v>
      </c>
      <c r="G299" s="4" t="s">
        <v>302</v>
      </c>
      <c r="H299" s="3" t="b">
        <v>1</v>
      </c>
      <c r="I299" s="3">
        <v>9</v>
      </c>
      <c r="J299" s="3">
        <v>14</v>
      </c>
      <c r="K299" s="3">
        <v>50.64</v>
      </c>
      <c r="L299" s="3">
        <v>2840</v>
      </c>
      <c r="M299" s="3">
        <v>922</v>
      </c>
      <c r="N299" s="3">
        <v>7.49</v>
      </c>
      <c r="O299" s="25">
        <v>4.27</v>
      </c>
      <c r="P299" s="32">
        <v>150</v>
      </c>
      <c r="Q299" s="3">
        <v>92.6</v>
      </c>
      <c r="R299" s="3">
        <v>20</v>
      </c>
      <c r="S299" s="3">
        <v>0</v>
      </c>
      <c r="U299" s="3">
        <v>18.9</v>
      </c>
      <c r="V299" s="3">
        <v>9.95</v>
      </c>
    </row>
    <row r="300" spans="1:22" ht="21.75">
      <c r="A300" s="3">
        <v>169</v>
      </c>
      <c r="B300" s="4" t="s">
        <v>381</v>
      </c>
      <c r="C300" s="4" t="s">
        <v>382</v>
      </c>
      <c r="D300" s="3">
        <v>250</v>
      </c>
      <c r="E300" s="3">
        <v>44.7</v>
      </c>
      <c r="F300" s="3">
        <v>200</v>
      </c>
      <c r="G300" s="4" t="s">
        <v>303</v>
      </c>
      <c r="H300" s="3" t="b">
        <v>1</v>
      </c>
      <c r="I300" s="3">
        <v>10</v>
      </c>
      <c r="J300" s="3">
        <v>16</v>
      </c>
      <c r="K300" s="3">
        <v>57.12</v>
      </c>
      <c r="L300" s="3">
        <v>3210</v>
      </c>
      <c r="M300" s="3">
        <v>1070</v>
      </c>
      <c r="N300" s="3">
        <v>7.5</v>
      </c>
      <c r="O300" s="25">
        <v>4.33</v>
      </c>
      <c r="P300" s="32">
        <v>169</v>
      </c>
      <c r="Q300" s="3">
        <v>107</v>
      </c>
      <c r="R300" s="3">
        <v>20</v>
      </c>
      <c r="S300" s="3">
        <v>0</v>
      </c>
      <c r="U300" s="3">
        <v>19.04</v>
      </c>
      <c r="V300" s="3">
        <v>10</v>
      </c>
    </row>
    <row r="301" spans="1:22" ht="21.75">
      <c r="A301" s="3">
        <v>170</v>
      </c>
      <c r="B301" s="4" t="s">
        <v>381</v>
      </c>
      <c r="C301" s="4" t="s">
        <v>382</v>
      </c>
      <c r="D301" s="3">
        <v>253</v>
      </c>
      <c r="E301" s="3">
        <v>51.4</v>
      </c>
      <c r="F301" s="3">
        <v>201</v>
      </c>
      <c r="G301" s="4" t="s">
        <v>304</v>
      </c>
      <c r="H301" s="3" t="b">
        <v>1</v>
      </c>
      <c r="I301" s="3">
        <v>11</v>
      </c>
      <c r="J301" s="3">
        <v>19</v>
      </c>
      <c r="K301" s="3">
        <v>65.65</v>
      </c>
      <c r="L301" s="3">
        <v>3670</v>
      </c>
      <c r="M301" s="3">
        <v>1290</v>
      </c>
      <c r="N301" s="3">
        <v>7.48</v>
      </c>
      <c r="O301" s="25">
        <v>4.43</v>
      </c>
      <c r="P301" s="32">
        <v>190</v>
      </c>
      <c r="Q301" s="3">
        <v>128</v>
      </c>
      <c r="R301" s="3">
        <v>20</v>
      </c>
      <c r="S301" s="3">
        <v>0</v>
      </c>
      <c r="U301" s="3">
        <v>19.35</v>
      </c>
      <c r="V301" s="3">
        <v>10.05</v>
      </c>
    </row>
    <row r="302" spans="1:22" ht="21.75">
      <c r="A302" s="3">
        <v>171</v>
      </c>
      <c r="B302" s="4" t="s">
        <v>381</v>
      </c>
      <c r="C302" s="4" t="s">
        <v>382</v>
      </c>
      <c r="D302" s="3">
        <v>241</v>
      </c>
      <c r="E302" s="3">
        <v>57</v>
      </c>
      <c r="F302" s="3">
        <v>300</v>
      </c>
      <c r="G302" s="4" t="s">
        <v>300</v>
      </c>
      <c r="H302" s="3" t="b">
        <v>1</v>
      </c>
      <c r="I302" s="3">
        <v>11</v>
      </c>
      <c r="J302" s="3">
        <v>15</v>
      </c>
      <c r="K302" s="3">
        <v>72.76</v>
      </c>
      <c r="L302" s="3">
        <v>3420</v>
      </c>
      <c r="M302" s="3">
        <v>3380</v>
      </c>
      <c r="N302" s="3">
        <v>6.85</v>
      </c>
      <c r="O302" s="25">
        <v>6.82</v>
      </c>
      <c r="P302" s="32">
        <v>178</v>
      </c>
      <c r="Q302" s="3">
        <v>225</v>
      </c>
      <c r="R302" s="3">
        <v>26</v>
      </c>
      <c r="S302" s="3">
        <v>0</v>
      </c>
      <c r="U302" s="3">
        <v>19.18</v>
      </c>
      <c r="V302" s="3">
        <v>15</v>
      </c>
    </row>
    <row r="303" spans="1:22" ht="21.75">
      <c r="A303" s="3">
        <v>172</v>
      </c>
      <c r="B303" s="4" t="s">
        <v>381</v>
      </c>
      <c r="C303" s="4" t="s">
        <v>382</v>
      </c>
      <c r="D303" s="3">
        <v>244</v>
      </c>
      <c r="E303" s="3">
        <v>64.1</v>
      </c>
      <c r="F303" s="3">
        <v>300</v>
      </c>
      <c r="G303" s="4" t="s">
        <v>301</v>
      </c>
      <c r="H303" s="3" t="b">
        <v>1</v>
      </c>
      <c r="I303" s="3">
        <v>11</v>
      </c>
      <c r="J303" s="3">
        <v>18</v>
      </c>
      <c r="K303" s="3">
        <v>81.76</v>
      </c>
      <c r="L303" s="3">
        <v>3620</v>
      </c>
      <c r="M303" s="3">
        <v>4060</v>
      </c>
      <c r="N303" s="3">
        <v>6.66</v>
      </c>
      <c r="O303" s="25">
        <v>7.07</v>
      </c>
      <c r="P303" s="32">
        <v>184</v>
      </c>
      <c r="Q303" s="3">
        <v>70</v>
      </c>
      <c r="R303" s="3">
        <v>26</v>
      </c>
      <c r="S303" s="3">
        <v>0</v>
      </c>
      <c r="U303" s="3">
        <v>19.74</v>
      </c>
      <c r="V303" s="3">
        <v>15</v>
      </c>
    </row>
    <row r="304" spans="1:22" ht="21.75">
      <c r="A304" s="3">
        <v>173</v>
      </c>
      <c r="B304" s="4" t="s">
        <v>381</v>
      </c>
      <c r="C304" s="4" t="s">
        <v>382</v>
      </c>
      <c r="D304" s="3">
        <v>298</v>
      </c>
      <c r="E304" s="3">
        <v>47.2</v>
      </c>
      <c r="F304" s="3">
        <v>199</v>
      </c>
      <c r="G304" s="4" t="s">
        <v>308</v>
      </c>
      <c r="H304" s="3" t="b">
        <v>1</v>
      </c>
      <c r="I304" s="3">
        <v>10</v>
      </c>
      <c r="J304" s="3">
        <v>15</v>
      </c>
      <c r="K304" s="3">
        <v>60.23</v>
      </c>
      <c r="L304" s="3">
        <v>5190</v>
      </c>
      <c r="M304" s="3">
        <v>989</v>
      </c>
      <c r="N304" s="3">
        <v>9.29</v>
      </c>
      <c r="O304" s="25">
        <v>4.05</v>
      </c>
      <c r="P304" s="32">
        <v>236</v>
      </c>
      <c r="Q304" s="3">
        <v>99.4</v>
      </c>
      <c r="R304" s="3">
        <v>22</v>
      </c>
      <c r="S304" s="3">
        <v>0</v>
      </c>
      <c r="U304" s="3">
        <v>22.01</v>
      </c>
      <c r="V304" s="3">
        <v>9.95</v>
      </c>
    </row>
    <row r="305" spans="1:22" ht="21.75">
      <c r="A305" s="3">
        <v>174</v>
      </c>
      <c r="B305" s="4" t="s">
        <v>381</v>
      </c>
      <c r="C305" s="4" t="s">
        <v>382</v>
      </c>
      <c r="D305" s="3">
        <v>300</v>
      </c>
      <c r="E305" s="3">
        <v>52.7</v>
      </c>
      <c r="F305" s="3">
        <v>200</v>
      </c>
      <c r="G305" s="4" t="s">
        <v>309</v>
      </c>
      <c r="H305" s="3" t="b">
        <v>1</v>
      </c>
      <c r="I305" s="3">
        <v>11</v>
      </c>
      <c r="J305" s="3">
        <v>17</v>
      </c>
      <c r="K305" s="3">
        <v>67.21</v>
      </c>
      <c r="L305" s="3">
        <v>5810</v>
      </c>
      <c r="M305" s="3">
        <v>1140</v>
      </c>
      <c r="N305" s="3">
        <v>9.3</v>
      </c>
      <c r="O305" s="25">
        <v>4.12</v>
      </c>
      <c r="P305" s="32">
        <v>262</v>
      </c>
      <c r="Q305" s="3">
        <v>114</v>
      </c>
      <c r="R305" s="3">
        <v>22</v>
      </c>
      <c r="S305" s="3">
        <v>0</v>
      </c>
      <c r="U305" s="3">
        <v>22.16</v>
      </c>
      <c r="V305" s="3">
        <v>10</v>
      </c>
    </row>
    <row r="306" spans="1:22" ht="21.75">
      <c r="A306" s="3">
        <v>175</v>
      </c>
      <c r="B306" s="4" t="s">
        <v>381</v>
      </c>
      <c r="C306" s="4" t="s">
        <v>382</v>
      </c>
      <c r="D306" s="3">
        <v>303</v>
      </c>
      <c r="E306" s="3">
        <v>59.7</v>
      </c>
      <c r="F306" s="3">
        <v>201</v>
      </c>
      <c r="G306" s="4" t="s">
        <v>310</v>
      </c>
      <c r="H306" s="3" t="b">
        <v>1</v>
      </c>
      <c r="I306" s="3">
        <v>12</v>
      </c>
      <c r="J306" s="3">
        <v>20</v>
      </c>
      <c r="K306" s="3">
        <v>76.24</v>
      </c>
      <c r="L306" s="3">
        <v>6570</v>
      </c>
      <c r="M306" s="3">
        <v>1360</v>
      </c>
      <c r="N306" s="3">
        <v>9.28</v>
      </c>
      <c r="O306" s="25">
        <v>4.22</v>
      </c>
      <c r="P306" s="32">
        <v>292</v>
      </c>
      <c r="Q306" s="3">
        <v>135</v>
      </c>
      <c r="R306" s="3">
        <v>22</v>
      </c>
      <c r="S306" s="3">
        <v>0</v>
      </c>
      <c r="U306" s="3">
        <v>22.51</v>
      </c>
      <c r="V306" s="3">
        <v>10.05</v>
      </c>
    </row>
    <row r="307" spans="1:22" ht="21.75">
      <c r="A307" s="3">
        <v>176</v>
      </c>
      <c r="B307" s="4" t="s">
        <v>381</v>
      </c>
      <c r="C307" s="4" t="s">
        <v>382</v>
      </c>
      <c r="D307" s="3">
        <v>306</v>
      </c>
      <c r="E307" s="3">
        <v>66.9</v>
      </c>
      <c r="F307" s="3">
        <v>202</v>
      </c>
      <c r="G307" s="4" t="s">
        <v>311</v>
      </c>
      <c r="H307" s="3" t="b">
        <v>1</v>
      </c>
      <c r="I307" s="3">
        <v>13</v>
      </c>
      <c r="J307" s="3">
        <v>23</v>
      </c>
      <c r="K307" s="3">
        <v>85.33</v>
      </c>
      <c r="L307" s="3">
        <v>7340</v>
      </c>
      <c r="M307" s="3">
        <v>1590</v>
      </c>
      <c r="N307" s="3">
        <v>9.27</v>
      </c>
      <c r="O307" s="25">
        <v>4.31</v>
      </c>
      <c r="P307" s="32">
        <v>322</v>
      </c>
      <c r="Q307" s="3">
        <v>157</v>
      </c>
      <c r="R307" s="3">
        <v>22</v>
      </c>
      <c r="S307" s="3">
        <v>0</v>
      </c>
      <c r="U307" s="3">
        <v>22.81</v>
      </c>
      <c r="V307" s="3">
        <v>10.1</v>
      </c>
    </row>
    <row r="308" spans="1:22" ht="21.75">
      <c r="A308" s="3">
        <v>177</v>
      </c>
      <c r="B308" s="4" t="s">
        <v>381</v>
      </c>
      <c r="C308" s="4" t="s">
        <v>382</v>
      </c>
      <c r="D308" s="3">
        <v>291</v>
      </c>
      <c r="E308" s="3">
        <v>68.4</v>
      </c>
      <c r="F308" s="3">
        <v>300</v>
      </c>
      <c r="G308" s="4" t="s">
        <v>305</v>
      </c>
      <c r="H308" s="3" t="b">
        <v>1</v>
      </c>
      <c r="I308" s="3">
        <v>12</v>
      </c>
      <c r="J308" s="3">
        <v>17</v>
      </c>
      <c r="K308" s="3">
        <v>87.24</v>
      </c>
      <c r="L308" s="3">
        <v>6360</v>
      </c>
      <c r="M308" s="3">
        <v>3830</v>
      </c>
      <c r="N308" s="3">
        <v>8.54</v>
      </c>
      <c r="O308" s="25">
        <v>6.63</v>
      </c>
      <c r="P308" s="32">
        <v>280</v>
      </c>
      <c r="Q308" s="3">
        <v>256</v>
      </c>
      <c r="R308" s="3">
        <v>28</v>
      </c>
      <c r="S308" s="3">
        <v>0</v>
      </c>
      <c r="U308" s="3">
        <v>22.71</v>
      </c>
      <c r="V308" s="3">
        <v>15</v>
      </c>
    </row>
    <row r="309" spans="1:22" ht="21.75">
      <c r="A309" s="3">
        <v>178</v>
      </c>
      <c r="B309" s="4" t="s">
        <v>381</v>
      </c>
      <c r="C309" s="4" t="s">
        <v>382</v>
      </c>
      <c r="D309" s="3">
        <v>294</v>
      </c>
      <c r="E309" s="3">
        <v>75.5</v>
      </c>
      <c r="F309" s="3">
        <v>300</v>
      </c>
      <c r="G309" s="4" t="s">
        <v>306</v>
      </c>
      <c r="H309" s="3" t="b">
        <v>1</v>
      </c>
      <c r="I309" s="3">
        <v>12</v>
      </c>
      <c r="J309" s="3">
        <v>20</v>
      </c>
      <c r="K309" s="3">
        <v>96.24</v>
      </c>
      <c r="L309" s="3">
        <v>6710</v>
      </c>
      <c r="M309" s="3">
        <v>4510</v>
      </c>
      <c r="N309" s="3">
        <v>8.35</v>
      </c>
      <c r="O309" s="25">
        <v>6.85</v>
      </c>
      <c r="P309" s="32">
        <v>288</v>
      </c>
      <c r="Q309" s="3">
        <v>301</v>
      </c>
      <c r="R309" s="3">
        <v>28</v>
      </c>
      <c r="S309" s="3">
        <v>0</v>
      </c>
      <c r="U309" s="3">
        <v>23.32</v>
      </c>
      <c r="V309" s="3">
        <v>15</v>
      </c>
    </row>
    <row r="310" spans="1:22" ht="21.75">
      <c r="A310" s="3">
        <v>179</v>
      </c>
      <c r="B310" s="4" t="s">
        <v>381</v>
      </c>
      <c r="C310" s="4" t="s">
        <v>382</v>
      </c>
      <c r="D310" s="3">
        <v>297</v>
      </c>
      <c r="E310" s="3">
        <v>87.2</v>
      </c>
      <c r="F310" s="3">
        <v>302</v>
      </c>
      <c r="G310" s="4" t="s">
        <v>307</v>
      </c>
      <c r="H310" s="3" t="b">
        <v>1</v>
      </c>
      <c r="I310" s="3">
        <v>14</v>
      </c>
      <c r="J310" s="3">
        <v>23</v>
      </c>
      <c r="K310" s="3">
        <v>111.2</v>
      </c>
      <c r="L310" s="3">
        <v>7920</v>
      </c>
      <c r="M310" s="3">
        <v>5290</v>
      </c>
      <c r="N310" s="3">
        <v>8.44</v>
      </c>
      <c r="O310" s="25">
        <v>6.9</v>
      </c>
      <c r="P310" s="32">
        <v>339</v>
      </c>
      <c r="Q310" s="3">
        <v>350</v>
      </c>
      <c r="R310" s="3">
        <v>28</v>
      </c>
      <c r="S310" s="3">
        <v>0</v>
      </c>
      <c r="U310" s="3">
        <v>23.37</v>
      </c>
      <c r="V310" s="3">
        <v>15.1</v>
      </c>
    </row>
    <row r="311" spans="1:22" ht="21.75">
      <c r="A311" s="3">
        <v>180</v>
      </c>
      <c r="B311" s="4" t="s">
        <v>381</v>
      </c>
      <c r="C311" s="4" t="s">
        <v>382</v>
      </c>
      <c r="D311" s="3">
        <v>346</v>
      </c>
      <c r="E311" s="3">
        <v>82.9</v>
      </c>
      <c r="F311" s="3">
        <v>300</v>
      </c>
      <c r="G311" s="4" t="s">
        <v>312</v>
      </c>
      <c r="H311" s="3" t="b">
        <v>1</v>
      </c>
      <c r="I311" s="3">
        <v>13</v>
      </c>
      <c r="J311" s="3">
        <v>20</v>
      </c>
      <c r="K311" s="3">
        <v>105.7</v>
      </c>
      <c r="L311" s="3">
        <v>11300</v>
      </c>
      <c r="M311" s="3">
        <v>4510</v>
      </c>
      <c r="N311" s="3">
        <v>10.3</v>
      </c>
      <c r="O311" s="25">
        <v>6.53</v>
      </c>
      <c r="P311" s="32">
        <v>425</v>
      </c>
      <c r="Q311" s="3">
        <v>301</v>
      </c>
      <c r="R311" s="3">
        <v>28</v>
      </c>
      <c r="S311" s="3">
        <v>0</v>
      </c>
      <c r="U311" s="3">
        <v>26.61</v>
      </c>
      <c r="V311" s="3">
        <v>15</v>
      </c>
    </row>
    <row r="312" spans="1:22" ht="21.75">
      <c r="A312" s="3">
        <v>181</v>
      </c>
      <c r="B312" s="4" t="s">
        <v>381</v>
      </c>
      <c r="C312" s="4" t="s">
        <v>382</v>
      </c>
      <c r="D312" s="3">
        <v>350</v>
      </c>
      <c r="E312" s="3">
        <v>92.3</v>
      </c>
      <c r="F312" s="3">
        <v>300</v>
      </c>
      <c r="G312" s="4" t="s">
        <v>313</v>
      </c>
      <c r="H312" s="3" t="b">
        <v>1</v>
      </c>
      <c r="I312" s="3">
        <v>13</v>
      </c>
      <c r="J312" s="3">
        <v>24</v>
      </c>
      <c r="K312" s="3">
        <v>117.7</v>
      </c>
      <c r="L312" s="3">
        <v>12000</v>
      </c>
      <c r="M312" s="3">
        <v>5410</v>
      </c>
      <c r="N312" s="3">
        <v>10.1</v>
      </c>
      <c r="O312" s="25">
        <v>6.78</v>
      </c>
      <c r="P312" s="32">
        <v>438</v>
      </c>
      <c r="Q312" s="3">
        <v>361</v>
      </c>
      <c r="R312" s="3">
        <v>28</v>
      </c>
      <c r="S312" s="3">
        <v>0</v>
      </c>
      <c r="U312" s="3">
        <v>27.45</v>
      </c>
      <c r="V312" s="3">
        <v>15</v>
      </c>
    </row>
    <row r="313" spans="1:22" ht="21.75">
      <c r="A313" s="3">
        <v>182</v>
      </c>
      <c r="B313" s="4" t="s">
        <v>381</v>
      </c>
      <c r="C313" s="4" t="s">
        <v>382</v>
      </c>
      <c r="D313" s="3">
        <v>396</v>
      </c>
      <c r="E313" s="3">
        <v>95.5</v>
      </c>
      <c r="F313" s="3">
        <v>300</v>
      </c>
      <c r="G313" s="4" t="s">
        <v>314</v>
      </c>
      <c r="H313" s="3" t="b">
        <v>1</v>
      </c>
      <c r="I313" s="3">
        <v>14</v>
      </c>
      <c r="J313" s="3">
        <v>22</v>
      </c>
      <c r="K313" s="3">
        <v>121.7</v>
      </c>
      <c r="L313" s="3">
        <v>17100</v>
      </c>
      <c r="M313" s="3">
        <v>4960</v>
      </c>
      <c r="N313" s="3">
        <v>12.1</v>
      </c>
      <c r="O313" s="25">
        <v>6.38</v>
      </c>
      <c r="P313" s="32">
        <v>593</v>
      </c>
      <c r="Q313" s="3">
        <v>331</v>
      </c>
      <c r="R313" s="3">
        <v>28</v>
      </c>
      <c r="S313" s="3">
        <v>0</v>
      </c>
      <c r="U313" s="3">
        <v>29.94</v>
      </c>
      <c r="V313" s="3">
        <v>15</v>
      </c>
    </row>
    <row r="314" spans="1:22" ht="21.75">
      <c r="A314" s="3">
        <v>183</v>
      </c>
      <c r="B314" s="4" t="s">
        <v>381</v>
      </c>
      <c r="C314" s="4" t="s">
        <v>382</v>
      </c>
      <c r="D314" s="3">
        <v>400</v>
      </c>
      <c r="E314" s="3">
        <v>104.9</v>
      </c>
      <c r="F314" s="3">
        <v>300</v>
      </c>
      <c r="G314" s="4" t="s">
        <v>315</v>
      </c>
      <c r="H314" s="3" t="b">
        <v>1</v>
      </c>
      <c r="I314" s="3">
        <v>14</v>
      </c>
      <c r="J314" s="3">
        <v>26</v>
      </c>
      <c r="K314" s="3">
        <v>133.7</v>
      </c>
      <c r="L314" s="3">
        <v>18800</v>
      </c>
      <c r="M314" s="3">
        <v>5860</v>
      </c>
      <c r="N314" s="3">
        <v>11.9</v>
      </c>
      <c r="O314" s="25">
        <v>6.62</v>
      </c>
      <c r="P314" s="32">
        <v>610</v>
      </c>
      <c r="Q314" s="3">
        <v>391</v>
      </c>
      <c r="R314" s="3">
        <v>28</v>
      </c>
      <c r="S314" s="3">
        <v>0</v>
      </c>
      <c r="U314" s="3">
        <v>30.82</v>
      </c>
      <c r="V314" s="3">
        <v>15</v>
      </c>
    </row>
    <row r="315" spans="1:22" s="274" customFormat="1" ht="21.75">
      <c r="A315" s="270">
        <v>184</v>
      </c>
      <c r="B315" s="271" t="s">
        <v>383</v>
      </c>
      <c r="C315" s="271" t="s">
        <v>384</v>
      </c>
      <c r="D315" s="270">
        <v>25</v>
      </c>
      <c r="E315" s="270">
        <v>1.1</v>
      </c>
      <c r="F315" s="270">
        <v>25</v>
      </c>
      <c r="G315" s="271" t="s">
        <v>87</v>
      </c>
      <c r="H315" s="270" t="b">
        <v>1</v>
      </c>
      <c r="I315" s="270">
        <v>3</v>
      </c>
      <c r="J315" s="270">
        <v>3</v>
      </c>
      <c r="K315" s="270">
        <v>1.427</v>
      </c>
      <c r="L315" s="270">
        <v>0.8</v>
      </c>
      <c r="M315" s="270">
        <v>0.8</v>
      </c>
      <c r="N315" s="270">
        <v>0.747</v>
      </c>
      <c r="O315" s="272">
        <v>0.747</v>
      </c>
      <c r="P315" s="273">
        <v>0.45</v>
      </c>
      <c r="Q315" s="270">
        <v>0.448</v>
      </c>
      <c r="R315" s="270">
        <v>4</v>
      </c>
      <c r="S315" s="270">
        <v>2</v>
      </c>
      <c r="T315" s="274">
        <v>0.483</v>
      </c>
      <c r="U315" s="270">
        <v>0.719</v>
      </c>
      <c r="V315" s="270">
        <v>0.719</v>
      </c>
    </row>
    <row r="316" spans="1:22" s="274" customFormat="1" ht="21.75">
      <c r="A316" s="270">
        <v>186</v>
      </c>
      <c r="B316" s="271" t="s">
        <v>383</v>
      </c>
      <c r="C316" s="271" t="s">
        <v>384</v>
      </c>
      <c r="D316" s="270">
        <v>30</v>
      </c>
      <c r="E316" s="270">
        <v>1.4</v>
      </c>
      <c r="F316" s="270">
        <v>30</v>
      </c>
      <c r="G316" s="271" t="s">
        <v>88</v>
      </c>
      <c r="H316" s="270" t="b">
        <v>1</v>
      </c>
      <c r="I316" s="270">
        <v>3</v>
      </c>
      <c r="J316" s="270">
        <v>3</v>
      </c>
      <c r="K316" s="270">
        <v>1.727</v>
      </c>
      <c r="L316" s="270">
        <v>1.4</v>
      </c>
      <c r="M316" s="270">
        <v>1.42</v>
      </c>
      <c r="N316" s="270">
        <v>0.908</v>
      </c>
      <c r="O316" s="272">
        <v>0.908</v>
      </c>
      <c r="P316" s="273">
        <v>0.66</v>
      </c>
      <c r="Q316" s="270">
        <v>0.661</v>
      </c>
      <c r="R316" s="270">
        <v>4</v>
      </c>
      <c r="S316" s="270">
        <v>2</v>
      </c>
      <c r="T316" s="274">
        <v>0.585</v>
      </c>
      <c r="U316" s="270">
        <v>0.844</v>
      </c>
      <c r="V316" s="270">
        <v>0.844</v>
      </c>
    </row>
    <row r="317" spans="1:22" s="274" customFormat="1" ht="21.75">
      <c r="A317" s="270">
        <v>188</v>
      </c>
      <c r="B317" s="271" t="s">
        <v>383</v>
      </c>
      <c r="C317" s="271" t="s">
        <v>384</v>
      </c>
      <c r="D317" s="270">
        <v>40</v>
      </c>
      <c r="E317" s="270">
        <v>1.8</v>
      </c>
      <c r="F317" s="270">
        <v>40</v>
      </c>
      <c r="G317" s="271" t="s">
        <v>89</v>
      </c>
      <c r="H317" s="270" t="b">
        <v>1</v>
      </c>
      <c r="I317" s="270">
        <v>3</v>
      </c>
      <c r="J317" s="270">
        <v>3</v>
      </c>
      <c r="K317" s="270">
        <v>2.336</v>
      </c>
      <c r="L317" s="270">
        <v>3.5</v>
      </c>
      <c r="M317" s="270">
        <v>3.53</v>
      </c>
      <c r="N317" s="270">
        <v>1.23</v>
      </c>
      <c r="O317" s="272">
        <v>1.23</v>
      </c>
      <c r="P317" s="273">
        <v>1.21</v>
      </c>
      <c r="Q317" s="270">
        <v>1.21</v>
      </c>
      <c r="R317" s="270">
        <v>4.5</v>
      </c>
      <c r="S317" s="270">
        <v>2</v>
      </c>
      <c r="T317" s="274">
        <v>0.79</v>
      </c>
      <c r="U317" s="270">
        <v>1.09</v>
      </c>
      <c r="V317" s="270">
        <v>1.09</v>
      </c>
    </row>
    <row r="318" spans="1:22" s="274" customFormat="1" ht="21.75">
      <c r="A318" s="270">
        <v>190</v>
      </c>
      <c r="B318" s="271" t="s">
        <v>383</v>
      </c>
      <c r="C318" s="271" t="s">
        <v>384</v>
      </c>
      <c r="D318" s="270">
        <v>40</v>
      </c>
      <c r="E318" s="270">
        <v>2.9</v>
      </c>
      <c r="F318" s="270">
        <v>40</v>
      </c>
      <c r="G318" s="271" t="s">
        <v>90</v>
      </c>
      <c r="H318" s="270" t="b">
        <v>1</v>
      </c>
      <c r="I318" s="270">
        <v>5</v>
      </c>
      <c r="J318" s="270">
        <v>5</v>
      </c>
      <c r="K318" s="270">
        <v>3.755</v>
      </c>
      <c r="L318" s="270">
        <v>5.4</v>
      </c>
      <c r="M318" s="270">
        <v>5.42</v>
      </c>
      <c r="N318" s="270">
        <v>1.2</v>
      </c>
      <c r="O318" s="272">
        <v>1.2</v>
      </c>
      <c r="P318" s="273">
        <v>1.91</v>
      </c>
      <c r="Q318" s="270">
        <v>1.91</v>
      </c>
      <c r="R318" s="270">
        <v>4.5</v>
      </c>
      <c r="S318" s="270">
        <v>3</v>
      </c>
      <c r="T318" s="274">
        <v>0.774</v>
      </c>
      <c r="U318" s="270">
        <v>1.17</v>
      </c>
      <c r="V318" s="270">
        <v>1.17</v>
      </c>
    </row>
    <row r="319" spans="1:22" s="274" customFormat="1" ht="21.75">
      <c r="A319" s="270">
        <v>192</v>
      </c>
      <c r="B319" s="271" t="s">
        <v>383</v>
      </c>
      <c r="C319" s="271" t="s">
        <v>384</v>
      </c>
      <c r="D319" s="270">
        <v>45</v>
      </c>
      <c r="E319" s="270">
        <v>2.7</v>
      </c>
      <c r="F319" s="270">
        <v>45</v>
      </c>
      <c r="G319" s="271" t="s">
        <v>91</v>
      </c>
      <c r="H319" s="270" t="b">
        <v>1</v>
      </c>
      <c r="I319" s="270">
        <v>4</v>
      </c>
      <c r="J319" s="270">
        <v>4</v>
      </c>
      <c r="K319" s="270">
        <v>3.492</v>
      </c>
      <c r="L319" s="270">
        <v>6.5</v>
      </c>
      <c r="M319" s="270">
        <v>6.5</v>
      </c>
      <c r="N319" s="270">
        <v>1.36</v>
      </c>
      <c r="O319" s="272">
        <v>1.36</v>
      </c>
      <c r="P319" s="273">
        <v>2</v>
      </c>
      <c r="Q319" s="270">
        <v>2</v>
      </c>
      <c r="R319" s="270">
        <v>6.5</v>
      </c>
      <c r="S319" s="270">
        <v>3</v>
      </c>
      <c r="T319" s="274">
        <v>0.88</v>
      </c>
      <c r="U319" s="270">
        <v>1.24</v>
      </c>
      <c r="V319" s="270">
        <v>1.24</v>
      </c>
    </row>
    <row r="320" spans="1:22" s="274" customFormat="1" ht="21.75">
      <c r="A320" s="270">
        <v>193</v>
      </c>
      <c r="B320" s="271" t="s">
        <v>383</v>
      </c>
      <c r="C320" s="271" t="s">
        <v>384</v>
      </c>
      <c r="D320" s="270">
        <v>45</v>
      </c>
      <c r="E320" s="270">
        <v>3.4</v>
      </c>
      <c r="F320" s="270">
        <v>45</v>
      </c>
      <c r="G320" s="271" t="s">
        <v>92</v>
      </c>
      <c r="H320" s="270" t="b">
        <v>1</v>
      </c>
      <c r="I320" s="270">
        <v>5</v>
      </c>
      <c r="J320" s="270">
        <v>5</v>
      </c>
      <c r="K320" s="270">
        <v>4.302</v>
      </c>
      <c r="L320" s="270">
        <v>7.9</v>
      </c>
      <c r="M320" s="270">
        <v>7.91</v>
      </c>
      <c r="N320" s="270">
        <v>1.36</v>
      </c>
      <c r="O320" s="272">
        <v>1.36</v>
      </c>
      <c r="P320" s="273">
        <v>2.46</v>
      </c>
      <c r="Q320" s="270">
        <v>2.46</v>
      </c>
      <c r="R320" s="270">
        <v>6.5</v>
      </c>
      <c r="S320" s="270">
        <v>3</v>
      </c>
      <c r="T320" s="274">
        <v>0.874</v>
      </c>
      <c r="U320" s="270">
        <v>1.28</v>
      </c>
      <c r="V320" s="270">
        <v>1.28</v>
      </c>
    </row>
    <row r="321" spans="1:22" s="274" customFormat="1" ht="21.75">
      <c r="A321" s="270">
        <v>195</v>
      </c>
      <c r="B321" s="271" t="s">
        <v>383</v>
      </c>
      <c r="C321" s="271" t="s">
        <v>384</v>
      </c>
      <c r="D321" s="270">
        <v>50</v>
      </c>
      <c r="E321" s="270">
        <v>3.1</v>
      </c>
      <c r="F321" s="270">
        <v>50</v>
      </c>
      <c r="G321" s="271" t="s">
        <v>93</v>
      </c>
      <c r="H321" s="270" t="b">
        <v>1</v>
      </c>
      <c r="I321" s="270">
        <v>4</v>
      </c>
      <c r="J321" s="270">
        <v>4</v>
      </c>
      <c r="K321" s="270">
        <v>3.892</v>
      </c>
      <c r="L321" s="270">
        <v>9.1</v>
      </c>
      <c r="M321" s="270">
        <v>9.06</v>
      </c>
      <c r="N321" s="270">
        <v>1.53</v>
      </c>
      <c r="O321" s="272">
        <v>1.53</v>
      </c>
      <c r="P321" s="273">
        <v>2.49</v>
      </c>
      <c r="Q321" s="270">
        <v>2.49</v>
      </c>
      <c r="R321" s="270">
        <v>6.5</v>
      </c>
      <c r="S321" s="270">
        <v>3</v>
      </c>
      <c r="T321" s="274">
        <v>0.983</v>
      </c>
      <c r="U321" s="270">
        <v>1.37</v>
      </c>
      <c r="V321" s="270">
        <v>1.37</v>
      </c>
    </row>
    <row r="322" spans="1:22" s="274" customFormat="1" ht="21.75">
      <c r="A322" s="270">
        <v>196</v>
      </c>
      <c r="B322" s="271" t="s">
        <v>383</v>
      </c>
      <c r="C322" s="271" t="s">
        <v>384</v>
      </c>
      <c r="D322" s="270">
        <v>50</v>
      </c>
      <c r="E322" s="270">
        <v>3.8</v>
      </c>
      <c r="F322" s="270">
        <v>50</v>
      </c>
      <c r="G322" s="271" t="s">
        <v>94</v>
      </c>
      <c r="H322" s="270" t="b">
        <v>1</v>
      </c>
      <c r="I322" s="270">
        <v>5</v>
      </c>
      <c r="J322" s="270">
        <v>5</v>
      </c>
      <c r="K322" s="270">
        <v>4.802</v>
      </c>
      <c r="L322" s="270">
        <v>11.1</v>
      </c>
      <c r="M322" s="270">
        <v>11.1</v>
      </c>
      <c r="N322" s="270">
        <v>1.52</v>
      </c>
      <c r="O322" s="272">
        <v>1.52</v>
      </c>
      <c r="P322" s="273">
        <v>3.08</v>
      </c>
      <c r="Q322" s="270">
        <v>3.08</v>
      </c>
      <c r="R322" s="270">
        <v>6.5</v>
      </c>
      <c r="S322" s="270">
        <v>3</v>
      </c>
      <c r="T322" s="274">
        <v>0.976</v>
      </c>
      <c r="U322" s="270">
        <v>1.41</v>
      </c>
      <c r="V322" s="270">
        <v>1.41</v>
      </c>
    </row>
    <row r="323" spans="1:22" s="274" customFormat="1" ht="21.75">
      <c r="A323" s="270">
        <v>197</v>
      </c>
      <c r="B323" s="271" t="s">
        <v>383</v>
      </c>
      <c r="C323" s="271" t="s">
        <v>384</v>
      </c>
      <c r="D323" s="270">
        <v>50</v>
      </c>
      <c r="E323" s="270">
        <v>4.4</v>
      </c>
      <c r="F323" s="270">
        <v>50</v>
      </c>
      <c r="G323" s="271" t="s">
        <v>95</v>
      </c>
      <c r="H323" s="270" t="b">
        <v>1</v>
      </c>
      <c r="I323" s="270">
        <v>6</v>
      </c>
      <c r="J323" s="270">
        <v>6</v>
      </c>
      <c r="K323" s="270">
        <v>5.644</v>
      </c>
      <c r="L323" s="270">
        <v>12.6</v>
      </c>
      <c r="M323" s="270">
        <v>12.6</v>
      </c>
      <c r="N323" s="270">
        <v>1.5</v>
      </c>
      <c r="O323" s="272">
        <v>1.5</v>
      </c>
      <c r="P323" s="273">
        <v>3.55</v>
      </c>
      <c r="Q323" s="270">
        <v>3.55</v>
      </c>
      <c r="R323" s="270">
        <v>6.5</v>
      </c>
      <c r="S323" s="270">
        <v>4.5</v>
      </c>
      <c r="T323" s="274">
        <v>0.963</v>
      </c>
      <c r="U323" s="270">
        <v>1.44</v>
      </c>
      <c r="V323" s="270">
        <v>1.44</v>
      </c>
    </row>
    <row r="324" spans="1:22" s="274" customFormat="1" ht="21.75">
      <c r="A324" s="270">
        <v>198</v>
      </c>
      <c r="B324" s="271" t="s">
        <v>383</v>
      </c>
      <c r="C324" s="271" t="s">
        <v>384</v>
      </c>
      <c r="D324" s="270">
        <v>60</v>
      </c>
      <c r="E324" s="270">
        <v>3.7</v>
      </c>
      <c r="F324" s="270">
        <v>60</v>
      </c>
      <c r="G324" s="271" t="s">
        <v>96</v>
      </c>
      <c r="H324" s="270" t="b">
        <v>1</v>
      </c>
      <c r="I324" s="270">
        <v>4</v>
      </c>
      <c r="J324" s="270">
        <v>4</v>
      </c>
      <c r="K324" s="270">
        <v>4.692</v>
      </c>
      <c r="L324" s="270">
        <v>16</v>
      </c>
      <c r="M324" s="270">
        <v>16</v>
      </c>
      <c r="N324" s="270">
        <v>1.85</v>
      </c>
      <c r="O324" s="272">
        <v>1.85</v>
      </c>
      <c r="P324" s="273">
        <v>3.66</v>
      </c>
      <c r="Q324" s="270">
        <v>3.66</v>
      </c>
      <c r="R324" s="270">
        <v>6.5</v>
      </c>
      <c r="S324" s="270">
        <v>3</v>
      </c>
      <c r="T324" s="274">
        <v>1.19</v>
      </c>
      <c r="U324" s="270">
        <v>1.61</v>
      </c>
      <c r="V324" s="270">
        <v>1.61</v>
      </c>
    </row>
    <row r="325" spans="1:22" s="274" customFormat="1" ht="21.75">
      <c r="A325" s="270">
        <v>199</v>
      </c>
      <c r="B325" s="271" t="s">
        <v>383</v>
      </c>
      <c r="C325" s="271" t="s">
        <v>384</v>
      </c>
      <c r="D325" s="270">
        <v>60</v>
      </c>
      <c r="E325" s="270">
        <v>4.5</v>
      </c>
      <c r="F325" s="270">
        <v>60</v>
      </c>
      <c r="G325" s="271" t="s">
        <v>97</v>
      </c>
      <c r="H325" s="270" t="b">
        <v>1</v>
      </c>
      <c r="I325" s="270">
        <v>5</v>
      </c>
      <c r="J325" s="270">
        <v>5</v>
      </c>
      <c r="K325" s="270">
        <v>5.802</v>
      </c>
      <c r="L325" s="270">
        <v>19.6</v>
      </c>
      <c r="M325" s="270">
        <v>19.6</v>
      </c>
      <c r="N325" s="270">
        <v>1.84</v>
      </c>
      <c r="O325" s="272">
        <v>1.84</v>
      </c>
      <c r="P325" s="273">
        <v>4.52</v>
      </c>
      <c r="Q325" s="270">
        <v>4.52</v>
      </c>
      <c r="R325" s="270">
        <v>6.5</v>
      </c>
      <c r="S325" s="270">
        <v>3</v>
      </c>
      <c r="T325" s="274">
        <v>1.18</v>
      </c>
      <c r="U325" s="270">
        <v>1.66</v>
      </c>
      <c r="V325" s="270">
        <v>1.66</v>
      </c>
    </row>
    <row r="326" spans="1:22" s="274" customFormat="1" ht="21.75">
      <c r="A326" s="270">
        <v>200</v>
      </c>
      <c r="B326" s="271" t="s">
        <v>383</v>
      </c>
      <c r="C326" s="271" t="s">
        <v>384</v>
      </c>
      <c r="D326" s="270">
        <v>65</v>
      </c>
      <c r="E326" s="270">
        <v>5</v>
      </c>
      <c r="F326" s="270">
        <v>65</v>
      </c>
      <c r="G326" s="271" t="s">
        <v>98</v>
      </c>
      <c r="H326" s="270" t="b">
        <v>1</v>
      </c>
      <c r="I326" s="270">
        <v>5</v>
      </c>
      <c r="J326" s="270">
        <v>5</v>
      </c>
      <c r="K326" s="270">
        <v>6.367</v>
      </c>
      <c r="L326" s="270">
        <v>25.3</v>
      </c>
      <c r="M326" s="270">
        <v>25.3</v>
      </c>
      <c r="N326" s="270">
        <v>1.99</v>
      </c>
      <c r="O326" s="272">
        <v>1.99</v>
      </c>
      <c r="P326" s="273">
        <v>5.35</v>
      </c>
      <c r="Q326" s="270">
        <v>5.35</v>
      </c>
      <c r="R326" s="270">
        <v>8.5</v>
      </c>
      <c r="S326" s="270">
        <v>3</v>
      </c>
      <c r="T326" s="274">
        <v>1.28</v>
      </c>
      <c r="U326" s="270">
        <v>1.77</v>
      </c>
      <c r="V326" s="270">
        <v>1.77</v>
      </c>
    </row>
    <row r="327" spans="1:22" s="274" customFormat="1" ht="21.75">
      <c r="A327" s="270">
        <v>201</v>
      </c>
      <c r="B327" s="271" t="s">
        <v>383</v>
      </c>
      <c r="C327" s="271" t="s">
        <v>384</v>
      </c>
      <c r="D327" s="270">
        <v>65</v>
      </c>
      <c r="E327" s="270">
        <v>5.9</v>
      </c>
      <c r="F327" s="270">
        <v>65</v>
      </c>
      <c r="G327" s="271" t="s">
        <v>99</v>
      </c>
      <c r="H327" s="270" t="b">
        <v>1</v>
      </c>
      <c r="I327" s="270">
        <v>6</v>
      </c>
      <c r="J327" s="270">
        <v>6</v>
      </c>
      <c r="K327" s="270">
        <v>7.527</v>
      </c>
      <c r="L327" s="270">
        <v>29.4</v>
      </c>
      <c r="M327" s="270">
        <v>29.4</v>
      </c>
      <c r="N327" s="270">
        <v>1.98</v>
      </c>
      <c r="O327" s="272">
        <v>1.98</v>
      </c>
      <c r="P327" s="273">
        <v>6.26</v>
      </c>
      <c r="Q327" s="270">
        <v>6.26</v>
      </c>
      <c r="R327" s="270">
        <v>8.5</v>
      </c>
      <c r="S327" s="270">
        <v>4</v>
      </c>
      <c r="T327" s="274">
        <v>1.27</v>
      </c>
      <c r="U327" s="270">
        <v>1.81</v>
      </c>
      <c r="V327" s="270">
        <v>1.81</v>
      </c>
    </row>
    <row r="328" spans="1:22" s="274" customFormat="1" ht="21.75">
      <c r="A328" s="270">
        <v>202</v>
      </c>
      <c r="B328" s="271" t="s">
        <v>383</v>
      </c>
      <c r="C328" s="271" t="s">
        <v>384</v>
      </c>
      <c r="D328" s="270">
        <v>65</v>
      </c>
      <c r="E328" s="270">
        <v>7.7</v>
      </c>
      <c r="F328" s="270">
        <v>65</v>
      </c>
      <c r="G328" s="271" t="s">
        <v>100</v>
      </c>
      <c r="H328" s="270" t="b">
        <v>1</v>
      </c>
      <c r="I328" s="270">
        <v>8</v>
      </c>
      <c r="J328" s="270">
        <v>8</v>
      </c>
      <c r="K328" s="270">
        <v>9.761</v>
      </c>
      <c r="L328" s="270">
        <v>36.8</v>
      </c>
      <c r="M328" s="270">
        <v>36.8</v>
      </c>
      <c r="N328" s="270">
        <v>1.94</v>
      </c>
      <c r="O328" s="272">
        <v>1.94</v>
      </c>
      <c r="P328" s="273">
        <v>7.96</v>
      </c>
      <c r="Q328" s="270">
        <v>7.96</v>
      </c>
      <c r="R328" s="270">
        <v>8.5</v>
      </c>
      <c r="S328" s="270">
        <v>6</v>
      </c>
      <c r="T328" s="274">
        <v>1.25</v>
      </c>
      <c r="U328" s="270">
        <v>1.88</v>
      </c>
      <c r="V328" s="270">
        <v>1.88</v>
      </c>
    </row>
    <row r="329" spans="1:22" s="288" customFormat="1" ht="21.75">
      <c r="A329" s="284">
        <v>203</v>
      </c>
      <c r="B329" s="285" t="s">
        <v>383</v>
      </c>
      <c r="C329" s="285" t="s">
        <v>384</v>
      </c>
      <c r="D329" s="284">
        <v>70</v>
      </c>
      <c r="E329" s="284">
        <v>6.4</v>
      </c>
      <c r="F329" s="284">
        <v>70</v>
      </c>
      <c r="G329" s="285" t="s">
        <v>101</v>
      </c>
      <c r="H329" s="284" t="b">
        <v>1</v>
      </c>
      <c r="I329" s="284">
        <v>6</v>
      </c>
      <c r="J329" s="284">
        <v>6</v>
      </c>
      <c r="K329" s="284">
        <v>8.127</v>
      </c>
      <c r="L329" s="284">
        <v>37.1</v>
      </c>
      <c r="M329" s="284">
        <v>37.1</v>
      </c>
      <c r="N329" s="284">
        <v>2.14</v>
      </c>
      <c r="O329" s="286">
        <v>2.14</v>
      </c>
      <c r="P329" s="287">
        <v>7.33</v>
      </c>
      <c r="Q329" s="284">
        <v>7.33</v>
      </c>
      <c r="R329" s="284">
        <v>8.5</v>
      </c>
      <c r="S329" s="284">
        <v>4</v>
      </c>
      <c r="T329" s="288">
        <v>1.37</v>
      </c>
      <c r="U329" s="284">
        <v>1.93</v>
      </c>
      <c r="V329" s="284">
        <v>1.93</v>
      </c>
    </row>
    <row r="330" spans="1:22" s="274" customFormat="1" ht="21.75">
      <c r="A330" s="270">
        <v>204</v>
      </c>
      <c r="B330" s="271" t="s">
        <v>383</v>
      </c>
      <c r="C330" s="271" t="s">
        <v>384</v>
      </c>
      <c r="D330" s="270">
        <v>75</v>
      </c>
      <c r="E330" s="270">
        <v>6.8</v>
      </c>
      <c r="F330" s="270">
        <v>75</v>
      </c>
      <c r="G330" s="271" t="s">
        <v>103</v>
      </c>
      <c r="H330" s="270" t="b">
        <v>1</v>
      </c>
      <c r="I330" s="270">
        <v>6</v>
      </c>
      <c r="J330" s="270">
        <v>6</v>
      </c>
      <c r="K330" s="270">
        <v>8.727</v>
      </c>
      <c r="L330" s="270">
        <v>46.1</v>
      </c>
      <c r="M330" s="270">
        <v>46.1</v>
      </c>
      <c r="N330" s="270">
        <v>2.3</v>
      </c>
      <c r="O330" s="272">
        <v>2.3</v>
      </c>
      <c r="P330" s="273">
        <v>8.47</v>
      </c>
      <c r="Q330" s="270">
        <v>8.47</v>
      </c>
      <c r="R330" s="270">
        <v>8.5</v>
      </c>
      <c r="S330" s="270">
        <v>4</v>
      </c>
      <c r="T330" s="274">
        <v>1.48</v>
      </c>
      <c r="U330" s="270">
        <v>2.06</v>
      </c>
      <c r="V330" s="270">
        <v>2.06</v>
      </c>
    </row>
    <row r="331" spans="1:22" s="274" customFormat="1" ht="21.75">
      <c r="A331" s="270">
        <v>205</v>
      </c>
      <c r="B331" s="271" t="s">
        <v>383</v>
      </c>
      <c r="C331" s="271" t="s">
        <v>384</v>
      </c>
      <c r="D331" s="270">
        <v>75</v>
      </c>
      <c r="E331" s="270">
        <v>9.9</v>
      </c>
      <c r="F331" s="270">
        <v>75</v>
      </c>
      <c r="G331" s="271" t="s">
        <v>104</v>
      </c>
      <c r="H331" s="270" t="b">
        <v>1</v>
      </c>
      <c r="I331" s="270">
        <v>9</v>
      </c>
      <c r="J331" s="270">
        <v>9</v>
      </c>
      <c r="K331" s="270">
        <v>12.69</v>
      </c>
      <c r="L331" s="270">
        <v>64.4</v>
      </c>
      <c r="M331" s="270">
        <v>64.4</v>
      </c>
      <c r="N331" s="270">
        <v>2.25</v>
      </c>
      <c r="O331" s="272">
        <v>2.25</v>
      </c>
      <c r="P331" s="273">
        <v>12.1</v>
      </c>
      <c r="Q331" s="270">
        <v>12.1</v>
      </c>
      <c r="R331" s="270">
        <v>8.5</v>
      </c>
      <c r="S331" s="270">
        <v>6</v>
      </c>
      <c r="T331" s="274">
        <v>1.45</v>
      </c>
      <c r="U331" s="270">
        <v>2.17</v>
      </c>
      <c r="V331" s="270">
        <v>2.17</v>
      </c>
    </row>
    <row r="332" spans="1:22" s="274" customFormat="1" ht="21.75">
      <c r="A332" s="270">
        <v>206</v>
      </c>
      <c r="B332" s="271" t="s">
        <v>383</v>
      </c>
      <c r="C332" s="271" t="s">
        <v>384</v>
      </c>
      <c r="D332" s="270">
        <v>75</v>
      </c>
      <c r="E332" s="270">
        <v>13</v>
      </c>
      <c r="F332" s="270">
        <v>75</v>
      </c>
      <c r="G332" s="271" t="s">
        <v>102</v>
      </c>
      <c r="H332" s="270" t="b">
        <v>1</v>
      </c>
      <c r="I332" s="270">
        <v>12</v>
      </c>
      <c r="J332" s="270">
        <v>12</v>
      </c>
      <c r="K332" s="270">
        <v>16.56</v>
      </c>
      <c r="L332" s="270">
        <v>81.9</v>
      </c>
      <c r="M332" s="270">
        <v>81.9</v>
      </c>
      <c r="N332" s="270">
        <v>2.22</v>
      </c>
      <c r="O332" s="272">
        <v>2.22</v>
      </c>
      <c r="P332" s="273">
        <v>15.7</v>
      </c>
      <c r="Q332" s="270">
        <v>15.7</v>
      </c>
      <c r="R332" s="270">
        <v>8.5</v>
      </c>
      <c r="S332" s="270">
        <v>6</v>
      </c>
      <c r="T332" s="274">
        <v>1.44</v>
      </c>
      <c r="U332" s="270">
        <v>2.29</v>
      </c>
      <c r="V332" s="270">
        <v>2.29</v>
      </c>
    </row>
    <row r="333" spans="1:22" s="274" customFormat="1" ht="21.75">
      <c r="A333" s="270">
        <v>207</v>
      </c>
      <c r="B333" s="271" t="s">
        <v>383</v>
      </c>
      <c r="C333" s="271" t="s">
        <v>384</v>
      </c>
      <c r="D333" s="270">
        <v>80</v>
      </c>
      <c r="E333" s="270">
        <v>7.3</v>
      </c>
      <c r="F333" s="270">
        <v>80</v>
      </c>
      <c r="G333" s="271" t="s">
        <v>105</v>
      </c>
      <c r="H333" s="270" t="b">
        <v>1</v>
      </c>
      <c r="I333" s="270">
        <v>6</v>
      </c>
      <c r="J333" s="270">
        <v>6</v>
      </c>
      <c r="K333" s="270">
        <v>9.327</v>
      </c>
      <c r="L333" s="270">
        <v>56.4</v>
      </c>
      <c r="M333" s="270">
        <v>56.4</v>
      </c>
      <c r="N333" s="270">
        <v>2.46</v>
      </c>
      <c r="O333" s="272">
        <v>2.46</v>
      </c>
      <c r="P333" s="273">
        <v>9.7</v>
      </c>
      <c r="Q333" s="270">
        <v>9.7</v>
      </c>
      <c r="R333" s="270">
        <v>8.5</v>
      </c>
      <c r="S333" s="270">
        <v>4</v>
      </c>
      <c r="T333" s="274">
        <v>1.58</v>
      </c>
      <c r="U333" s="270">
        <v>2.18</v>
      </c>
      <c r="V333" s="270">
        <v>2.18</v>
      </c>
    </row>
    <row r="334" spans="1:22" s="274" customFormat="1" ht="21.75">
      <c r="A334" s="270">
        <v>208</v>
      </c>
      <c r="B334" s="271" t="s">
        <v>383</v>
      </c>
      <c r="C334" s="271" t="s">
        <v>384</v>
      </c>
      <c r="D334" s="270">
        <v>90</v>
      </c>
      <c r="E334" s="270">
        <v>8.3</v>
      </c>
      <c r="F334" s="270">
        <v>90</v>
      </c>
      <c r="G334" s="271" t="s">
        <v>108</v>
      </c>
      <c r="H334" s="270" t="b">
        <v>1</v>
      </c>
      <c r="I334" s="270">
        <v>6</v>
      </c>
      <c r="J334" s="270">
        <v>6</v>
      </c>
      <c r="K334" s="270">
        <v>10.55</v>
      </c>
      <c r="L334" s="270">
        <v>80.7</v>
      </c>
      <c r="M334" s="270">
        <v>80.7</v>
      </c>
      <c r="N334" s="270">
        <v>2.77</v>
      </c>
      <c r="O334" s="272">
        <v>2.77</v>
      </c>
      <c r="P334" s="273">
        <v>12.3</v>
      </c>
      <c r="Q334" s="270">
        <v>12.3</v>
      </c>
      <c r="R334" s="270">
        <v>10</v>
      </c>
      <c r="S334" s="270">
        <v>5</v>
      </c>
      <c r="T334" s="274">
        <v>1.78</v>
      </c>
      <c r="U334" s="270">
        <v>2.42</v>
      </c>
      <c r="V334" s="270">
        <v>2.42</v>
      </c>
    </row>
    <row r="335" spans="1:22" s="274" customFormat="1" ht="21.75">
      <c r="A335" s="270">
        <v>209</v>
      </c>
      <c r="B335" s="271" t="s">
        <v>383</v>
      </c>
      <c r="C335" s="271" t="s">
        <v>384</v>
      </c>
      <c r="D335" s="270">
        <v>90</v>
      </c>
      <c r="E335" s="270">
        <v>9.6</v>
      </c>
      <c r="F335" s="270">
        <v>90</v>
      </c>
      <c r="G335" s="271" t="s">
        <v>109</v>
      </c>
      <c r="H335" s="270" t="b">
        <v>1</v>
      </c>
      <c r="I335" s="270">
        <v>7</v>
      </c>
      <c r="J335" s="270">
        <v>7</v>
      </c>
      <c r="K335" s="270">
        <v>12.22</v>
      </c>
      <c r="L335" s="270">
        <v>93</v>
      </c>
      <c r="M335" s="270">
        <v>93</v>
      </c>
      <c r="N335" s="270">
        <v>2.76</v>
      </c>
      <c r="O335" s="272">
        <v>2.76</v>
      </c>
      <c r="P335" s="273">
        <v>14.2</v>
      </c>
      <c r="Q335" s="270">
        <v>14.2</v>
      </c>
      <c r="R335" s="270">
        <v>10</v>
      </c>
      <c r="S335" s="270">
        <v>5</v>
      </c>
      <c r="T335" s="274">
        <v>1.77</v>
      </c>
      <c r="U335" s="270">
        <v>2.46</v>
      </c>
      <c r="V335" s="270">
        <v>2.46</v>
      </c>
    </row>
    <row r="336" spans="1:22" s="274" customFormat="1" ht="21.75">
      <c r="A336" s="270">
        <v>210</v>
      </c>
      <c r="B336" s="271" t="s">
        <v>383</v>
      </c>
      <c r="C336" s="271" t="s">
        <v>384</v>
      </c>
      <c r="D336" s="270">
        <v>90</v>
      </c>
      <c r="E336" s="270">
        <v>13.3</v>
      </c>
      <c r="F336" s="270">
        <v>90</v>
      </c>
      <c r="G336" s="271" t="s">
        <v>106</v>
      </c>
      <c r="H336" s="270" t="b">
        <v>1</v>
      </c>
      <c r="I336" s="270">
        <v>10</v>
      </c>
      <c r="J336" s="270">
        <v>10</v>
      </c>
      <c r="K336" s="270">
        <v>17</v>
      </c>
      <c r="L336" s="270">
        <v>125</v>
      </c>
      <c r="M336" s="270">
        <v>125</v>
      </c>
      <c r="N336" s="270">
        <v>2.71</v>
      </c>
      <c r="O336" s="272">
        <v>2.71</v>
      </c>
      <c r="P336" s="273">
        <v>19.5</v>
      </c>
      <c r="Q336" s="270">
        <v>19.5</v>
      </c>
      <c r="R336" s="270">
        <v>10</v>
      </c>
      <c r="S336" s="270">
        <v>7</v>
      </c>
      <c r="T336" s="274">
        <v>1.74</v>
      </c>
      <c r="U336" s="270">
        <v>2.57</v>
      </c>
      <c r="V336" s="270">
        <v>2.57</v>
      </c>
    </row>
    <row r="337" spans="1:22" s="274" customFormat="1" ht="21.75">
      <c r="A337" s="270">
        <v>212</v>
      </c>
      <c r="B337" s="271" t="s">
        <v>383</v>
      </c>
      <c r="C337" s="271" t="s">
        <v>384</v>
      </c>
      <c r="D337" s="270">
        <v>90</v>
      </c>
      <c r="E337" s="270">
        <v>17</v>
      </c>
      <c r="F337" s="270">
        <v>90</v>
      </c>
      <c r="G337" s="271" t="s">
        <v>107</v>
      </c>
      <c r="H337" s="270" t="b">
        <v>1</v>
      </c>
      <c r="I337" s="270">
        <v>13</v>
      </c>
      <c r="J337" s="270">
        <v>13</v>
      </c>
      <c r="K337" s="270">
        <v>21.71</v>
      </c>
      <c r="L337" s="270">
        <v>156</v>
      </c>
      <c r="M337" s="270">
        <v>156</v>
      </c>
      <c r="N337" s="270">
        <v>2.68</v>
      </c>
      <c r="O337" s="272">
        <v>2.68</v>
      </c>
      <c r="P337" s="273">
        <v>24.8</v>
      </c>
      <c r="Q337" s="270">
        <v>24.8</v>
      </c>
      <c r="R337" s="270">
        <v>10</v>
      </c>
      <c r="S337" s="270">
        <v>7</v>
      </c>
      <c r="T337" s="274">
        <v>1.73</v>
      </c>
      <c r="U337" s="270">
        <v>2.69</v>
      </c>
      <c r="V337" s="270">
        <v>2.69</v>
      </c>
    </row>
    <row r="338" spans="1:22" s="274" customFormat="1" ht="21.75">
      <c r="A338" s="270">
        <v>213</v>
      </c>
      <c r="B338" s="271" t="s">
        <v>383</v>
      </c>
      <c r="C338" s="271" t="s">
        <v>384</v>
      </c>
      <c r="D338" s="270">
        <v>100</v>
      </c>
      <c r="E338" s="270">
        <v>10.7</v>
      </c>
      <c r="F338" s="270">
        <v>100</v>
      </c>
      <c r="G338" s="271" t="s">
        <v>70</v>
      </c>
      <c r="H338" s="270" t="b">
        <v>1</v>
      </c>
      <c r="I338" s="270">
        <v>7</v>
      </c>
      <c r="J338" s="270">
        <v>7</v>
      </c>
      <c r="K338" s="270">
        <v>13.62</v>
      </c>
      <c r="L338" s="270">
        <v>129</v>
      </c>
      <c r="M338" s="270">
        <v>129</v>
      </c>
      <c r="N338" s="270">
        <v>3.08</v>
      </c>
      <c r="O338" s="272">
        <v>3.08</v>
      </c>
      <c r="P338" s="273">
        <v>17.7</v>
      </c>
      <c r="Q338" s="270">
        <v>17.7</v>
      </c>
      <c r="R338" s="270">
        <v>10</v>
      </c>
      <c r="S338" s="270">
        <v>5</v>
      </c>
      <c r="T338" s="274">
        <v>1.98</v>
      </c>
      <c r="U338" s="270">
        <v>2.71</v>
      </c>
      <c r="V338" s="270">
        <v>2.71</v>
      </c>
    </row>
    <row r="339" spans="1:22" s="274" customFormat="1" ht="21.75">
      <c r="A339" s="270">
        <v>214</v>
      </c>
      <c r="B339" s="271" t="s">
        <v>383</v>
      </c>
      <c r="C339" s="271" t="s">
        <v>384</v>
      </c>
      <c r="D339" s="270">
        <v>100</v>
      </c>
      <c r="E339" s="270">
        <v>14.9</v>
      </c>
      <c r="F339" s="270">
        <v>100</v>
      </c>
      <c r="G339" s="271" t="s">
        <v>71</v>
      </c>
      <c r="H339" s="270" t="b">
        <v>1</v>
      </c>
      <c r="I339" s="270">
        <v>10</v>
      </c>
      <c r="J339" s="270">
        <v>10</v>
      </c>
      <c r="K339" s="270">
        <v>19</v>
      </c>
      <c r="L339" s="270">
        <v>175</v>
      </c>
      <c r="M339" s="270">
        <v>175</v>
      </c>
      <c r="N339" s="270">
        <v>3.04</v>
      </c>
      <c r="O339" s="272">
        <v>3.04</v>
      </c>
      <c r="P339" s="273">
        <v>24.4</v>
      </c>
      <c r="Q339" s="270">
        <v>24.4</v>
      </c>
      <c r="R339" s="270">
        <v>10</v>
      </c>
      <c r="S339" s="270">
        <v>7</v>
      </c>
      <c r="T339" s="274">
        <v>1.95</v>
      </c>
      <c r="U339" s="270">
        <v>2.82</v>
      </c>
      <c r="V339" s="270">
        <v>2.82</v>
      </c>
    </row>
    <row r="340" spans="1:22" s="280" customFormat="1" ht="21.75">
      <c r="A340" s="275">
        <v>216</v>
      </c>
      <c r="B340" s="276" t="s">
        <v>383</v>
      </c>
      <c r="C340" s="276" t="s">
        <v>384</v>
      </c>
      <c r="D340" s="275">
        <v>100</v>
      </c>
      <c r="E340" s="275">
        <v>19.1</v>
      </c>
      <c r="F340" s="275">
        <v>100</v>
      </c>
      <c r="G340" s="276" t="s">
        <v>72</v>
      </c>
      <c r="H340" s="275" t="b">
        <v>1</v>
      </c>
      <c r="I340" s="275">
        <v>13</v>
      </c>
      <c r="J340" s="275">
        <v>13</v>
      </c>
      <c r="K340" s="275">
        <v>24.31</v>
      </c>
      <c r="L340" s="275">
        <v>220</v>
      </c>
      <c r="M340" s="275">
        <v>220</v>
      </c>
      <c r="N340" s="277">
        <v>3</v>
      </c>
      <c r="O340" s="278">
        <v>3</v>
      </c>
      <c r="P340" s="279">
        <v>31.1</v>
      </c>
      <c r="Q340" s="275">
        <v>31.1</v>
      </c>
      <c r="R340" s="275">
        <v>10</v>
      </c>
      <c r="S340" s="275">
        <v>7</v>
      </c>
      <c r="T340" s="280">
        <v>1.94</v>
      </c>
      <c r="U340" s="275">
        <v>2.94</v>
      </c>
      <c r="V340" s="275">
        <v>2.94</v>
      </c>
    </row>
    <row r="341" spans="1:22" s="274" customFormat="1" ht="21.75">
      <c r="A341" s="270">
        <v>217</v>
      </c>
      <c r="B341" s="271" t="s">
        <v>383</v>
      </c>
      <c r="C341" s="271" t="s">
        <v>384</v>
      </c>
      <c r="D341" s="270">
        <v>120</v>
      </c>
      <c r="E341" s="270">
        <v>14.7</v>
      </c>
      <c r="F341" s="270">
        <v>120</v>
      </c>
      <c r="G341" s="271" t="s">
        <v>73</v>
      </c>
      <c r="H341" s="270" t="b">
        <v>1</v>
      </c>
      <c r="I341" s="270">
        <v>8</v>
      </c>
      <c r="J341" s="270">
        <v>8</v>
      </c>
      <c r="K341" s="270">
        <v>18.76</v>
      </c>
      <c r="L341" s="270">
        <v>258</v>
      </c>
      <c r="M341" s="270">
        <v>258</v>
      </c>
      <c r="N341" s="270">
        <v>3.71</v>
      </c>
      <c r="O341" s="272">
        <v>3.71</v>
      </c>
      <c r="P341" s="273">
        <v>29.5</v>
      </c>
      <c r="Q341" s="270">
        <v>29.5</v>
      </c>
      <c r="R341" s="270">
        <v>12</v>
      </c>
      <c r="S341" s="270">
        <v>5</v>
      </c>
      <c r="T341" s="274">
        <v>2.38</v>
      </c>
      <c r="U341" s="270">
        <v>3.24</v>
      </c>
      <c r="V341" s="270">
        <v>3.24</v>
      </c>
    </row>
    <row r="342" spans="1:22" s="274" customFormat="1" ht="21.75">
      <c r="A342" s="270">
        <v>218</v>
      </c>
      <c r="B342" s="271" t="s">
        <v>383</v>
      </c>
      <c r="C342" s="271" t="s">
        <v>384</v>
      </c>
      <c r="D342" s="270">
        <v>130</v>
      </c>
      <c r="E342" s="270">
        <v>17.9</v>
      </c>
      <c r="F342" s="270">
        <v>130</v>
      </c>
      <c r="G342" s="271" t="s">
        <v>74</v>
      </c>
      <c r="H342" s="270" t="b">
        <v>1</v>
      </c>
      <c r="I342" s="270">
        <v>9</v>
      </c>
      <c r="J342" s="270">
        <v>9</v>
      </c>
      <c r="K342" s="270">
        <v>22.74</v>
      </c>
      <c r="L342" s="270">
        <v>366</v>
      </c>
      <c r="M342" s="270">
        <v>366</v>
      </c>
      <c r="N342" s="270">
        <v>4.01</v>
      </c>
      <c r="O342" s="272">
        <v>4.01</v>
      </c>
      <c r="P342" s="273">
        <v>38.7</v>
      </c>
      <c r="Q342" s="270">
        <v>38.7</v>
      </c>
      <c r="R342" s="270">
        <v>12</v>
      </c>
      <c r="S342" s="270">
        <v>6</v>
      </c>
      <c r="T342" s="274">
        <v>2.57</v>
      </c>
      <c r="U342" s="270">
        <v>3.53</v>
      </c>
      <c r="V342" s="270">
        <v>3.53</v>
      </c>
    </row>
    <row r="343" spans="1:22" s="274" customFormat="1" ht="21.75">
      <c r="A343" s="270">
        <v>219</v>
      </c>
      <c r="B343" s="271" t="s">
        <v>383</v>
      </c>
      <c r="C343" s="271" t="s">
        <v>384</v>
      </c>
      <c r="D343" s="270">
        <v>130</v>
      </c>
      <c r="E343" s="270">
        <v>23.4</v>
      </c>
      <c r="F343" s="270">
        <v>130</v>
      </c>
      <c r="G343" s="271" t="s">
        <v>75</v>
      </c>
      <c r="H343" s="270" t="b">
        <v>1</v>
      </c>
      <c r="I343" s="270">
        <v>12</v>
      </c>
      <c r="J343" s="270">
        <v>12</v>
      </c>
      <c r="K343" s="270">
        <v>29.76</v>
      </c>
      <c r="L343" s="270">
        <v>467</v>
      </c>
      <c r="M343" s="270">
        <v>467</v>
      </c>
      <c r="N343" s="270">
        <v>3.96</v>
      </c>
      <c r="O343" s="272">
        <v>3.96</v>
      </c>
      <c r="P343" s="273">
        <v>49.9</v>
      </c>
      <c r="Q343" s="270">
        <v>49.9</v>
      </c>
      <c r="R343" s="270">
        <v>12</v>
      </c>
      <c r="S343" s="270">
        <v>8.5</v>
      </c>
      <c r="T343" s="274">
        <v>2.54</v>
      </c>
      <c r="U343" s="270">
        <v>3.64</v>
      </c>
      <c r="V343" s="270">
        <v>3.64</v>
      </c>
    </row>
    <row r="344" spans="1:22" s="274" customFormat="1" ht="21.75">
      <c r="A344" s="270">
        <v>220</v>
      </c>
      <c r="B344" s="271" t="s">
        <v>383</v>
      </c>
      <c r="C344" s="271" t="s">
        <v>384</v>
      </c>
      <c r="D344" s="270">
        <v>130</v>
      </c>
      <c r="E344" s="270">
        <v>28.8</v>
      </c>
      <c r="F344" s="270">
        <v>130</v>
      </c>
      <c r="G344" s="271" t="s">
        <v>76</v>
      </c>
      <c r="H344" s="270" t="b">
        <v>1</v>
      </c>
      <c r="I344" s="270">
        <v>15</v>
      </c>
      <c r="J344" s="270">
        <v>15</v>
      </c>
      <c r="K344" s="270">
        <v>36.75</v>
      </c>
      <c r="L344" s="270">
        <v>568</v>
      </c>
      <c r="M344" s="270">
        <v>568</v>
      </c>
      <c r="N344" s="270">
        <v>3.93</v>
      </c>
      <c r="O344" s="272">
        <v>3.93</v>
      </c>
      <c r="P344" s="273">
        <v>61.5</v>
      </c>
      <c r="Q344" s="270">
        <v>61.5</v>
      </c>
      <c r="R344" s="270">
        <v>12</v>
      </c>
      <c r="S344" s="270">
        <v>8.5</v>
      </c>
      <c r="T344" s="274">
        <v>2.53</v>
      </c>
      <c r="U344" s="270">
        <v>3.76</v>
      </c>
      <c r="V344" s="270">
        <v>3.76</v>
      </c>
    </row>
    <row r="345" spans="1:22" s="274" customFormat="1" ht="21.75">
      <c r="A345" s="270">
        <v>221</v>
      </c>
      <c r="B345" s="271" t="s">
        <v>383</v>
      </c>
      <c r="C345" s="271" t="s">
        <v>384</v>
      </c>
      <c r="D345" s="270">
        <v>150</v>
      </c>
      <c r="E345" s="270">
        <v>27.3</v>
      </c>
      <c r="F345" s="270">
        <v>150</v>
      </c>
      <c r="G345" s="271" t="s">
        <v>77</v>
      </c>
      <c r="H345" s="270" t="b">
        <v>1</v>
      </c>
      <c r="I345" s="270">
        <v>12</v>
      </c>
      <c r="J345" s="270">
        <v>12</v>
      </c>
      <c r="K345" s="270">
        <v>34.77</v>
      </c>
      <c r="L345" s="270">
        <v>740</v>
      </c>
      <c r="M345" s="270">
        <v>740</v>
      </c>
      <c r="N345" s="270">
        <v>4.61</v>
      </c>
      <c r="O345" s="272">
        <v>4.61</v>
      </c>
      <c r="P345" s="273">
        <v>68.1</v>
      </c>
      <c r="Q345" s="270">
        <v>68.1</v>
      </c>
      <c r="R345" s="270">
        <v>14</v>
      </c>
      <c r="S345" s="270">
        <v>7</v>
      </c>
      <c r="T345" s="274">
        <v>2.96</v>
      </c>
      <c r="U345" s="270">
        <v>4.14</v>
      </c>
      <c r="V345" s="270">
        <v>4.14</v>
      </c>
    </row>
    <row r="346" spans="1:22" s="274" customFormat="1" ht="21.75">
      <c r="A346" s="270">
        <v>222</v>
      </c>
      <c r="B346" s="271" t="s">
        <v>383</v>
      </c>
      <c r="C346" s="271" t="s">
        <v>384</v>
      </c>
      <c r="D346" s="270">
        <v>150</v>
      </c>
      <c r="E346" s="270">
        <v>33.6</v>
      </c>
      <c r="F346" s="270">
        <v>150</v>
      </c>
      <c r="G346" s="271" t="s">
        <v>78</v>
      </c>
      <c r="H346" s="270" t="b">
        <v>1</v>
      </c>
      <c r="I346" s="270">
        <v>15</v>
      </c>
      <c r="J346" s="270">
        <v>15</v>
      </c>
      <c r="K346" s="270">
        <v>42.74</v>
      </c>
      <c r="L346" s="270">
        <v>888</v>
      </c>
      <c r="M346" s="270">
        <v>888</v>
      </c>
      <c r="N346" s="270">
        <v>4.56</v>
      </c>
      <c r="O346" s="272">
        <v>4.56</v>
      </c>
      <c r="P346" s="273">
        <v>82.6</v>
      </c>
      <c r="Q346" s="270">
        <v>82.6</v>
      </c>
      <c r="R346" s="270">
        <v>14</v>
      </c>
      <c r="S346" s="270">
        <v>10</v>
      </c>
      <c r="T346" s="274">
        <v>2.92</v>
      </c>
      <c r="U346" s="270">
        <v>4.24</v>
      </c>
      <c r="V346" s="270">
        <v>4.24</v>
      </c>
    </row>
    <row r="347" spans="1:22" s="274" customFormat="1" ht="21.75">
      <c r="A347" s="270">
        <v>223</v>
      </c>
      <c r="B347" s="271" t="s">
        <v>383</v>
      </c>
      <c r="C347" s="271" t="s">
        <v>384</v>
      </c>
      <c r="D347" s="270">
        <v>150</v>
      </c>
      <c r="E347" s="270">
        <v>41.8</v>
      </c>
      <c r="F347" s="270">
        <v>150</v>
      </c>
      <c r="G347" s="271" t="s">
        <v>79</v>
      </c>
      <c r="H347" s="270" t="b">
        <v>1</v>
      </c>
      <c r="I347" s="270">
        <v>19</v>
      </c>
      <c r="J347" s="270">
        <v>19</v>
      </c>
      <c r="K347" s="270">
        <v>53.38</v>
      </c>
      <c r="L347" s="270">
        <v>1090</v>
      </c>
      <c r="M347" s="270">
        <v>1090</v>
      </c>
      <c r="N347" s="270">
        <v>4.52</v>
      </c>
      <c r="O347" s="272">
        <v>4.52</v>
      </c>
      <c r="P347" s="273">
        <v>103</v>
      </c>
      <c r="Q347" s="270">
        <v>103</v>
      </c>
      <c r="R347" s="270">
        <v>14</v>
      </c>
      <c r="S347" s="270">
        <v>10</v>
      </c>
      <c r="T347" s="274">
        <v>2.91</v>
      </c>
      <c r="U347" s="270">
        <v>4.4</v>
      </c>
      <c r="V347" s="270">
        <v>4.4</v>
      </c>
    </row>
    <row r="348" spans="1:22" s="274" customFormat="1" ht="21.75">
      <c r="A348" s="270">
        <v>224</v>
      </c>
      <c r="B348" s="271" t="s">
        <v>383</v>
      </c>
      <c r="C348" s="271" t="s">
        <v>384</v>
      </c>
      <c r="D348" s="270">
        <v>175</v>
      </c>
      <c r="E348" s="270">
        <v>31.8</v>
      </c>
      <c r="F348" s="270">
        <v>175</v>
      </c>
      <c r="G348" s="271" t="s">
        <v>80</v>
      </c>
      <c r="H348" s="270" t="b">
        <v>1</v>
      </c>
      <c r="I348" s="270">
        <v>12</v>
      </c>
      <c r="J348" s="270">
        <v>12</v>
      </c>
      <c r="K348" s="270">
        <v>40.52</v>
      </c>
      <c r="L348" s="270">
        <v>1170</v>
      </c>
      <c r="M348" s="270">
        <v>1170</v>
      </c>
      <c r="N348" s="270">
        <v>5.38</v>
      </c>
      <c r="O348" s="272">
        <v>5.38</v>
      </c>
      <c r="P348" s="273">
        <v>91.8</v>
      </c>
      <c r="Q348" s="270">
        <v>91.8</v>
      </c>
      <c r="R348" s="270">
        <v>15</v>
      </c>
      <c r="S348" s="270">
        <v>11</v>
      </c>
      <c r="T348" s="274">
        <v>3.44</v>
      </c>
      <c r="U348" s="270">
        <v>4.73</v>
      </c>
      <c r="V348" s="270">
        <v>4.73</v>
      </c>
    </row>
    <row r="349" spans="1:22" s="274" customFormat="1" ht="21.75">
      <c r="A349" s="270">
        <v>225</v>
      </c>
      <c r="B349" s="271" t="s">
        <v>383</v>
      </c>
      <c r="C349" s="271" t="s">
        <v>384</v>
      </c>
      <c r="D349" s="270">
        <v>175</v>
      </c>
      <c r="E349" s="270">
        <v>39.3</v>
      </c>
      <c r="F349" s="270">
        <v>175</v>
      </c>
      <c r="G349" s="271" t="s">
        <v>81</v>
      </c>
      <c r="H349" s="270" t="b">
        <v>1</v>
      </c>
      <c r="I349" s="270">
        <v>15</v>
      </c>
      <c r="J349" s="270">
        <v>15</v>
      </c>
      <c r="K349" s="270">
        <v>50.21</v>
      </c>
      <c r="L349" s="270">
        <v>1440</v>
      </c>
      <c r="M349" s="270">
        <v>1440</v>
      </c>
      <c r="N349" s="270">
        <v>5.35</v>
      </c>
      <c r="O349" s="272">
        <v>5.35</v>
      </c>
      <c r="P349" s="273">
        <v>114</v>
      </c>
      <c r="Q349" s="270">
        <v>114</v>
      </c>
      <c r="R349" s="270">
        <v>15</v>
      </c>
      <c r="S349" s="270">
        <v>11</v>
      </c>
      <c r="T349" s="274">
        <v>3.42</v>
      </c>
      <c r="U349" s="270">
        <v>4.85</v>
      </c>
      <c r="V349" s="270">
        <v>4.85</v>
      </c>
    </row>
    <row r="350" spans="1:22" s="274" customFormat="1" ht="21.75">
      <c r="A350" s="270">
        <v>226</v>
      </c>
      <c r="B350" s="271" t="s">
        <v>383</v>
      </c>
      <c r="C350" s="271" t="s">
        <v>384</v>
      </c>
      <c r="D350" s="270">
        <v>200</v>
      </c>
      <c r="E350" s="270">
        <v>45.2</v>
      </c>
      <c r="F350" s="270">
        <v>200</v>
      </c>
      <c r="G350" s="271" t="s">
        <v>82</v>
      </c>
      <c r="H350" s="270" t="b">
        <v>1</v>
      </c>
      <c r="I350" s="270">
        <v>15</v>
      </c>
      <c r="J350" s="270">
        <v>15</v>
      </c>
      <c r="K350" s="270">
        <v>57.75</v>
      </c>
      <c r="L350" s="270">
        <v>2180</v>
      </c>
      <c r="M350" s="270">
        <v>2180</v>
      </c>
      <c r="N350" s="270">
        <v>6.14</v>
      </c>
      <c r="O350" s="272">
        <v>6.14</v>
      </c>
      <c r="P350" s="273">
        <v>150</v>
      </c>
      <c r="Q350" s="270">
        <v>150</v>
      </c>
      <c r="R350" s="270">
        <v>17</v>
      </c>
      <c r="S350" s="270">
        <v>12</v>
      </c>
      <c r="T350" s="274">
        <v>3.93</v>
      </c>
      <c r="U350" s="270">
        <v>5.46</v>
      </c>
      <c r="V350" s="270">
        <v>5.46</v>
      </c>
    </row>
    <row r="351" spans="1:22" s="274" customFormat="1" ht="21.75">
      <c r="A351" s="270">
        <v>227</v>
      </c>
      <c r="B351" s="271" t="s">
        <v>383</v>
      </c>
      <c r="C351" s="271" t="s">
        <v>384</v>
      </c>
      <c r="D351" s="270">
        <v>200</v>
      </c>
      <c r="E351" s="270">
        <v>59.6</v>
      </c>
      <c r="F351" s="270">
        <v>200</v>
      </c>
      <c r="G351" s="271" t="s">
        <v>83</v>
      </c>
      <c r="H351" s="270" t="b">
        <v>1</v>
      </c>
      <c r="I351" s="270">
        <v>20</v>
      </c>
      <c r="J351" s="270">
        <v>20</v>
      </c>
      <c r="K351" s="270">
        <v>76</v>
      </c>
      <c r="L351" s="270">
        <v>2820</v>
      </c>
      <c r="M351" s="270">
        <v>2820</v>
      </c>
      <c r="N351" s="270">
        <v>6.09</v>
      </c>
      <c r="O351" s="272">
        <v>6.09</v>
      </c>
      <c r="P351" s="273">
        <v>197</v>
      </c>
      <c r="Q351" s="270">
        <v>197</v>
      </c>
      <c r="R351" s="270">
        <v>17</v>
      </c>
      <c r="S351" s="270">
        <v>12</v>
      </c>
      <c r="T351" s="274">
        <v>3.9</v>
      </c>
      <c r="U351" s="270">
        <v>5.67</v>
      </c>
      <c r="V351" s="270">
        <v>5.67</v>
      </c>
    </row>
    <row r="352" spans="1:22" s="274" customFormat="1" ht="21.75">
      <c r="A352" s="270">
        <v>228</v>
      </c>
      <c r="B352" s="271" t="s">
        <v>383</v>
      </c>
      <c r="C352" s="271" t="s">
        <v>384</v>
      </c>
      <c r="D352" s="270">
        <v>200</v>
      </c>
      <c r="E352" s="270">
        <v>73.5</v>
      </c>
      <c r="F352" s="270">
        <v>200</v>
      </c>
      <c r="G352" s="271" t="s">
        <v>84</v>
      </c>
      <c r="H352" s="270" t="b">
        <v>1</v>
      </c>
      <c r="I352" s="270">
        <v>25</v>
      </c>
      <c r="J352" s="270">
        <v>25</v>
      </c>
      <c r="K352" s="270">
        <v>93.75</v>
      </c>
      <c r="L352" s="270">
        <v>3420</v>
      </c>
      <c r="M352" s="270">
        <v>3420</v>
      </c>
      <c r="N352" s="270">
        <v>6.04</v>
      </c>
      <c r="O352" s="272">
        <v>6.04</v>
      </c>
      <c r="P352" s="273">
        <v>242</v>
      </c>
      <c r="Q352" s="270">
        <v>242</v>
      </c>
      <c r="R352" s="270">
        <v>17</v>
      </c>
      <c r="S352" s="270">
        <v>12</v>
      </c>
      <c r="T352" s="274">
        <v>3.88</v>
      </c>
      <c r="U352" s="270">
        <v>5.86</v>
      </c>
      <c r="V352" s="270">
        <v>5.86</v>
      </c>
    </row>
    <row r="353" spans="1:22" s="274" customFormat="1" ht="21.75">
      <c r="A353" s="270">
        <v>229</v>
      </c>
      <c r="B353" s="271" t="s">
        <v>383</v>
      </c>
      <c r="C353" s="271" t="s">
        <v>384</v>
      </c>
      <c r="D353" s="270">
        <v>250</v>
      </c>
      <c r="E353" s="270">
        <v>93.6</v>
      </c>
      <c r="F353" s="270">
        <v>250</v>
      </c>
      <c r="G353" s="271" t="s">
        <v>86</v>
      </c>
      <c r="H353" s="270" t="b">
        <v>1</v>
      </c>
      <c r="I353" s="270">
        <v>25</v>
      </c>
      <c r="J353" s="270">
        <v>25</v>
      </c>
      <c r="K353" s="270">
        <v>119.4</v>
      </c>
      <c r="L353" s="270">
        <v>6950</v>
      </c>
      <c r="M353" s="270">
        <v>6950</v>
      </c>
      <c r="N353" s="270">
        <v>7.63</v>
      </c>
      <c r="O353" s="272">
        <v>7.63</v>
      </c>
      <c r="P353" s="273">
        <v>388</v>
      </c>
      <c r="Q353" s="270">
        <v>388</v>
      </c>
      <c r="R353" s="270">
        <v>24</v>
      </c>
      <c r="S353" s="270">
        <v>12</v>
      </c>
      <c r="T353" s="274">
        <v>4.9</v>
      </c>
      <c r="U353" s="270">
        <v>7.1</v>
      </c>
      <c r="V353" s="270">
        <v>7.1</v>
      </c>
    </row>
    <row r="354" spans="1:22" ht="21.75">
      <c r="A354" s="3">
        <v>230</v>
      </c>
      <c r="B354" s="4" t="s">
        <v>383</v>
      </c>
      <c r="C354" s="4" t="s">
        <v>384</v>
      </c>
      <c r="D354" s="3">
        <v>250</v>
      </c>
      <c r="E354" s="3">
        <v>127.8</v>
      </c>
      <c r="F354" s="3">
        <v>250</v>
      </c>
      <c r="G354" s="4" t="s">
        <v>85</v>
      </c>
      <c r="H354" s="3" t="b">
        <v>1</v>
      </c>
      <c r="I354" s="3">
        <v>35</v>
      </c>
      <c r="J354" s="3">
        <v>35</v>
      </c>
      <c r="K354" s="3">
        <v>162.6</v>
      </c>
      <c r="L354" s="3">
        <v>9110</v>
      </c>
      <c r="M354" s="3">
        <v>9110</v>
      </c>
      <c r="N354" s="3">
        <v>7.49</v>
      </c>
      <c r="O354" s="25">
        <v>7.49</v>
      </c>
      <c r="P354" s="32">
        <v>519</v>
      </c>
      <c r="Q354" s="3">
        <v>519</v>
      </c>
      <c r="R354" s="3">
        <v>24</v>
      </c>
      <c r="S354" s="3">
        <v>18</v>
      </c>
      <c r="T354" s="2">
        <v>4.83</v>
      </c>
      <c r="U354" s="3">
        <v>7.45</v>
      </c>
      <c r="V354" s="3">
        <v>7.45</v>
      </c>
    </row>
    <row r="355" spans="1:22" ht="21.75">
      <c r="A355" s="3">
        <v>231</v>
      </c>
      <c r="B355" s="4" t="s">
        <v>383</v>
      </c>
      <c r="C355" s="4" t="s">
        <v>385</v>
      </c>
      <c r="D355" s="3">
        <v>90</v>
      </c>
      <c r="E355" s="3">
        <v>11</v>
      </c>
      <c r="F355" s="3">
        <v>75</v>
      </c>
      <c r="G355" s="4" t="s">
        <v>335</v>
      </c>
      <c r="H355" s="3" t="b">
        <v>1</v>
      </c>
      <c r="I355" s="3">
        <v>9</v>
      </c>
      <c r="J355" s="3">
        <v>9</v>
      </c>
      <c r="K355" s="3">
        <v>14.04</v>
      </c>
      <c r="L355" s="3">
        <v>109</v>
      </c>
      <c r="M355" s="3">
        <v>68.1</v>
      </c>
      <c r="N355" s="3">
        <v>2.78</v>
      </c>
      <c r="O355" s="25">
        <v>2.2</v>
      </c>
      <c r="P355" s="32">
        <v>17.4</v>
      </c>
      <c r="Q355" s="3">
        <v>12.4</v>
      </c>
      <c r="R355" s="3">
        <v>8.5</v>
      </c>
      <c r="S355" s="3">
        <v>6</v>
      </c>
      <c r="U355" s="3">
        <v>2.75</v>
      </c>
      <c r="V355" s="3">
        <v>2</v>
      </c>
    </row>
    <row r="356" spans="1:22" ht="21.75">
      <c r="A356" s="3">
        <v>232</v>
      </c>
      <c r="B356" s="4" t="s">
        <v>383</v>
      </c>
      <c r="C356" s="4" t="s">
        <v>385</v>
      </c>
      <c r="D356" s="3">
        <v>100</v>
      </c>
      <c r="E356" s="3">
        <v>9.3</v>
      </c>
      <c r="F356" s="3">
        <v>75</v>
      </c>
      <c r="G356" s="4" t="s">
        <v>324</v>
      </c>
      <c r="H356" s="3" t="b">
        <v>1</v>
      </c>
      <c r="I356" s="3">
        <v>7</v>
      </c>
      <c r="J356" s="3">
        <v>7</v>
      </c>
      <c r="K356" s="3">
        <v>11.87</v>
      </c>
      <c r="L356" s="3">
        <v>118</v>
      </c>
      <c r="M356" s="3">
        <v>56.9</v>
      </c>
      <c r="N356" s="3">
        <v>3.15</v>
      </c>
      <c r="O356" s="25">
        <v>2.19</v>
      </c>
      <c r="P356" s="32">
        <v>17</v>
      </c>
      <c r="Q356" s="3">
        <v>10</v>
      </c>
      <c r="R356" s="3">
        <v>10</v>
      </c>
      <c r="S356" s="3">
        <v>5</v>
      </c>
      <c r="U356" s="3">
        <v>3.06</v>
      </c>
      <c r="V356" s="3">
        <v>1.83</v>
      </c>
    </row>
    <row r="357" spans="1:22" ht="21.75">
      <c r="A357" s="3">
        <v>233</v>
      </c>
      <c r="B357" s="4" t="s">
        <v>383</v>
      </c>
      <c r="C357" s="4" t="s">
        <v>385</v>
      </c>
      <c r="D357" s="3">
        <v>100</v>
      </c>
      <c r="E357" s="3">
        <v>13</v>
      </c>
      <c r="F357" s="3">
        <v>75</v>
      </c>
      <c r="G357" s="4" t="s">
        <v>323</v>
      </c>
      <c r="H357" s="3" t="b">
        <v>1</v>
      </c>
      <c r="I357" s="3">
        <v>10</v>
      </c>
      <c r="J357" s="3">
        <v>10</v>
      </c>
      <c r="K357" s="3">
        <v>16.5</v>
      </c>
      <c r="L357" s="3">
        <v>159</v>
      </c>
      <c r="M357" s="3">
        <v>76.1</v>
      </c>
      <c r="N357" s="3">
        <v>3.11</v>
      </c>
      <c r="O357" s="25">
        <v>2.15</v>
      </c>
      <c r="P357" s="32">
        <v>23.3</v>
      </c>
      <c r="Q357" s="3">
        <v>13.7</v>
      </c>
      <c r="R357" s="3">
        <v>10</v>
      </c>
      <c r="S357" s="3">
        <v>7</v>
      </c>
      <c r="U357" s="3">
        <v>3.17</v>
      </c>
      <c r="V357" s="3">
        <v>1.94</v>
      </c>
    </row>
    <row r="358" spans="1:22" ht="21.75">
      <c r="A358" s="3">
        <v>234</v>
      </c>
      <c r="B358" s="4" t="s">
        <v>383</v>
      </c>
      <c r="C358" s="4" t="s">
        <v>385</v>
      </c>
      <c r="D358" s="3">
        <v>125</v>
      </c>
      <c r="E358" s="3">
        <v>10.7</v>
      </c>
      <c r="F358" s="3">
        <v>75</v>
      </c>
      <c r="G358" s="4" t="s">
        <v>325</v>
      </c>
      <c r="H358" s="3" t="b">
        <v>1</v>
      </c>
      <c r="I358" s="3">
        <v>7</v>
      </c>
      <c r="J358" s="3">
        <v>7</v>
      </c>
      <c r="K358" s="3">
        <v>13.62</v>
      </c>
      <c r="L358" s="3">
        <v>219</v>
      </c>
      <c r="M358" s="3">
        <v>60.4</v>
      </c>
      <c r="N358" s="3">
        <v>4.01</v>
      </c>
      <c r="O358" s="25">
        <v>2.11</v>
      </c>
      <c r="P358" s="32">
        <v>26.1</v>
      </c>
      <c r="Q358" s="3">
        <v>10.3</v>
      </c>
      <c r="R358" s="3">
        <v>10</v>
      </c>
      <c r="S358" s="3">
        <v>5</v>
      </c>
      <c r="U358" s="3">
        <v>4.1</v>
      </c>
      <c r="V358" s="3">
        <v>1.64</v>
      </c>
    </row>
    <row r="359" spans="1:22" ht="21.75">
      <c r="A359" s="3">
        <v>235</v>
      </c>
      <c r="B359" s="4" t="s">
        <v>383</v>
      </c>
      <c r="C359" s="4" t="s">
        <v>385</v>
      </c>
      <c r="D359" s="3">
        <v>125</v>
      </c>
      <c r="E359" s="3">
        <v>14.9</v>
      </c>
      <c r="F359" s="3">
        <v>75</v>
      </c>
      <c r="G359" s="4" t="s">
        <v>326</v>
      </c>
      <c r="H359" s="3" t="b">
        <v>1</v>
      </c>
      <c r="I359" s="3">
        <v>10</v>
      </c>
      <c r="J359" s="3">
        <v>10</v>
      </c>
      <c r="K359" s="3">
        <v>19</v>
      </c>
      <c r="L359" s="3">
        <v>299</v>
      </c>
      <c r="M359" s="3">
        <v>80.8</v>
      </c>
      <c r="N359" s="3">
        <v>3.96</v>
      </c>
      <c r="O359" s="25">
        <v>2.06</v>
      </c>
      <c r="P359" s="32">
        <v>36.1</v>
      </c>
      <c r="Q359" s="3">
        <v>14.1</v>
      </c>
      <c r="R359" s="3">
        <v>10</v>
      </c>
      <c r="S359" s="3">
        <v>7</v>
      </c>
      <c r="U359" s="3">
        <v>4.22</v>
      </c>
      <c r="V359" s="3">
        <v>1.75</v>
      </c>
    </row>
    <row r="360" spans="1:22" ht="21.75">
      <c r="A360" s="3">
        <v>236</v>
      </c>
      <c r="B360" s="4" t="s">
        <v>383</v>
      </c>
      <c r="C360" s="4" t="s">
        <v>385</v>
      </c>
      <c r="D360" s="3">
        <v>125</v>
      </c>
      <c r="E360" s="3">
        <v>19.1</v>
      </c>
      <c r="F360" s="3">
        <v>75</v>
      </c>
      <c r="G360" s="4" t="s">
        <v>327</v>
      </c>
      <c r="H360" s="3" t="b">
        <v>1</v>
      </c>
      <c r="I360" s="3">
        <v>13</v>
      </c>
      <c r="J360" s="3">
        <v>13</v>
      </c>
      <c r="K360" s="3">
        <v>24.31</v>
      </c>
      <c r="L360" s="3">
        <v>376</v>
      </c>
      <c r="M360" s="3">
        <v>101</v>
      </c>
      <c r="N360" s="3">
        <v>3.93</v>
      </c>
      <c r="O360" s="25">
        <v>2.04</v>
      </c>
      <c r="P360" s="32">
        <v>46.1</v>
      </c>
      <c r="Q360" s="3">
        <v>17.9</v>
      </c>
      <c r="R360" s="3">
        <v>10</v>
      </c>
      <c r="S360" s="3">
        <v>7</v>
      </c>
      <c r="U360" s="3">
        <v>4.35</v>
      </c>
      <c r="V360" s="3">
        <v>1.87</v>
      </c>
    </row>
    <row r="361" spans="1:22" ht="21.75">
      <c r="A361" s="3">
        <v>237</v>
      </c>
      <c r="B361" s="4" t="s">
        <v>383</v>
      </c>
      <c r="C361" s="4" t="s">
        <v>385</v>
      </c>
      <c r="D361" s="3">
        <v>125</v>
      </c>
      <c r="E361" s="3">
        <v>16.1</v>
      </c>
      <c r="F361" s="3">
        <v>90</v>
      </c>
      <c r="G361" s="4" t="s">
        <v>328</v>
      </c>
      <c r="H361" s="3" t="b">
        <v>1</v>
      </c>
      <c r="I361" s="3">
        <v>10</v>
      </c>
      <c r="J361" s="3">
        <v>10</v>
      </c>
      <c r="K361" s="3">
        <v>20.5</v>
      </c>
      <c r="L361" s="3">
        <v>318</v>
      </c>
      <c r="M361" s="3">
        <v>138</v>
      </c>
      <c r="N361" s="3">
        <v>3.94</v>
      </c>
      <c r="O361" s="25">
        <v>2.59</v>
      </c>
      <c r="P361" s="32">
        <v>37.2</v>
      </c>
      <c r="Q361" s="3">
        <v>20.3</v>
      </c>
      <c r="R361" s="3">
        <v>10</v>
      </c>
      <c r="S361" s="3">
        <v>7</v>
      </c>
      <c r="U361" s="3">
        <v>3.95</v>
      </c>
      <c r="V361" s="3">
        <v>2.22</v>
      </c>
    </row>
    <row r="362" spans="1:22" ht="21.75">
      <c r="A362" s="3">
        <v>238</v>
      </c>
      <c r="B362" s="4" t="s">
        <v>383</v>
      </c>
      <c r="C362" s="4" t="s">
        <v>385</v>
      </c>
      <c r="D362" s="3">
        <v>125</v>
      </c>
      <c r="E362" s="3">
        <v>20.6</v>
      </c>
      <c r="F362" s="3">
        <v>90</v>
      </c>
      <c r="G362" s="4" t="s">
        <v>329</v>
      </c>
      <c r="H362" s="3" t="b">
        <v>1</v>
      </c>
      <c r="I362" s="3">
        <v>13</v>
      </c>
      <c r="J362" s="3">
        <v>13</v>
      </c>
      <c r="K362" s="3">
        <v>26.26</v>
      </c>
      <c r="L362" s="3">
        <v>401</v>
      </c>
      <c r="M362" s="3">
        <v>173</v>
      </c>
      <c r="N362" s="3">
        <v>3.91</v>
      </c>
      <c r="O362" s="25">
        <v>2.57</v>
      </c>
      <c r="P362" s="32">
        <v>47.5</v>
      </c>
      <c r="Q362" s="3">
        <v>25.9</v>
      </c>
      <c r="R362" s="3">
        <v>10</v>
      </c>
      <c r="S362" s="3">
        <v>7</v>
      </c>
      <c r="U362" s="3">
        <v>4.07</v>
      </c>
      <c r="V362" s="3">
        <v>2.34</v>
      </c>
    </row>
    <row r="363" spans="1:22" ht="21.75">
      <c r="A363" s="3">
        <v>239</v>
      </c>
      <c r="B363" s="4" t="s">
        <v>383</v>
      </c>
      <c r="C363" s="4" t="s">
        <v>385</v>
      </c>
      <c r="D363" s="3">
        <v>150</v>
      </c>
      <c r="E363" s="3">
        <v>16.4</v>
      </c>
      <c r="F363" s="3">
        <v>90</v>
      </c>
      <c r="G363" s="4" t="s">
        <v>333</v>
      </c>
      <c r="H363" s="3" t="b">
        <v>1</v>
      </c>
      <c r="I363" s="3">
        <v>9</v>
      </c>
      <c r="J363" s="3">
        <v>9</v>
      </c>
      <c r="K363" s="3">
        <v>20.94</v>
      </c>
      <c r="L363" s="3">
        <v>485</v>
      </c>
      <c r="M363" s="3">
        <v>133</v>
      </c>
      <c r="N363" s="3">
        <v>4.81</v>
      </c>
      <c r="O363" s="25">
        <v>2.52</v>
      </c>
      <c r="P363" s="32">
        <v>48.2</v>
      </c>
      <c r="Q363" s="3">
        <v>19</v>
      </c>
      <c r="R363" s="3">
        <v>12</v>
      </c>
      <c r="S363" s="3">
        <v>6</v>
      </c>
      <c r="U363" s="3">
        <v>4.95</v>
      </c>
      <c r="V363" s="3">
        <v>1.99</v>
      </c>
    </row>
    <row r="364" spans="1:22" ht="21.75">
      <c r="A364" s="3">
        <v>240</v>
      </c>
      <c r="B364" s="4" t="s">
        <v>383</v>
      </c>
      <c r="C364" s="4" t="s">
        <v>385</v>
      </c>
      <c r="D364" s="3">
        <v>150</v>
      </c>
      <c r="E364" s="3">
        <v>21.5</v>
      </c>
      <c r="F364" s="3">
        <v>90</v>
      </c>
      <c r="G364" s="4" t="s">
        <v>334</v>
      </c>
      <c r="H364" s="3" t="b">
        <v>1</v>
      </c>
      <c r="I364" s="3">
        <v>12</v>
      </c>
      <c r="J364" s="3">
        <v>12</v>
      </c>
      <c r="K364" s="3">
        <v>27.36</v>
      </c>
      <c r="L364" s="3">
        <v>619</v>
      </c>
      <c r="M364" s="3">
        <v>167</v>
      </c>
      <c r="N364" s="3">
        <v>4.76</v>
      </c>
      <c r="O364" s="25">
        <v>2.47</v>
      </c>
      <c r="P364" s="32">
        <v>62.3</v>
      </c>
      <c r="Q364" s="3">
        <v>24.3</v>
      </c>
      <c r="R364" s="3">
        <v>12</v>
      </c>
      <c r="S364" s="3">
        <v>8.5</v>
      </c>
      <c r="U364" s="3">
        <v>5.07</v>
      </c>
      <c r="V364" s="3">
        <v>2.1</v>
      </c>
    </row>
    <row r="365" spans="1:22" ht="21.75">
      <c r="A365" s="3">
        <v>241</v>
      </c>
      <c r="B365" s="4" t="s">
        <v>383</v>
      </c>
      <c r="C365" s="4" t="s">
        <v>385</v>
      </c>
      <c r="D365" s="3">
        <v>150</v>
      </c>
      <c r="E365" s="3">
        <v>17.1</v>
      </c>
      <c r="F365" s="3">
        <v>100</v>
      </c>
      <c r="G365" s="4" t="s">
        <v>330</v>
      </c>
      <c r="H365" s="3" t="b">
        <v>1</v>
      </c>
      <c r="I365" s="3">
        <v>9</v>
      </c>
      <c r="J365" s="3">
        <v>9</v>
      </c>
      <c r="K365" s="3">
        <v>21.84</v>
      </c>
      <c r="L365" s="3">
        <v>502</v>
      </c>
      <c r="M365" s="3">
        <v>181</v>
      </c>
      <c r="N365" s="3">
        <v>4.79</v>
      </c>
      <c r="O365" s="25">
        <v>2.88</v>
      </c>
      <c r="P365" s="32">
        <v>49.1</v>
      </c>
      <c r="Q365" s="3">
        <v>23.5</v>
      </c>
      <c r="R365" s="3">
        <v>12</v>
      </c>
      <c r="S365" s="3">
        <v>6</v>
      </c>
      <c r="U365" s="3">
        <v>4.76</v>
      </c>
      <c r="V365" s="3">
        <v>2.3</v>
      </c>
    </row>
    <row r="366" spans="1:22" ht="21.75">
      <c r="A366" s="3">
        <v>242</v>
      </c>
      <c r="B366" s="4" t="s">
        <v>383</v>
      </c>
      <c r="C366" s="4" t="s">
        <v>385</v>
      </c>
      <c r="D366" s="3">
        <v>150</v>
      </c>
      <c r="E366" s="3">
        <v>22.4</v>
      </c>
      <c r="F366" s="3">
        <v>100</v>
      </c>
      <c r="G366" s="4" t="s">
        <v>331</v>
      </c>
      <c r="H366" s="3" t="b">
        <v>1</v>
      </c>
      <c r="I366" s="3">
        <v>12</v>
      </c>
      <c r="J366" s="3">
        <v>12</v>
      </c>
      <c r="K366" s="3">
        <v>28.56</v>
      </c>
      <c r="L366" s="3">
        <v>642</v>
      </c>
      <c r="M366" s="3">
        <v>228</v>
      </c>
      <c r="N366" s="3">
        <v>4.74</v>
      </c>
      <c r="O366" s="25">
        <v>2.83</v>
      </c>
      <c r="P366" s="32">
        <v>63.4</v>
      </c>
      <c r="Q366" s="3">
        <v>30.1</v>
      </c>
      <c r="R366" s="3">
        <v>12</v>
      </c>
      <c r="S366" s="3">
        <v>8.5</v>
      </c>
      <c r="U366" s="3">
        <v>4.88</v>
      </c>
      <c r="V366" s="3">
        <v>2.41</v>
      </c>
    </row>
    <row r="367" spans="1:22" ht="21.75">
      <c r="A367" s="3">
        <v>243</v>
      </c>
      <c r="B367" s="4" t="s">
        <v>383</v>
      </c>
      <c r="C367" s="4" t="s">
        <v>385</v>
      </c>
      <c r="D367" s="3">
        <v>150</v>
      </c>
      <c r="E367" s="3">
        <v>27.7</v>
      </c>
      <c r="F367" s="3">
        <v>100</v>
      </c>
      <c r="G367" s="4" t="s">
        <v>332</v>
      </c>
      <c r="H367" s="3" t="b">
        <v>1</v>
      </c>
      <c r="I367" s="3">
        <v>15</v>
      </c>
      <c r="J367" s="3">
        <v>15</v>
      </c>
      <c r="K367" s="3">
        <v>35.25</v>
      </c>
      <c r="L367" s="3">
        <v>782</v>
      </c>
      <c r="M367" s="3">
        <v>276</v>
      </c>
      <c r="N367" s="3">
        <v>4.71</v>
      </c>
      <c r="O367" s="25">
        <v>2.8</v>
      </c>
      <c r="P367" s="32">
        <v>78.2</v>
      </c>
      <c r="Q367" s="3">
        <v>37</v>
      </c>
      <c r="R367" s="3">
        <v>12</v>
      </c>
      <c r="S367" s="3">
        <v>8.5</v>
      </c>
      <c r="U367" s="3">
        <v>5</v>
      </c>
      <c r="V367" s="3">
        <v>2.53</v>
      </c>
    </row>
    <row r="368" spans="1:22" ht="21.75">
      <c r="A368" s="3">
        <v>244</v>
      </c>
      <c r="B368" s="4" t="s">
        <v>386</v>
      </c>
      <c r="C368" s="4" t="s">
        <v>387</v>
      </c>
      <c r="D368" s="3">
        <v>25</v>
      </c>
      <c r="E368" s="3">
        <v>2.2</v>
      </c>
      <c r="F368" s="3">
        <v>25</v>
      </c>
      <c r="G368" s="4" t="s">
        <v>128</v>
      </c>
      <c r="H368" s="3" t="b">
        <v>1</v>
      </c>
      <c r="I368" s="3">
        <v>3</v>
      </c>
      <c r="J368" s="3">
        <v>3</v>
      </c>
      <c r="K368" s="3">
        <v>2.854</v>
      </c>
      <c r="L368" s="3">
        <v>1.6</v>
      </c>
      <c r="M368" s="3">
        <v>3.75</v>
      </c>
      <c r="N368" s="3">
        <v>0.7473382</v>
      </c>
      <c r="O368" s="25">
        <v>1.146157</v>
      </c>
      <c r="P368" s="32">
        <v>0.9</v>
      </c>
      <c r="Q368" s="3">
        <v>1.414804</v>
      </c>
      <c r="R368" s="3">
        <v>4</v>
      </c>
      <c r="S368" s="3">
        <v>2</v>
      </c>
      <c r="U368" s="3">
        <v>0.719</v>
      </c>
      <c r="V368" s="3">
        <v>2.65</v>
      </c>
    </row>
    <row r="369" spans="1:22" ht="21.75">
      <c r="A369" s="3">
        <v>245</v>
      </c>
      <c r="B369" s="4" t="s">
        <v>386</v>
      </c>
      <c r="C369" s="4" t="s">
        <v>387</v>
      </c>
      <c r="D369" s="3">
        <v>25</v>
      </c>
      <c r="E369" s="3">
        <v>3.5</v>
      </c>
      <c r="F369" s="3">
        <v>25</v>
      </c>
      <c r="G369" s="4" t="s">
        <v>129</v>
      </c>
      <c r="H369" s="3" t="b">
        <v>1</v>
      </c>
      <c r="I369" s="3">
        <v>5</v>
      </c>
      <c r="J369" s="3">
        <v>5</v>
      </c>
      <c r="K369" s="3">
        <v>4.52</v>
      </c>
      <c r="L369" s="3">
        <v>2.4</v>
      </c>
      <c r="M369" s="3">
        <v>7.38</v>
      </c>
      <c r="N369" s="3">
        <v>0.7286792</v>
      </c>
      <c r="O369" s="25">
        <v>1.278074</v>
      </c>
      <c r="P369" s="32">
        <v>1.41</v>
      </c>
      <c r="Q369" s="3">
        <v>2.684836</v>
      </c>
      <c r="R369" s="3">
        <v>3.5</v>
      </c>
      <c r="S369" s="3">
        <v>2.4</v>
      </c>
      <c r="U369" s="3">
        <v>0.8</v>
      </c>
      <c r="V369" s="3">
        <v>2.75</v>
      </c>
    </row>
    <row r="370" spans="1:22" ht="21.75">
      <c r="A370" s="3">
        <v>246</v>
      </c>
      <c r="B370" s="4" t="s">
        <v>386</v>
      </c>
      <c r="C370" s="4" t="s">
        <v>387</v>
      </c>
      <c r="D370" s="3">
        <v>30</v>
      </c>
      <c r="E370" s="3">
        <v>2.7</v>
      </c>
      <c r="F370" s="3">
        <v>30</v>
      </c>
      <c r="G370" s="4" t="s">
        <v>130</v>
      </c>
      <c r="H370" s="3" t="b">
        <v>1</v>
      </c>
      <c r="I370" s="3">
        <v>3</v>
      </c>
      <c r="J370" s="3">
        <v>3</v>
      </c>
      <c r="K370" s="3">
        <v>3.454</v>
      </c>
      <c r="L370" s="3">
        <v>2.8</v>
      </c>
      <c r="M370" s="3">
        <v>6.25</v>
      </c>
      <c r="N370" s="3">
        <v>0.9067718</v>
      </c>
      <c r="O370" s="25">
        <v>1.345463</v>
      </c>
      <c r="P370" s="32">
        <v>1.32</v>
      </c>
      <c r="Q370" s="3">
        <v>1.984977</v>
      </c>
      <c r="R370" s="3">
        <v>4</v>
      </c>
      <c r="S370" s="3">
        <v>2</v>
      </c>
      <c r="U370" s="3">
        <v>0.844</v>
      </c>
      <c r="V370" s="3">
        <v>3.15</v>
      </c>
    </row>
    <row r="371" spans="1:22" ht="21.75">
      <c r="A371" s="3">
        <v>247</v>
      </c>
      <c r="B371" s="4" t="s">
        <v>386</v>
      </c>
      <c r="C371" s="4" t="s">
        <v>387</v>
      </c>
      <c r="D371" s="3">
        <v>30</v>
      </c>
      <c r="E371" s="3">
        <v>4.4</v>
      </c>
      <c r="F371" s="3">
        <v>30</v>
      </c>
      <c r="G371" s="4" t="s">
        <v>131</v>
      </c>
      <c r="H371" s="3" t="b">
        <v>1</v>
      </c>
      <c r="I371" s="3">
        <v>5</v>
      </c>
      <c r="J371" s="3">
        <v>5</v>
      </c>
      <c r="K371" s="3">
        <v>5.56</v>
      </c>
      <c r="L371" s="3">
        <v>4.3</v>
      </c>
      <c r="M371" s="3">
        <v>11.93</v>
      </c>
      <c r="N371" s="3">
        <v>0.8814638</v>
      </c>
      <c r="O371" s="25">
        <v>1.464882</v>
      </c>
      <c r="P371" s="32">
        <v>2.08</v>
      </c>
      <c r="Q371" s="3">
        <v>3.671103</v>
      </c>
      <c r="R371" s="3">
        <v>5</v>
      </c>
      <c r="S371" s="3">
        <v>2.4</v>
      </c>
      <c r="U371" s="3">
        <v>0.92</v>
      </c>
      <c r="V371" s="3">
        <v>3.25</v>
      </c>
    </row>
    <row r="372" spans="1:22" ht="21.75">
      <c r="A372" s="3">
        <v>248</v>
      </c>
      <c r="B372" s="4" t="s">
        <v>386</v>
      </c>
      <c r="C372" s="4" t="s">
        <v>387</v>
      </c>
      <c r="D372" s="3">
        <v>40</v>
      </c>
      <c r="E372" s="3">
        <v>3.7</v>
      </c>
      <c r="F372" s="3">
        <v>40</v>
      </c>
      <c r="G372" s="4" t="s">
        <v>132</v>
      </c>
      <c r="H372" s="3" t="b">
        <v>1</v>
      </c>
      <c r="I372" s="3">
        <v>3</v>
      </c>
      <c r="J372" s="3">
        <v>3</v>
      </c>
      <c r="K372" s="3">
        <v>4.672</v>
      </c>
      <c r="L372" s="3">
        <v>7.1</v>
      </c>
      <c r="M372" s="3">
        <v>14.24</v>
      </c>
      <c r="N372" s="3">
        <v>1.22928</v>
      </c>
      <c r="O372" s="25">
        <v>1.746061</v>
      </c>
      <c r="P372" s="32">
        <v>2.43</v>
      </c>
      <c r="Q372" s="3">
        <v>3.432209</v>
      </c>
      <c r="R372" s="3">
        <v>4.5</v>
      </c>
      <c r="S372" s="3">
        <v>2</v>
      </c>
      <c r="U372" s="3">
        <v>1.09</v>
      </c>
      <c r="V372" s="3">
        <v>4.15</v>
      </c>
    </row>
    <row r="373" spans="1:22" ht="21.75">
      <c r="A373" s="3">
        <v>249</v>
      </c>
      <c r="B373" s="4" t="s">
        <v>386</v>
      </c>
      <c r="C373" s="4" t="s">
        <v>387</v>
      </c>
      <c r="D373" s="3">
        <v>40</v>
      </c>
      <c r="E373" s="3">
        <v>4.8</v>
      </c>
      <c r="F373" s="3">
        <v>40</v>
      </c>
      <c r="G373" s="4" t="s">
        <v>133</v>
      </c>
      <c r="H373" s="3" t="b">
        <v>1</v>
      </c>
      <c r="I373" s="3">
        <v>4</v>
      </c>
      <c r="J373" s="3">
        <v>4</v>
      </c>
      <c r="K373" s="3">
        <v>6.16</v>
      </c>
      <c r="L373" s="3">
        <v>8.9</v>
      </c>
      <c r="M373" s="3">
        <v>19.67</v>
      </c>
      <c r="N373" s="3">
        <v>1.204699</v>
      </c>
      <c r="O373" s="25">
        <v>1.787092</v>
      </c>
      <c r="P373" s="32">
        <v>3.1</v>
      </c>
      <c r="Q373" s="3">
        <v>4.684092</v>
      </c>
      <c r="R373" s="3">
        <v>6</v>
      </c>
      <c r="S373" s="3">
        <v>2.4</v>
      </c>
      <c r="U373" s="3">
        <v>1.12</v>
      </c>
      <c r="V373" s="3">
        <v>4.2</v>
      </c>
    </row>
    <row r="374" spans="1:22" ht="21.75">
      <c r="A374" s="3">
        <v>250</v>
      </c>
      <c r="B374" s="4" t="s">
        <v>386</v>
      </c>
      <c r="C374" s="4" t="s">
        <v>387</v>
      </c>
      <c r="D374" s="3">
        <v>40</v>
      </c>
      <c r="E374" s="3">
        <v>5.9</v>
      </c>
      <c r="F374" s="3">
        <v>40</v>
      </c>
      <c r="G374" s="4" t="s">
        <v>134</v>
      </c>
      <c r="H374" s="3" t="b">
        <v>1</v>
      </c>
      <c r="I374" s="3">
        <v>5</v>
      </c>
      <c r="J374" s="3">
        <v>5</v>
      </c>
      <c r="K374" s="3">
        <v>7.51</v>
      </c>
      <c r="L374" s="3">
        <v>10.8</v>
      </c>
      <c r="M374" s="3">
        <v>25.98</v>
      </c>
      <c r="N374" s="3">
        <v>1.201419</v>
      </c>
      <c r="O374" s="25">
        <v>1.860056</v>
      </c>
      <c r="P374" s="32">
        <v>3.83</v>
      </c>
      <c r="Q374" s="3">
        <v>6.113686</v>
      </c>
      <c r="R374" s="3">
        <v>4.5</v>
      </c>
      <c r="S374" s="3">
        <v>3</v>
      </c>
      <c r="U374" s="3">
        <v>1.17</v>
      </c>
      <c r="V374" s="3">
        <v>4.25</v>
      </c>
    </row>
    <row r="375" spans="1:22" ht="21.75">
      <c r="A375" s="3">
        <v>251</v>
      </c>
      <c r="B375" s="4" t="s">
        <v>386</v>
      </c>
      <c r="C375" s="4" t="s">
        <v>387</v>
      </c>
      <c r="D375" s="3">
        <v>40</v>
      </c>
      <c r="E375" s="3">
        <v>7</v>
      </c>
      <c r="F375" s="3">
        <v>40</v>
      </c>
      <c r="G375" s="4" t="s">
        <v>135</v>
      </c>
      <c r="H375" s="3" t="b">
        <v>1</v>
      </c>
      <c r="I375" s="3">
        <v>6</v>
      </c>
      <c r="J375" s="3">
        <v>6</v>
      </c>
      <c r="K375" s="3">
        <v>8.96</v>
      </c>
      <c r="L375" s="3">
        <v>12.6</v>
      </c>
      <c r="M375" s="3">
        <v>32.78</v>
      </c>
      <c r="N375" s="3">
        <v>1.186795</v>
      </c>
      <c r="O375" s="25">
        <v>1.912716</v>
      </c>
      <c r="P375" s="32">
        <v>4.51</v>
      </c>
      <c r="Q375" s="3">
        <v>7.623256</v>
      </c>
      <c r="R375" s="3">
        <v>6</v>
      </c>
      <c r="S375" s="3">
        <v>2.4</v>
      </c>
      <c r="U375" s="3">
        <v>1.2</v>
      </c>
      <c r="V375" s="3">
        <v>4.3</v>
      </c>
    </row>
    <row r="376" spans="1:22" ht="21.75">
      <c r="A376" s="3">
        <v>252</v>
      </c>
      <c r="B376" s="4" t="s">
        <v>386</v>
      </c>
      <c r="C376" s="4" t="s">
        <v>387</v>
      </c>
      <c r="D376" s="3">
        <v>45</v>
      </c>
      <c r="E376" s="3">
        <v>5.5</v>
      </c>
      <c r="F376" s="3">
        <v>45</v>
      </c>
      <c r="G376" s="4" t="s">
        <v>136</v>
      </c>
      <c r="H376" s="3" t="b">
        <v>1</v>
      </c>
      <c r="I376" s="3">
        <v>4</v>
      </c>
      <c r="J376" s="3">
        <v>4</v>
      </c>
      <c r="K376" s="3">
        <v>6.984</v>
      </c>
      <c r="L376" s="3">
        <v>13</v>
      </c>
      <c r="M376" s="3">
        <v>27.48</v>
      </c>
      <c r="N376" s="3">
        <v>1.36433</v>
      </c>
      <c r="O376" s="25">
        <v>1.983683</v>
      </c>
      <c r="P376" s="32">
        <v>3.99</v>
      </c>
      <c r="Q376" s="3">
        <v>5.847239</v>
      </c>
      <c r="R376" s="3">
        <v>6.5</v>
      </c>
      <c r="S376" s="3">
        <v>3</v>
      </c>
      <c r="U376" s="3">
        <v>1.24</v>
      </c>
      <c r="V376" s="3">
        <v>4.7</v>
      </c>
    </row>
    <row r="377" spans="1:22" ht="21.75">
      <c r="A377" s="3">
        <v>253</v>
      </c>
      <c r="B377" s="4" t="s">
        <v>386</v>
      </c>
      <c r="C377" s="4" t="s">
        <v>387</v>
      </c>
      <c r="D377" s="3">
        <v>45</v>
      </c>
      <c r="E377" s="3">
        <v>6.8</v>
      </c>
      <c r="F377" s="3">
        <v>45</v>
      </c>
      <c r="G377" s="4" t="s">
        <v>137</v>
      </c>
      <c r="H377" s="3" t="b">
        <v>1</v>
      </c>
      <c r="I377" s="3">
        <v>5</v>
      </c>
      <c r="J377" s="3">
        <v>5</v>
      </c>
      <c r="K377" s="3">
        <v>8.604</v>
      </c>
      <c r="L377" s="3">
        <v>15.8</v>
      </c>
      <c r="M377" s="3">
        <v>35.96</v>
      </c>
      <c r="N377" s="3">
        <v>1.355979</v>
      </c>
      <c r="O377" s="25">
        <v>2.044402</v>
      </c>
      <c r="P377" s="32">
        <v>4.91</v>
      </c>
      <c r="Q377" s="3">
        <v>7.570759</v>
      </c>
      <c r="R377" s="3">
        <v>6.5</v>
      </c>
      <c r="S377" s="3">
        <v>3</v>
      </c>
      <c r="U377" s="3">
        <v>1.28</v>
      </c>
      <c r="V377" s="3">
        <v>4.75</v>
      </c>
    </row>
    <row r="378" spans="1:22" ht="21.75">
      <c r="A378" s="3">
        <v>254</v>
      </c>
      <c r="B378" s="4" t="s">
        <v>386</v>
      </c>
      <c r="C378" s="4" t="s">
        <v>387</v>
      </c>
      <c r="D378" s="3">
        <v>50</v>
      </c>
      <c r="E378" s="3">
        <v>4.7</v>
      </c>
      <c r="F378" s="3">
        <v>50</v>
      </c>
      <c r="G378" s="4" t="s">
        <v>138</v>
      </c>
      <c r="H378" s="3" t="b">
        <v>1</v>
      </c>
      <c r="I378" s="3">
        <v>3</v>
      </c>
      <c r="J378" s="3">
        <v>3</v>
      </c>
      <c r="K378" s="3">
        <v>5.92</v>
      </c>
      <c r="L378" s="3">
        <v>13.7</v>
      </c>
      <c r="M378" s="3">
        <v>26.34</v>
      </c>
      <c r="N378" s="3">
        <v>1.522356</v>
      </c>
      <c r="O378" s="25">
        <v>2.109305</v>
      </c>
      <c r="P378" s="32">
        <v>3.72</v>
      </c>
      <c r="Q378" s="3">
        <v>5.114383</v>
      </c>
      <c r="R378" s="3">
        <v>7</v>
      </c>
      <c r="S378" s="3">
        <v>2.4</v>
      </c>
      <c r="U378" s="3">
        <v>1.31</v>
      </c>
      <c r="V378" s="3">
        <v>5.15</v>
      </c>
    </row>
    <row r="379" spans="1:22" ht="21.75">
      <c r="A379" s="3">
        <v>255</v>
      </c>
      <c r="B379" s="4" t="s">
        <v>386</v>
      </c>
      <c r="C379" s="4" t="s">
        <v>387</v>
      </c>
      <c r="D379" s="3">
        <v>50</v>
      </c>
      <c r="E379" s="3">
        <v>6.1</v>
      </c>
      <c r="F379" s="3">
        <v>50</v>
      </c>
      <c r="G379" s="4" t="s">
        <v>139</v>
      </c>
      <c r="H379" s="3" t="b">
        <v>1</v>
      </c>
      <c r="I379" s="3">
        <v>4</v>
      </c>
      <c r="J379" s="3">
        <v>4</v>
      </c>
      <c r="K379" s="3">
        <v>7.784</v>
      </c>
      <c r="L379" s="3">
        <v>18.1</v>
      </c>
      <c r="M379" s="3">
        <v>37.31</v>
      </c>
      <c r="N379" s="3">
        <v>1.52573</v>
      </c>
      <c r="O379" s="25">
        <v>2.189235</v>
      </c>
      <c r="P379" s="32">
        <v>4.99</v>
      </c>
      <c r="Q379" s="3">
        <v>7.174381</v>
      </c>
      <c r="R379" s="3">
        <v>6.5</v>
      </c>
      <c r="S379" s="3">
        <v>3</v>
      </c>
      <c r="U379" s="3">
        <v>1.37</v>
      </c>
      <c r="V379" s="3">
        <v>5.2</v>
      </c>
    </row>
    <row r="380" spans="1:22" ht="21.75">
      <c r="A380" s="3">
        <v>256</v>
      </c>
      <c r="B380" s="4" t="s">
        <v>386</v>
      </c>
      <c r="C380" s="4" t="s">
        <v>387</v>
      </c>
      <c r="D380" s="3">
        <v>50</v>
      </c>
      <c r="E380" s="3">
        <v>7.5</v>
      </c>
      <c r="F380" s="3">
        <v>50</v>
      </c>
      <c r="G380" s="4" t="s">
        <v>140</v>
      </c>
      <c r="H380" s="3" t="b">
        <v>1</v>
      </c>
      <c r="I380" s="3">
        <v>5</v>
      </c>
      <c r="J380" s="3">
        <v>5</v>
      </c>
      <c r="K380" s="3">
        <v>9.604</v>
      </c>
      <c r="L380" s="3">
        <v>22.2</v>
      </c>
      <c r="M380" s="3">
        <v>48.66</v>
      </c>
      <c r="N380" s="3">
        <v>1.520374</v>
      </c>
      <c r="O380" s="25">
        <v>2.25103</v>
      </c>
      <c r="P380" s="32">
        <v>6.18</v>
      </c>
      <c r="Q380" s="3">
        <v>9.269483</v>
      </c>
      <c r="R380" s="3">
        <v>6.5</v>
      </c>
      <c r="S380" s="3">
        <v>3</v>
      </c>
      <c r="U380" s="3">
        <v>1.41</v>
      </c>
      <c r="V380" s="3">
        <v>5.25</v>
      </c>
    </row>
    <row r="381" spans="1:22" ht="21.75">
      <c r="A381" s="3">
        <v>257</v>
      </c>
      <c r="B381" s="4" t="s">
        <v>386</v>
      </c>
      <c r="C381" s="4" t="s">
        <v>387</v>
      </c>
      <c r="D381" s="3">
        <v>50</v>
      </c>
      <c r="E381" s="3">
        <v>8.8</v>
      </c>
      <c r="F381" s="3">
        <v>50</v>
      </c>
      <c r="G381" s="4" t="s">
        <v>141</v>
      </c>
      <c r="H381" s="3" t="b">
        <v>1</v>
      </c>
      <c r="I381" s="3">
        <v>6</v>
      </c>
      <c r="J381" s="3">
        <v>6</v>
      </c>
      <c r="K381" s="3">
        <v>11.288</v>
      </c>
      <c r="L381" s="3">
        <v>25.2</v>
      </c>
      <c r="M381" s="3">
        <v>59.38</v>
      </c>
      <c r="N381" s="3">
        <v>1.494142</v>
      </c>
      <c r="O381" s="25">
        <v>2.293482</v>
      </c>
      <c r="P381" s="32">
        <v>7.08</v>
      </c>
      <c r="Q381" s="3">
        <v>11.20293</v>
      </c>
      <c r="R381" s="3">
        <v>6.5</v>
      </c>
      <c r="S381" s="3">
        <v>4.5</v>
      </c>
      <c r="U381" s="3">
        <v>1.44</v>
      </c>
      <c r="V381" s="3">
        <v>5.3</v>
      </c>
    </row>
    <row r="382" spans="1:22" ht="21.75">
      <c r="A382" s="3">
        <v>258</v>
      </c>
      <c r="B382" s="4" t="s">
        <v>386</v>
      </c>
      <c r="C382" s="4" t="s">
        <v>387</v>
      </c>
      <c r="D382" s="3">
        <v>60</v>
      </c>
      <c r="E382" s="3">
        <v>7.4</v>
      </c>
      <c r="F382" s="3">
        <v>60</v>
      </c>
      <c r="G382" s="4" t="s">
        <v>142</v>
      </c>
      <c r="H382" s="3" t="b">
        <v>1</v>
      </c>
      <c r="I382" s="3">
        <v>4</v>
      </c>
      <c r="J382" s="3">
        <v>4</v>
      </c>
      <c r="K382" s="3">
        <v>9.384</v>
      </c>
      <c r="L382" s="3">
        <v>32</v>
      </c>
      <c r="M382" s="3">
        <v>62.74</v>
      </c>
      <c r="N382" s="3">
        <v>1.846635</v>
      </c>
      <c r="O382" s="25">
        <v>2.585761</v>
      </c>
      <c r="P382" s="32">
        <v>7.29</v>
      </c>
      <c r="Q382" s="3">
        <v>10.11983</v>
      </c>
      <c r="R382" s="3">
        <v>6.5</v>
      </c>
      <c r="S382" s="3">
        <v>3</v>
      </c>
      <c r="U382" s="3">
        <v>1.61</v>
      </c>
      <c r="V382" s="3">
        <v>6.2</v>
      </c>
    </row>
    <row r="383" spans="1:22" ht="21.75">
      <c r="A383" s="3">
        <v>259</v>
      </c>
      <c r="B383" s="4" t="s">
        <v>386</v>
      </c>
      <c r="C383" s="4" t="s">
        <v>387</v>
      </c>
      <c r="D383" s="3">
        <v>60</v>
      </c>
      <c r="E383" s="3">
        <v>9.1</v>
      </c>
      <c r="F383" s="3">
        <v>60</v>
      </c>
      <c r="G383" s="4" t="s">
        <v>143</v>
      </c>
      <c r="H383" s="3" t="b">
        <v>1</v>
      </c>
      <c r="I383" s="3">
        <v>5</v>
      </c>
      <c r="J383" s="3">
        <v>5</v>
      </c>
      <c r="K383" s="3">
        <v>11.604</v>
      </c>
      <c r="L383" s="3">
        <v>39.2</v>
      </c>
      <c r="M383" s="3">
        <v>81.53</v>
      </c>
      <c r="N383" s="3">
        <v>1.837973</v>
      </c>
      <c r="O383" s="25">
        <v>2.650707</v>
      </c>
      <c r="P383" s="32">
        <v>9.03</v>
      </c>
      <c r="Q383" s="3">
        <v>13.04521</v>
      </c>
      <c r="R383" s="3">
        <v>6.5</v>
      </c>
      <c r="S383" s="3">
        <v>3</v>
      </c>
      <c r="U383" s="3">
        <v>1.66</v>
      </c>
      <c r="V383" s="3">
        <v>6.25</v>
      </c>
    </row>
    <row r="384" spans="1:22" ht="21.75">
      <c r="A384" s="3">
        <v>260</v>
      </c>
      <c r="B384" s="4" t="s">
        <v>386</v>
      </c>
      <c r="C384" s="4" t="s">
        <v>387</v>
      </c>
      <c r="D384" s="3">
        <v>65</v>
      </c>
      <c r="E384" s="3">
        <v>10</v>
      </c>
      <c r="F384" s="3">
        <v>65</v>
      </c>
      <c r="G384" s="4" t="s">
        <v>144</v>
      </c>
      <c r="H384" s="3" t="b">
        <v>1</v>
      </c>
      <c r="I384" s="3">
        <v>5</v>
      </c>
      <c r="J384" s="3">
        <v>5</v>
      </c>
      <c r="K384" s="3">
        <v>12.734</v>
      </c>
      <c r="L384" s="3">
        <v>50.6</v>
      </c>
      <c r="M384" s="3">
        <v>102.56</v>
      </c>
      <c r="N384" s="3">
        <v>1.993393</v>
      </c>
      <c r="O384" s="25">
        <v>2.83796</v>
      </c>
      <c r="P384" s="32">
        <v>10.7</v>
      </c>
      <c r="Q384" s="3">
        <v>15.19405</v>
      </c>
      <c r="R384" s="3">
        <v>8.5</v>
      </c>
      <c r="S384" s="3">
        <v>3</v>
      </c>
      <c r="U384" s="3">
        <v>1.77</v>
      </c>
      <c r="V384" s="3">
        <v>6.75</v>
      </c>
    </row>
    <row r="385" spans="1:22" ht="21.75">
      <c r="A385" s="3">
        <v>261</v>
      </c>
      <c r="B385" s="4" t="s">
        <v>386</v>
      </c>
      <c r="C385" s="4" t="s">
        <v>387</v>
      </c>
      <c r="D385" s="3">
        <v>65</v>
      </c>
      <c r="E385" s="3">
        <v>11.8</v>
      </c>
      <c r="F385" s="3">
        <v>65</v>
      </c>
      <c r="G385" s="4" t="s">
        <v>145</v>
      </c>
      <c r="H385" s="3" t="b">
        <v>1</v>
      </c>
      <c r="I385" s="3">
        <v>6</v>
      </c>
      <c r="J385" s="3">
        <v>6</v>
      </c>
      <c r="K385" s="3">
        <v>15.054</v>
      </c>
      <c r="L385" s="3">
        <v>58.8</v>
      </c>
      <c r="M385" s="3">
        <v>125.82</v>
      </c>
      <c r="N385" s="3">
        <v>1.976345</v>
      </c>
      <c r="O385" s="25">
        <v>2.891027</v>
      </c>
      <c r="P385" s="32">
        <v>12.54</v>
      </c>
      <c r="Q385" s="3">
        <v>18.50322</v>
      </c>
      <c r="R385" s="3">
        <v>8.5</v>
      </c>
      <c r="S385" s="3">
        <v>4</v>
      </c>
      <c r="U385" s="3">
        <v>1.81</v>
      </c>
      <c r="V385" s="3">
        <v>6.8</v>
      </c>
    </row>
    <row r="386" spans="1:22" ht="21.75">
      <c r="A386" s="3">
        <v>262</v>
      </c>
      <c r="B386" s="4" t="s">
        <v>386</v>
      </c>
      <c r="C386" s="4" t="s">
        <v>387</v>
      </c>
      <c r="D386" s="3">
        <v>65</v>
      </c>
      <c r="E386" s="3">
        <v>15.3</v>
      </c>
      <c r="F386" s="3">
        <v>65</v>
      </c>
      <c r="G386" s="4" t="s">
        <v>146</v>
      </c>
      <c r="H386" s="3" t="b">
        <v>1</v>
      </c>
      <c r="I386" s="3">
        <v>8</v>
      </c>
      <c r="J386" s="3">
        <v>8</v>
      </c>
      <c r="K386" s="3">
        <v>19.522</v>
      </c>
      <c r="L386" s="3">
        <v>73.6</v>
      </c>
      <c r="M386" s="3">
        <v>175.08</v>
      </c>
      <c r="N386" s="3">
        <v>1.941676</v>
      </c>
      <c r="O386" s="25">
        <v>2.994746</v>
      </c>
      <c r="P386" s="32">
        <v>15.93</v>
      </c>
      <c r="Q386" s="3">
        <v>25.37437</v>
      </c>
      <c r="R386" s="3">
        <v>8.5</v>
      </c>
      <c r="S386" s="3">
        <v>6</v>
      </c>
      <c r="U386" s="3">
        <v>1.88</v>
      </c>
      <c r="V386" s="3">
        <v>6.9</v>
      </c>
    </row>
    <row r="387" spans="1:22" ht="21.75">
      <c r="A387" s="3">
        <v>263</v>
      </c>
      <c r="B387" s="4" t="s">
        <v>386</v>
      </c>
      <c r="C387" s="4" t="s">
        <v>387</v>
      </c>
      <c r="D387" s="3">
        <v>70</v>
      </c>
      <c r="E387" s="3">
        <v>12.7</v>
      </c>
      <c r="F387" s="3">
        <v>70</v>
      </c>
      <c r="G387" s="4" t="s">
        <v>147</v>
      </c>
      <c r="H387" s="3" t="b">
        <v>1</v>
      </c>
      <c r="I387" s="3">
        <v>6</v>
      </c>
      <c r="J387" s="3">
        <v>6</v>
      </c>
      <c r="K387" s="3">
        <v>16.254</v>
      </c>
      <c r="L387" s="3">
        <v>74.2</v>
      </c>
      <c r="M387" s="3">
        <v>155.03</v>
      </c>
      <c r="N387" s="3">
        <v>2.136593</v>
      </c>
      <c r="O387" s="25">
        <v>3.088354</v>
      </c>
      <c r="P387" s="32">
        <v>14.64</v>
      </c>
      <c r="Q387" s="3">
        <v>21.23692</v>
      </c>
      <c r="R387" s="3">
        <v>8.5</v>
      </c>
      <c r="S387" s="3">
        <v>4</v>
      </c>
      <c r="U387" s="3">
        <v>1.93</v>
      </c>
      <c r="V387" s="3">
        <v>7.3</v>
      </c>
    </row>
    <row r="388" spans="1:22" ht="21.75">
      <c r="A388" s="3">
        <v>264</v>
      </c>
      <c r="B388" s="4" t="s">
        <v>386</v>
      </c>
      <c r="C388" s="4" t="s">
        <v>387</v>
      </c>
      <c r="D388" s="3">
        <v>75</v>
      </c>
      <c r="E388" s="3">
        <v>13.7</v>
      </c>
      <c r="F388" s="3">
        <v>75</v>
      </c>
      <c r="G388" s="4" t="s">
        <v>148</v>
      </c>
      <c r="H388" s="3" t="b">
        <v>1</v>
      </c>
      <c r="I388" s="3">
        <v>6</v>
      </c>
      <c r="J388" s="3">
        <v>6</v>
      </c>
      <c r="K388" s="3">
        <v>17.454</v>
      </c>
      <c r="L388" s="3">
        <v>92.2</v>
      </c>
      <c r="M388" s="3">
        <v>189.41</v>
      </c>
      <c r="N388" s="3">
        <v>2.29836</v>
      </c>
      <c r="O388" s="25">
        <v>3.294246</v>
      </c>
      <c r="P388" s="32">
        <v>16.95</v>
      </c>
      <c r="Q388" s="3">
        <v>24.28356</v>
      </c>
      <c r="R388" s="3">
        <v>8.5</v>
      </c>
      <c r="S388" s="3">
        <v>4</v>
      </c>
      <c r="U388" s="3">
        <v>2.06</v>
      </c>
      <c r="V388" s="3">
        <v>7.8</v>
      </c>
    </row>
    <row r="389" spans="1:22" ht="21.75">
      <c r="A389" s="3">
        <v>265</v>
      </c>
      <c r="B389" s="4" t="s">
        <v>386</v>
      </c>
      <c r="C389" s="4" t="s">
        <v>387</v>
      </c>
      <c r="D389" s="3">
        <v>75</v>
      </c>
      <c r="E389" s="3">
        <v>19.9</v>
      </c>
      <c r="F389" s="3">
        <v>75</v>
      </c>
      <c r="G389" s="4" t="s">
        <v>149</v>
      </c>
      <c r="H389" s="3" t="b">
        <v>1</v>
      </c>
      <c r="I389" s="3">
        <v>9</v>
      </c>
      <c r="J389" s="3">
        <v>9</v>
      </c>
      <c r="K389" s="3">
        <v>25.38</v>
      </c>
      <c r="L389" s="3">
        <v>128.8</v>
      </c>
      <c r="M389" s="3">
        <v>303.02</v>
      </c>
      <c r="N389" s="3">
        <v>2.252745</v>
      </c>
      <c r="O389" s="25">
        <v>3.455324</v>
      </c>
      <c r="P389" s="32">
        <v>24.17</v>
      </c>
      <c r="Q389" s="3">
        <v>38.11553</v>
      </c>
      <c r="R389" s="3">
        <v>8.5</v>
      </c>
      <c r="S389" s="3">
        <v>6</v>
      </c>
      <c r="U389" s="3">
        <v>2.17</v>
      </c>
      <c r="V389" s="3">
        <v>7.95</v>
      </c>
    </row>
    <row r="390" spans="1:22" ht="21.75">
      <c r="A390" s="3">
        <v>266</v>
      </c>
      <c r="B390" s="4" t="s">
        <v>386</v>
      </c>
      <c r="C390" s="4" t="s">
        <v>387</v>
      </c>
      <c r="D390" s="3">
        <v>75</v>
      </c>
      <c r="E390" s="3">
        <v>26</v>
      </c>
      <c r="F390" s="3">
        <v>75</v>
      </c>
      <c r="G390" s="4" t="s">
        <v>150</v>
      </c>
      <c r="H390" s="3" t="b">
        <v>1</v>
      </c>
      <c r="I390" s="3">
        <v>12</v>
      </c>
      <c r="J390" s="3">
        <v>12</v>
      </c>
      <c r="K390" s="3">
        <v>33.12</v>
      </c>
      <c r="L390" s="3">
        <v>163.8</v>
      </c>
      <c r="M390" s="3">
        <v>440.42</v>
      </c>
      <c r="N390" s="3">
        <v>2.223882</v>
      </c>
      <c r="O390" s="25">
        <v>3.646608</v>
      </c>
      <c r="P390" s="32">
        <v>31.44</v>
      </c>
      <c r="Q390" s="3">
        <v>54.37303</v>
      </c>
      <c r="R390" s="3">
        <v>8.5</v>
      </c>
      <c r="S390" s="3">
        <v>6</v>
      </c>
      <c r="U390" s="3">
        <v>2.29</v>
      </c>
      <c r="V390" s="3">
        <v>8.1</v>
      </c>
    </row>
    <row r="391" spans="1:22" ht="21.75">
      <c r="A391" s="3">
        <v>267</v>
      </c>
      <c r="B391" s="4" t="s">
        <v>386</v>
      </c>
      <c r="C391" s="4" t="s">
        <v>387</v>
      </c>
      <c r="D391" s="3">
        <v>80</v>
      </c>
      <c r="E391" s="3">
        <v>14.6</v>
      </c>
      <c r="F391" s="3">
        <v>80</v>
      </c>
      <c r="G391" s="4" t="s">
        <v>151</v>
      </c>
      <c r="H391" s="3" t="b">
        <v>1</v>
      </c>
      <c r="I391" s="3">
        <v>6</v>
      </c>
      <c r="J391" s="3">
        <v>6</v>
      </c>
      <c r="K391" s="3">
        <v>18.654</v>
      </c>
      <c r="L391" s="3">
        <v>112.8</v>
      </c>
      <c r="M391" s="3">
        <v>227.53</v>
      </c>
      <c r="N391" s="3">
        <v>2.459057</v>
      </c>
      <c r="O391" s="25">
        <v>3.492472</v>
      </c>
      <c r="P391" s="32">
        <v>19.38</v>
      </c>
      <c r="Q391" s="3">
        <v>27.4132</v>
      </c>
      <c r="R391" s="3">
        <v>8.5</v>
      </c>
      <c r="S391" s="3">
        <v>4</v>
      </c>
      <c r="U391" s="3">
        <v>2.18</v>
      </c>
      <c r="V391" s="3">
        <v>8.3</v>
      </c>
    </row>
    <row r="392" spans="1:22" ht="21.75">
      <c r="A392" s="3">
        <v>268</v>
      </c>
      <c r="B392" s="4" t="s">
        <v>386</v>
      </c>
      <c r="C392" s="4" t="s">
        <v>387</v>
      </c>
      <c r="D392" s="3">
        <v>90</v>
      </c>
      <c r="E392" s="3">
        <v>16.5</v>
      </c>
      <c r="F392" s="3">
        <v>90</v>
      </c>
      <c r="G392" s="4" t="s">
        <v>152</v>
      </c>
      <c r="H392" s="3" t="b">
        <v>1</v>
      </c>
      <c r="I392" s="3">
        <v>6</v>
      </c>
      <c r="J392" s="3">
        <v>6</v>
      </c>
      <c r="K392" s="3">
        <v>21.1</v>
      </c>
      <c r="L392" s="3">
        <v>161.4</v>
      </c>
      <c r="M392" s="3">
        <v>317.51</v>
      </c>
      <c r="N392" s="3">
        <v>2.765735</v>
      </c>
      <c r="O392" s="25">
        <v>3.879135</v>
      </c>
      <c r="P392" s="32">
        <v>24.53</v>
      </c>
      <c r="Q392" s="3">
        <v>34.14046</v>
      </c>
      <c r="R392" s="3">
        <v>10</v>
      </c>
      <c r="S392" s="3">
        <v>5</v>
      </c>
      <c r="U392" s="3">
        <v>2.42</v>
      </c>
      <c r="V392" s="3">
        <v>9.3</v>
      </c>
    </row>
    <row r="393" spans="1:22" ht="21.75">
      <c r="A393" s="3">
        <v>269</v>
      </c>
      <c r="B393" s="4" t="s">
        <v>386</v>
      </c>
      <c r="C393" s="4" t="s">
        <v>387</v>
      </c>
      <c r="D393" s="3">
        <v>90</v>
      </c>
      <c r="E393" s="3">
        <v>19.2</v>
      </c>
      <c r="F393" s="3">
        <v>90</v>
      </c>
      <c r="G393" s="4" t="s">
        <v>153</v>
      </c>
      <c r="H393" s="3" t="b">
        <v>1</v>
      </c>
      <c r="I393" s="3">
        <v>7</v>
      </c>
      <c r="J393" s="3">
        <v>7</v>
      </c>
      <c r="K393" s="3">
        <v>24.44</v>
      </c>
      <c r="L393" s="3">
        <v>186</v>
      </c>
      <c r="M393" s="3">
        <v>378.98</v>
      </c>
      <c r="N393" s="3">
        <v>2.758709</v>
      </c>
      <c r="O393" s="25">
        <v>3.937839</v>
      </c>
      <c r="P393" s="32">
        <v>28.44</v>
      </c>
      <c r="Q393" s="3">
        <v>40.53269</v>
      </c>
      <c r="R393" s="3">
        <v>10</v>
      </c>
      <c r="S393" s="3">
        <v>5</v>
      </c>
      <c r="U393" s="3">
        <v>2.46</v>
      </c>
      <c r="V393" s="3">
        <v>9.35</v>
      </c>
    </row>
    <row r="394" spans="1:22" ht="21.75">
      <c r="A394" s="3">
        <v>270</v>
      </c>
      <c r="B394" s="4" t="s">
        <v>386</v>
      </c>
      <c r="C394" s="4" t="s">
        <v>387</v>
      </c>
      <c r="D394" s="3">
        <v>90</v>
      </c>
      <c r="E394" s="3">
        <v>26.6</v>
      </c>
      <c r="F394" s="3">
        <v>90</v>
      </c>
      <c r="G394" s="4" t="s">
        <v>154</v>
      </c>
      <c r="H394" s="3" t="b">
        <v>1</v>
      </c>
      <c r="I394" s="3">
        <v>10</v>
      </c>
      <c r="J394" s="3">
        <v>10</v>
      </c>
      <c r="K394" s="3">
        <v>34</v>
      </c>
      <c r="L394" s="3">
        <v>250</v>
      </c>
      <c r="M394" s="3">
        <v>570.45</v>
      </c>
      <c r="N394" s="3">
        <v>2.711631</v>
      </c>
      <c r="O394" s="25">
        <v>4.096076</v>
      </c>
      <c r="P394" s="32">
        <v>38.88</v>
      </c>
      <c r="Q394" s="3">
        <v>60.04701</v>
      </c>
      <c r="R394" s="3">
        <v>10</v>
      </c>
      <c r="S394" s="3">
        <v>7</v>
      </c>
      <c r="U394" s="3">
        <v>2.57</v>
      </c>
      <c r="V394" s="3">
        <v>9.5</v>
      </c>
    </row>
    <row r="395" spans="1:22" ht="21.75">
      <c r="A395" s="3">
        <v>271</v>
      </c>
      <c r="B395" s="4" t="s">
        <v>386</v>
      </c>
      <c r="C395" s="4" t="s">
        <v>387</v>
      </c>
      <c r="D395" s="3">
        <v>90</v>
      </c>
      <c r="E395" s="3">
        <v>31.8</v>
      </c>
      <c r="F395" s="3">
        <v>90</v>
      </c>
      <c r="G395" s="4" t="s">
        <v>155</v>
      </c>
      <c r="H395" s="3" t="b">
        <v>1</v>
      </c>
      <c r="I395" s="3">
        <v>12</v>
      </c>
      <c r="J395" s="3">
        <v>12</v>
      </c>
      <c r="K395" s="3">
        <v>40.6</v>
      </c>
      <c r="L395" s="3">
        <v>296</v>
      </c>
      <c r="M395" s="3">
        <v>727.48</v>
      </c>
      <c r="N395" s="3">
        <v>2.700119</v>
      </c>
      <c r="O395" s="25">
        <v>4.232994</v>
      </c>
      <c r="P395" s="32">
        <v>46.69</v>
      </c>
      <c r="Q395" s="3">
        <v>75.77923</v>
      </c>
      <c r="R395" s="3">
        <v>11</v>
      </c>
      <c r="S395" s="3">
        <v>4.8</v>
      </c>
      <c r="U395" s="3">
        <v>2.66</v>
      </c>
      <c r="V395" s="3">
        <v>9.6</v>
      </c>
    </row>
    <row r="396" spans="1:22" ht="21.75">
      <c r="A396" s="3">
        <v>272</v>
      </c>
      <c r="B396" s="4" t="s">
        <v>386</v>
      </c>
      <c r="C396" s="4" t="s">
        <v>387</v>
      </c>
      <c r="D396" s="3">
        <v>90</v>
      </c>
      <c r="E396" s="3">
        <v>34</v>
      </c>
      <c r="F396" s="3">
        <v>90</v>
      </c>
      <c r="G396" s="4" t="s">
        <v>156</v>
      </c>
      <c r="H396" s="3" t="b">
        <v>1</v>
      </c>
      <c r="I396" s="3">
        <v>13</v>
      </c>
      <c r="J396" s="3">
        <v>13</v>
      </c>
      <c r="K396" s="3">
        <v>43.42</v>
      </c>
      <c r="L396" s="3">
        <v>312</v>
      </c>
      <c r="M396" s="3">
        <v>796.38</v>
      </c>
      <c r="N396" s="3">
        <v>2.680602</v>
      </c>
      <c r="O396" s="25">
        <v>4.282666</v>
      </c>
      <c r="P396" s="32">
        <v>49.45</v>
      </c>
      <c r="Q396" s="3">
        <v>82.52602</v>
      </c>
      <c r="R396" s="3">
        <v>10</v>
      </c>
      <c r="S396" s="3">
        <v>7</v>
      </c>
      <c r="U396" s="3">
        <v>2.69</v>
      </c>
      <c r="V396" s="3">
        <v>9.65</v>
      </c>
    </row>
    <row r="397" spans="1:22" ht="21.75">
      <c r="A397" s="3">
        <v>273</v>
      </c>
      <c r="B397" s="4" t="s">
        <v>386</v>
      </c>
      <c r="C397" s="4" t="s">
        <v>387</v>
      </c>
      <c r="D397" s="3">
        <v>100</v>
      </c>
      <c r="E397" s="3">
        <v>21.4</v>
      </c>
      <c r="F397" s="3">
        <v>100</v>
      </c>
      <c r="G397" s="4" t="s">
        <v>110</v>
      </c>
      <c r="H397" s="3" t="b">
        <v>1</v>
      </c>
      <c r="I397" s="3">
        <v>7</v>
      </c>
      <c r="J397" s="3">
        <v>7</v>
      </c>
      <c r="K397" s="3">
        <v>27.24</v>
      </c>
      <c r="L397" s="3">
        <v>258</v>
      </c>
      <c r="M397" s="3">
        <v>513.06</v>
      </c>
      <c r="N397" s="3">
        <v>3.077558</v>
      </c>
      <c r="O397" s="25">
        <v>4.339927</v>
      </c>
      <c r="P397" s="32">
        <v>35.39</v>
      </c>
      <c r="Q397" s="3">
        <v>49.57145</v>
      </c>
      <c r="R397" s="3">
        <v>10</v>
      </c>
      <c r="S397" s="3">
        <v>5</v>
      </c>
      <c r="U397" s="3">
        <v>2.71</v>
      </c>
      <c r="V397" s="3">
        <v>10.35</v>
      </c>
    </row>
    <row r="398" spans="1:22" ht="21.75">
      <c r="A398" s="3">
        <v>274</v>
      </c>
      <c r="B398" s="4" t="s">
        <v>386</v>
      </c>
      <c r="C398" s="4" t="s">
        <v>387</v>
      </c>
      <c r="D398" s="3">
        <v>100</v>
      </c>
      <c r="E398" s="3">
        <v>29.8</v>
      </c>
      <c r="F398" s="3">
        <v>100</v>
      </c>
      <c r="G398" s="4" t="s">
        <v>111</v>
      </c>
      <c r="H398" s="3" t="b">
        <v>1</v>
      </c>
      <c r="I398" s="3">
        <v>10</v>
      </c>
      <c r="J398" s="3">
        <v>10</v>
      </c>
      <c r="K398" s="3">
        <v>38</v>
      </c>
      <c r="L398" s="3">
        <v>350</v>
      </c>
      <c r="M398" s="3">
        <v>768.85</v>
      </c>
      <c r="N398" s="3">
        <v>3.034885</v>
      </c>
      <c r="O398" s="25">
        <v>4.498103</v>
      </c>
      <c r="P398" s="32">
        <v>48.75</v>
      </c>
      <c r="Q398" s="3">
        <v>73.22392</v>
      </c>
      <c r="R398" s="3">
        <v>10</v>
      </c>
      <c r="S398" s="3">
        <v>7</v>
      </c>
      <c r="U398" s="3">
        <v>2.82</v>
      </c>
      <c r="V398" s="3">
        <v>10.5</v>
      </c>
    </row>
    <row r="399" spans="1:22" ht="21.75">
      <c r="A399" s="3">
        <v>275</v>
      </c>
      <c r="B399" s="4" t="s">
        <v>386</v>
      </c>
      <c r="C399" s="4" t="s">
        <v>387</v>
      </c>
      <c r="D399" s="3">
        <v>100</v>
      </c>
      <c r="E399" s="3">
        <v>35.6</v>
      </c>
      <c r="F399" s="3">
        <v>100</v>
      </c>
      <c r="G399" s="4" t="s">
        <v>112</v>
      </c>
      <c r="H399" s="3" t="b">
        <v>1</v>
      </c>
      <c r="I399" s="3">
        <v>12</v>
      </c>
      <c r="J399" s="3">
        <v>12</v>
      </c>
      <c r="K399" s="3">
        <v>45.4</v>
      </c>
      <c r="L399" s="3">
        <v>414</v>
      </c>
      <c r="M399" s="3">
        <v>970.15</v>
      </c>
      <c r="N399" s="3">
        <v>3.019759</v>
      </c>
      <c r="O399" s="25">
        <v>4.622655</v>
      </c>
      <c r="P399" s="32">
        <v>58.31</v>
      </c>
      <c r="Q399" s="3">
        <v>91.52358</v>
      </c>
      <c r="R399" s="3">
        <v>12</v>
      </c>
      <c r="S399" s="3">
        <v>4.8</v>
      </c>
      <c r="U399" s="3">
        <v>2.9</v>
      </c>
      <c r="V399" s="3">
        <v>10.6</v>
      </c>
    </row>
    <row r="400" spans="1:22" ht="21.75">
      <c r="A400" s="3">
        <v>276</v>
      </c>
      <c r="B400" s="4" t="s">
        <v>386</v>
      </c>
      <c r="C400" s="4" t="s">
        <v>387</v>
      </c>
      <c r="D400" s="3">
        <v>100</v>
      </c>
      <c r="E400" s="3">
        <v>38.2</v>
      </c>
      <c r="F400" s="3">
        <v>100</v>
      </c>
      <c r="G400" s="4" t="s">
        <v>113</v>
      </c>
      <c r="H400" s="3" t="b">
        <v>1</v>
      </c>
      <c r="I400" s="3">
        <v>13</v>
      </c>
      <c r="J400" s="3">
        <v>13</v>
      </c>
      <c r="K400" s="3">
        <v>48.62</v>
      </c>
      <c r="L400" s="3">
        <v>440</v>
      </c>
      <c r="M400" s="3">
        <v>1066.62</v>
      </c>
      <c r="N400" s="3">
        <v>3.008284</v>
      </c>
      <c r="O400" s="25">
        <v>4.683788</v>
      </c>
      <c r="P400" s="32">
        <v>62.32</v>
      </c>
      <c r="Q400" s="3">
        <v>100.1521</v>
      </c>
      <c r="R400" s="3">
        <v>10</v>
      </c>
      <c r="S400" s="3">
        <v>7</v>
      </c>
      <c r="U400" s="3">
        <v>2.94</v>
      </c>
      <c r="V400" s="3">
        <v>10.65</v>
      </c>
    </row>
    <row r="401" spans="1:22" ht="21.75">
      <c r="A401" s="3">
        <v>277</v>
      </c>
      <c r="B401" s="4" t="s">
        <v>386</v>
      </c>
      <c r="C401" s="4" t="s">
        <v>387</v>
      </c>
      <c r="D401" s="3">
        <v>120</v>
      </c>
      <c r="E401" s="3">
        <v>29.4</v>
      </c>
      <c r="F401" s="3">
        <v>120</v>
      </c>
      <c r="G401" s="4" t="s">
        <v>114</v>
      </c>
      <c r="H401" s="3" t="b">
        <v>1</v>
      </c>
      <c r="I401" s="3">
        <v>8</v>
      </c>
      <c r="J401" s="3">
        <v>8</v>
      </c>
      <c r="K401" s="3">
        <v>37.52</v>
      </c>
      <c r="L401" s="3">
        <v>516</v>
      </c>
      <c r="M401" s="3">
        <v>1013.12</v>
      </c>
      <c r="N401" s="3">
        <v>3.708459</v>
      </c>
      <c r="O401" s="25">
        <v>5.196371</v>
      </c>
      <c r="P401" s="32">
        <v>58.9</v>
      </c>
      <c r="Q401" s="3">
        <v>81.70363</v>
      </c>
      <c r="R401" s="3">
        <v>12</v>
      </c>
      <c r="S401" s="3">
        <v>5</v>
      </c>
      <c r="U401" s="3">
        <v>3.24</v>
      </c>
      <c r="V401" s="3">
        <v>12.4</v>
      </c>
    </row>
    <row r="402" spans="1:22" ht="21.75">
      <c r="A402" s="3">
        <v>278</v>
      </c>
      <c r="B402" s="4" t="s">
        <v>386</v>
      </c>
      <c r="C402" s="4" t="s">
        <v>387</v>
      </c>
      <c r="D402" s="3">
        <v>130</v>
      </c>
      <c r="E402" s="3">
        <v>35.8</v>
      </c>
      <c r="F402" s="3">
        <v>130</v>
      </c>
      <c r="G402" s="4" t="s">
        <v>115</v>
      </c>
      <c r="H402" s="3" t="b">
        <v>1</v>
      </c>
      <c r="I402" s="3">
        <v>9</v>
      </c>
      <c r="J402" s="3">
        <v>9</v>
      </c>
      <c r="K402" s="3">
        <v>45.48</v>
      </c>
      <c r="L402" s="3">
        <v>732</v>
      </c>
      <c r="M402" s="3">
        <v>1452.42</v>
      </c>
      <c r="N402" s="3">
        <v>4.011856</v>
      </c>
      <c r="O402" s="25">
        <v>5.65114</v>
      </c>
      <c r="P402" s="32">
        <v>77.3</v>
      </c>
      <c r="Q402" s="3">
        <v>107.9867</v>
      </c>
      <c r="R402" s="3">
        <v>12</v>
      </c>
      <c r="S402" s="3">
        <v>6</v>
      </c>
      <c r="U402" s="3">
        <v>3.53</v>
      </c>
      <c r="V402" s="3">
        <v>13.45</v>
      </c>
    </row>
    <row r="403" spans="1:22" ht="21.75">
      <c r="A403" s="3">
        <v>279</v>
      </c>
      <c r="B403" s="4" t="s">
        <v>386</v>
      </c>
      <c r="C403" s="4" t="s">
        <v>387</v>
      </c>
      <c r="D403" s="3">
        <v>130</v>
      </c>
      <c r="E403" s="3">
        <v>46.7</v>
      </c>
      <c r="F403" s="3">
        <v>130</v>
      </c>
      <c r="G403" s="4" t="s">
        <v>116</v>
      </c>
      <c r="H403" s="3" t="b">
        <v>1</v>
      </c>
      <c r="I403" s="3">
        <v>12</v>
      </c>
      <c r="J403" s="3">
        <v>12</v>
      </c>
      <c r="K403" s="3">
        <v>59.52</v>
      </c>
      <c r="L403" s="3">
        <v>934</v>
      </c>
      <c r="M403" s="3">
        <v>2004.03</v>
      </c>
      <c r="N403" s="3">
        <v>3.961339</v>
      </c>
      <c r="O403" s="25">
        <v>5.802569</v>
      </c>
      <c r="P403" s="32">
        <v>99.79</v>
      </c>
      <c r="Q403" s="3">
        <v>147.3549</v>
      </c>
      <c r="R403" s="3">
        <v>12</v>
      </c>
      <c r="S403" s="3">
        <v>8.5</v>
      </c>
      <c r="U403" s="3">
        <v>3.64</v>
      </c>
      <c r="V403" s="3">
        <v>13.6</v>
      </c>
    </row>
    <row r="404" spans="1:22" ht="21.75">
      <c r="A404" s="3">
        <v>280</v>
      </c>
      <c r="B404" s="4" t="s">
        <v>386</v>
      </c>
      <c r="C404" s="4" t="s">
        <v>387</v>
      </c>
      <c r="D404" s="3">
        <v>130</v>
      </c>
      <c r="E404" s="3">
        <v>57.5</v>
      </c>
      <c r="F404" s="3">
        <v>130</v>
      </c>
      <c r="G404" s="4" t="s">
        <v>117</v>
      </c>
      <c r="H404" s="3" t="b">
        <v>1</v>
      </c>
      <c r="I404" s="3">
        <v>15</v>
      </c>
      <c r="J404" s="3">
        <v>15</v>
      </c>
      <c r="K404" s="3">
        <v>73.5</v>
      </c>
      <c r="L404" s="3">
        <v>1136</v>
      </c>
      <c r="M404" s="3">
        <v>2631</v>
      </c>
      <c r="N404" s="3">
        <v>3.931384</v>
      </c>
      <c r="O404" s="25">
        <v>5.982966</v>
      </c>
      <c r="P404" s="32">
        <v>122.94</v>
      </c>
      <c r="Q404" s="3">
        <v>191.3453</v>
      </c>
      <c r="R404" s="3">
        <v>12</v>
      </c>
      <c r="S404" s="3">
        <v>8.5</v>
      </c>
      <c r="U404" s="3">
        <v>3.76</v>
      </c>
      <c r="V404" s="3">
        <v>13.75</v>
      </c>
    </row>
    <row r="405" spans="1:22" ht="21.75">
      <c r="A405" s="3">
        <v>281</v>
      </c>
      <c r="B405" s="4" t="s">
        <v>386</v>
      </c>
      <c r="C405" s="4" t="s">
        <v>387</v>
      </c>
      <c r="D405" s="3">
        <v>150</v>
      </c>
      <c r="E405" s="3">
        <v>54.5</v>
      </c>
      <c r="F405" s="3">
        <v>150</v>
      </c>
      <c r="G405" s="4" t="s">
        <v>118</v>
      </c>
      <c r="H405" s="3" t="b">
        <v>1</v>
      </c>
      <c r="I405" s="3">
        <v>12</v>
      </c>
      <c r="J405" s="3">
        <v>12</v>
      </c>
      <c r="K405" s="3">
        <v>69.54</v>
      </c>
      <c r="L405" s="3">
        <v>1480</v>
      </c>
      <c r="M405" s="3">
        <v>3042.4</v>
      </c>
      <c r="N405" s="3">
        <v>4.613319</v>
      </c>
      <c r="O405" s="25">
        <v>6.614402</v>
      </c>
      <c r="P405" s="32">
        <v>136.28</v>
      </c>
      <c r="Q405" s="3">
        <v>195.0254</v>
      </c>
      <c r="R405" s="3">
        <v>14</v>
      </c>
      <c r="S405" s="3">
        <v>7</v>
      </c>
      <c r="U405" s="3">
        <v>4.14</v>
      </c>
      <c r="V405" s="3">
        <v>15.6</v>
      </c>
    </row>
    <row r="406" spans="1:22" ht="21.75">
      <c r="A406" s="3">
        <v>282</v>
      </c>
      <c r="B406" s="4" t="s">
        <v>386</v>
      </c>
      <c r="C406" s="4" t="s">
        <v>387</v>
      </c>
      <c r="D406" s="3">
        <v>150</v>
      </c>
      <c r="E406" s="3">
        <v>67.1</v>
      </c>
      <c r="F406" s="3">
        <v>150</v>
      </c>
      <c r="G406" s="4" t="s">
        <v>119</v>
      </c>
      <c r="H406" s="3" t="b">
        <v>1</v>
      </c>
      <c r="I406" s="3">
        <v>15</v>
      </c>
      <c r="J406" s="3">
        <v>15</v>
      </c>
      <c r="K406" s="3">
        <v>85.48</v>
      </c>
      <c r="L406" s="3">
        <v>1776</v>
      </c>
      <c r="M406" s="3">
        <v>3904.46</v>
      </c>
      <c r="N406" s="3">
        <v>4.558156</v>
      </c>
      <c r="O406" s="25">
        <v>6.758468</v>
      </c>
      <c r="P406" s="32">
        <v>165.06</v>
      </c>
      <c r="Q406" s="3">
        <v>247.9023</v>
      </c>
      <c r="R406" s="3">
        <v>14</v>
      </c>
      <c r="S406" s="3">
        <v>10</v>
      </c>
      <c r="U406" s="3">
        <v>4.24</v>
      </c>
      <c r="V406" s="3">
        <v>15.75</v>
      </c>
    </row>
    <row r="407" spans="1:22" ht="21.75">
      <c r="A407" s="3">
        <v>283</v>
      </c>
      <c r="B407" s="4" t="s">
        <v>386</v>
      </c>
      <c r="C407" s="4" t="s">
        <v>387</v>
      </c>
      <c r="D407" s="3">
        <v>150</v>
      </c>
      <c r="E407" s="3">
        <v>83.7</v>
      </c>
      <c r="F407" s="3">
        <v>150</v>
      </c>
      <c r="G407" s="4" t="s">
        <v>120</v>
      </c>
      <c r="H407" s="3" t="b">
        <v>1</v>
      </c>
      <c r="I407" s="3">
        <v>19</v>
      </c>
      <c r="J407" s="3">
        <v>19</v>
      </c>
      <c r="K407" s="3">
        <v>106.76</v>
      </c>
      <c r="L407" s="3">
        <v>2180</v>
      </c>
      <c r="M407" s="3">
        <v>5235.74</v>
      </c>
      <c r="N407" s="3">
        <v>4.518809</v>
      </c>
      <c r="O407" s="25">
        <v>7.003009</v>
      </c>
      <c r="P407" s="32">
        <v>205.66</v>
      </c>
      <c r="Q407" s="3">
        <v>328.2594</v>
      </c>
      <c r="R407" s="3">
        <v>14</v>
      </c>
      <c r="S407" s="3">
        <v>10</v>
      </c>
      <c r="U407" s="3">
        <v>4.4</v>
      </c>
      <c r="V407" s="3">
        <v>15.95</v>
      </c>
    </row>
    <row r="408" spans="1:22" ht="21.75">
      <c r="A408" s="3">
        <v>284</v>
      </c>
      <c r="B408" s="4" t="s">
        <v>386</v>
      </c>
      <c r="C408" s="4" t="s">
        <v>387</v>
      </c>
      <c r="D408" s="3">
        <v>175</v>
      </c>
      <c r="E408" s="3">
        <v>63.5</v>
      </c>
      <c r="F408" s="3">
        <v>175</v>
      </c>
      <c r="G408" s="4" t="s">
        <v>121</v>
      </c>
      <c r="H408" s="3" t="b">
        <v>1</v>
      </c>
      <c r="I408" s="3">
        <v>12</v>
      </c>
      <c r="J408" s="3">
        <v>12</v>
      </c>
      <c r="K408" s="3">
        <v>81.04</v>
      </c>
      <c r="L408" s="3">
        <v>2340</v>
      </c>
      <c r="M408" s="3">
        <v>4642.26</v>
      </c>
      <c r="N408" s="3">
        <v>5.373512</v>
      </c>
      <c r="O408" s="25">
        <v>7.568588</v>
      </c>
      <c r="P408" s="32">
        <v>183.24</v>
      </c>
      <c r="Q408" s="3">
        <v>256.4783</v>
      </c>
      <c r="R408" s="3">
        <v>15</v>
      </c>
      <c r="S408" s="3">
        <v>11</v>
      </c>
      <c r="U408" s="3">
        <v>4.73</v>
      </c>
      <c r="V408" s="3">
        <v>18.1</v>
      </c>
    </row>
    <row r="409" spans="1:22" ht="21.75">
      <c r="A409" s="3">
        <v>285</v>
      </c>
      <c r="B409" s="4" t="s">
        <v>386</v>
      </c>
      <c r="C409" s="4" t="s">
        <v>387</v>
      </c>
      <c r="D409" s="3">
        <v>175</v>
      </c>
      <c r="E409" s="3">
        <v>78.7</v>
      </c>
      <c r="F409" s="3">
        <v>175</v>
      </c>
      <c r="G409" s="4" t="s">
        <v>122</v>
      </c>
      <c r="H409" s="3" t="b">
        <v>1</v>
      </c>
      <c r="I409" s="3">
        <v>15</v>
      </c>
      <c r="J409" s="3">
        <v>15</v>
      </c>
      <c r="K409" s="3">
        <v>100.42</v>
      </c>
      <c r="L409" s="3">
        <v>2880</v>
      </c>
      <c r="M409" s="3">
        <v>6029.17</v>
      </c>
      <c r="N409" s="3">
        <v>5.355329</v>
      </c>
      <c r="O409" s="25">
        <v>7.748519</v>
      </c>
      <c r="P409" s="32">
        <v>227.67</v>
      </c>
      <c r="Q409" s="3">
        <v>330.3655</v>
      </c>
      <c r="R409" s="3">
        <v>15</v>
      </c>
      <c r="S409" s="3">
        <v>11</v>
      </c>
      <c r="U409" s="3">
        <v>4.85</v>
      </c>
      <c r="V409" s="3">
        <v>18.25</v>
      </c>
    </row>
    <row r="410" spans="1:22" ht="21.75">
      <c r="A410" s="3">
        <v>286</v>
      </c>
      <c r="B410" s="4" t="s">
        <v>386</v>
      </c>
      <c r="C410" s="4" t="s">
        <v>387</v>
      </c>
      <c r="D410" s="3">
        <v>200</v>
      </c>
      <c r="E410" s="3">
        <v>90.5</v>
      </c>
      <c r="F410" s="3">
        <v>200</v>
      </c>
      <c r="G410" s="4" t="s">
        <v>125</v>
      </c>
      <c r="H410" s="3" t="b">
        <v>1</v>
      </c>
      <c r="I410" s="3">
        <v>15</v>
      </c>
      <c r="J410" s="3">
        <v>15</v>
      </c>
      <c r="K410" s="3">
        <v>115.5</v>
      </c>
      <c r="L410" s="3">
        <v>4360</v>
      </c>
      <c r="M410" s="3">
        <v>8814.15</v>
      </c>
      <c r="N410" s="3">
        <v>6.144015</v>
      </c>
      <c r="O410" s="25">
        <v>8.735732</v>
      </c>
      <c r="P410" s="32">
        <v>299.86</v>
      </c>
      <c r="Q410" s="3">
        <v>424.7785</v>
      </c>
      <c r="R410" s="3">
        <v>17</v>
      </c>
      <c r="S410" s="3">
        <v>12</v>
      </c>
      <c r="U410" s="3">
        <v>5.46</v>
      </c>
      <c r="V410" s="3">
        <v>20.75</v>
      </c>
    </row>
    <row r="411" spans="1:22" ht="21.75">
      <c r="A411" s="3">
        <v>287</v>
      </c>
      <c r="B411" s="4" t="s">
        <v>386</v>
      </c>
      <c r="C411" s="4" t="s">
        <v>387</v>
      </c>
      <c r="D411" s="3">
        <v>200</v>
      </c>
      <c r="E411" s="3">
        <v>119.2</v>
      </c>
      <c r="F411" s="3">
        <v>200</v>
      </c>
      <c r="G411" s="4" t="s">
        <v>123</v>
      </c>
      <c r="H411" s="3" t="b">
        <v>1</v>
      </c>
      <c r="I411" s="3">
        <v>20</v>
      </c>
      <c r="J411" s="3">
        <v>20</v>
      </c>
      <c r="K411" s="3">
        <v>152</v>
      </c>
      <c r="L411" s="3">
        <v>5640</v>
      </c>
      <c r="M411" s="3">
        <v>12402.31</v>
      </c>
      <c r="N411" s="3">
        <v>6.091409</v>
      </c>
      <c r="O411" s="25">
        <v>9.032948</v>
      </c>
      <c r="P411" s="32">
        <v>393.58</v>
      </c>
      <c r="Q411" s="3">
        <v>590.5863</v>
      </c>
      <c r="R411" s="3">
        <v>17</v>
      </c>
      <c r="S411" s="3">
        <v>12</v>
      </c>
      <c r="U411" s="3">
        <v>5.67</v>
      </c>
      <c r="V411" s="3">
        <v>21</v>
      </c>
    </row>
    <row r="412" spans="1:22" ht="21.75">
      <c r="A412" s="3">
        <v>288</v>
      </c>
      <c r="B412" s="4" t="s">
        <v>386</v>
      </c>
      <c r="C412" s="4" t="s">
        <v>387</v>
      </c>
      <c r="D412" s="3">
        <v>200</v>
      </c>
      <c r="E412" s="3">
        <v>147</v>
      </c>
      <c r="F412" s="3">
        <v>200</v>
      </c>
      <c r="G412" s="4" t="s">
        <v>124</v>
      </c>
      <c r="H412" s="3" t="b">
        <v>1</v>
      </c>
      <c r="I412" s="3">
        <v>25</v>
      </c>
      <c r="J412" s="3">
        <v>25</v>
      </c>
      <c r="K412" s="3">
        <v>187.5</v>
      </c>
      <c r="L412" s="3">
        <v>6840</v>
      </c>
      <c r="M412" s="3">
        <v>16318.52</v>
      </c>
      <c r="N412" s="3">
        <v>6.039867</v>
      </c>
      <c r="O412" s="25">
        <v>9.3291</v>
      </c>
      <c r="P412" s="32">
        <v>483.73</v>
      </c>
      <c r="Q412" s="3">
        <v>767.9303</v>
      </c>
      <c r="R412" s="3">
        <v>17</v>
      </c>
      <c r="S412" s="3">
        <v>12</v>
      </c>
      <c r="U412" s="3">
        <v>5.86</v>
      </c>
      <c r="V412" s="3">
        <v>21.25</v>
      </c>
    </row>
    <row r="413" spans="1:22" ht="21.75">
      <c r="A413" s="3">
        <v>289</v>
      </c>
      <c r="B413" s="4" t="s">
        <v>386</v>
      </c>
      <c r="C413" s="4" t="s">
        <v>387</v>
      </c>
      <c r="D413" s="3">
        <v>250</v>
      </c>
      <c r="E413" s="3">
        <v>187.2</v>
      </c>
      <c r="F413" s="3">
        <v>250</v>
      </c>
      <c r="G413" s="4" t="s">
        <v>126</v>
      </c>
      <c r="H413" s="3" t="b">
        <v>1</v>
      </c>
      <c r="I413" s="3">
        <v>25</v>
      </c>
      <c r="J413" s="3">
        <v>25</v>
      </c>
      <c r="K413" s="3">
        <v>238.8</v>
      </c>
      <c r="L413" s="3">
        <v>13900</v>
      </c>
      <c r="M413" s="3">
        <v>30549.73</v>
      </c>
      <c r="N413" s="3">
        <v>7.629397</v>
      </c>
      <c r="O413" s="25">
        <v>11.31062</v>
      </c>
      <c r="P413" s="32">
        <v>776.54</v>
      </c>
      <c r="Q413" s="3">
        <v>1163.799</v>
      </c>
      <c r="R413" s="3">
        <v>24</v>
      </c>
      <c r="S413" s="3">
        <v>12</v>
      </c>
      <c r="U413" s="3">
        <v>7.1</v>
      </c>
      <c r="V413" s="3">
        <v>26.25</v>
      </c>
    </row>
    <row r="414" spans="1:22" ht="21.75">
      <c r="A414" s="3">
        <v>290</v>
      </c>
      <c r="B414" s="4" t="s">
        <v>386</v>
      </c>
      <c r="C414" s="4" t="s">
        <v>387</v>
      </c>
      <c r="D414" s="3">
        <v>250</v>
      </c>
      <c r="E414" s="3">
        <v>255.7</v>
      </c>
      <c r="F414" s="3">
        <v>250</v>
      </c>
      <c r="G414" s="4" t="s">
        <v>127</v>
      </c>
      <c r="H414" s="3" t="b">
        <v>1</v>
      </c>
      <c r="I414" s="3">
        <v>35</v>
      </c>
      <c r="J414" s="3">
        <v>35</v>
      </c>
      <c r="K414" s="3">
        <v>325.2</v>
      </c>
      <c r="L414" s="3">
        <v>18220</v>
      </c>
      <c r="M414" s="3">
        <v>45744.93</v>
      </c>
      <c r="N414" s="3">
        <v>7.485123</v>
      </c>
      <c r="O414" s="25">
        <v>11.86031</v>
      </c>
      <c r="P414" s="32">
        <v>1038.18</v>
      </c>
      <c r="Q414" s="3">
        <v>1710.091</v>
      </c>
      <c r="R414" s="3">
        <v>24</v>
      </c>
      <c r="S414" s="3">
        <v>18</v>
      </c>
      <c r="U414" s="3">
        <v>7.45</v>
      </c>
      <c r="V414" s="3">
        <v>26.75</v>
      </c>
    </row>
    <row r="415" spans="1:22" ht="21.75">
      <c r="A415" s="3">
        <v>291</v>
      </c>
      <c r="B415" s="4" t="s">
        <v>386</v>
      </c>
      <c r="C415" s="4" t="s">
        <v>388</v>
      </c>
      <c r="D415" s="3">
        <v>90</v>
      </c>
      <c r="E415" s="3">
        <v>22</v>
      </c>
      <c r="F415" s="3">
        <v>75</v>
      </c>
      <c r="G415" s="4" t="s">
        <v>348</v>
      </c>
      <c r="H415" s="3" t="b">
        <v>1</v>
      </c>
      <c r="I415" s="3">
        <v>9</v>
      </c>
      <c r="J415" s="3">
        <v>9</v>
      </c>
      <c r="K415" s="3">
        <v>28.08</v>
      </c>
      <c r="L415" s="3">
        <v>218</v>
      </c>
      <c r="M415" s="3">
        <v>304.75</v>
      </c>
      <c r="N415" s="3">
        <v>2.786312</v>
      </c>
      <c r="O415" s="25">
        <v>3.294378</v>
      </c>
      <c r="P415" s="32">
        <v>34.88</v>
      </c>
      <c r="Q415" s="3">
        <v>38.33336</v>
      </c>
      <c r="R415" s="3">
        <v>8.5</v>
      </c>
      <c r="S415" s="3">
        <v>6</v>
      </c>
      <c r="U415" s="3">
        <v>2.75</v>
      </c>
      <c r="V415" s="3">
        <v>7.95</v>
      </c>
    </row>
    <row r="416" spans="1:22" ht="21.75">
      <c r="A416" s="3">
        <v>292</v>
      </c>
      <c r="B416" s="4" t="s">
        <v>386</v>
      </c>
      <c r="C416" s="4" t="s">
        <v>388</v>
      </c>
      <c r="D416" s="3">
        <v>100</v>
      </c>
      <c r="E416" s="3">
        <v>18.6</v>
      </c>
      <c r="F416" s="3">
        <v>75</v>
      </c>
      <c r="G416" s="4" t="s">
        <v>336</v>
      </c>
      <c r="H416" s="3" t="b">
        <v>1</v>
      </c>
      <c r="I416" s="3">
        <v>7</v>
      </c>
      <c r="J416" s="3">
        <v>7</v>
      </c>
      <c r="K416" s="3">
        <v>23.74</v>
      </c>
      <c r="L416" s="3">
        <v>236</v>
      </c>
      <c r="M416" s="3">
        <v>226.62</v>
      </c>
      <c r="N416" s="3">
        <v>3.15294</v>
      </c>
      <c r="O416" s="25">
        <v>3.08966</v>
      </c>
      <c r="P416" s="32">
        <v>34.01</v>
      </c>
      <c r="Q416" s="3">
        <v>28.86904</v>
      </c>
      <c r="R416" s="3">
        <v>10</v>
      </c>
      <c r="S416" s="3">
        <v>5</v>
      </c>
      <c r="U416" s="3">
        <v>3.06</v>
      </c>
      <c r="V416" s="3">
        <v>7.85</v>
      </c>
    </row>
    <row r="417" spans="1:22" ht="21.75">
      <c r="A417" s="3">
        <v>293</v>
      </c>
      <c r="B417" s="4" t="s">
        <v>386</v>
      </c>
      <c r="C417" s="4" t="s">
        <v>388</v>
      </c>
      <c r="D417" s="3">
        <v>100</v>
      </c>
      <c r="E417" s="3">
        <v>26</v>
      </c>
      <c r="F417" s="3">
        <v>75</v>
      </c>
      <c r="G417" s="4" t="s">
        <v>337</v>
      </c>
      <c r="H417" s="3" t="b">
        <v>1</v>
      </c>
      <c r="I417" s="3">
        <v>10</v>
      </c>
      <c r="J417" s="3">
        <v>10</v>
      </c>
      <c r="K417" s="3">
        <v>33</v>
      </c>
      <c r="L417" s="3">
        <v>318</v>
      </c>
      <c r="M417" s="3">
        <v>348.67</v>
      </c>
      <c r="N417" s="3">
        <v>3.104249</v>
      </c>
      <c r="O417" s="25">
        <v>3.250495</v>
      </c>
      <c r="P417" s="32">
        <v>46.56</v>
      </c>
      <c r="Q417" s="3">
        <v>43.5836</v>
      </c>
      <c r="R417" s="3">
        <v>10</v>
      </c>
      <c r="S417" s="3">
        <v>7</v>
      </c>
      <c r="U417" s="3">
        <v>3.17</v>
      </c>
      <c r="V417" s="3">
        <v>8</v>
      </c>
    </row>
    <row r="418" spans="1:22" ht="21.75">
      <c r="A418" s="3">
        <v>294</v>
      </c>
      <c r="B418" s="4" t="s">
        <v>386</v>
      </c>
      <c r="C418" s="4" t="s">
        <v>388</v>
      </c>
      <c r="D418" s="3">
        <v>125</v>
      </c>
      <c r="E418" s="3">
        <v>21.4</v>
      </c>
      <c r="F418" s="3">
        <v>75</v>
      </c>
      <c r="G418" s="4" t="s">
        <v>338</v>
      </c>
      <c r="H418" s="3" t="b">
        <v>1</v>
      </c>
      <c r="I418" s="3">
        <v>7</v>
      </c>
      <c r="J418" s="3">
        <v>7</v>
      </c>
      <c r="K418" s="3">
        <v>27.24</v>
      </c>
      <c r="L418" s="3">
        <v>438</v>
      </c>
      <c r="M418" s="3">
        <v>228.67</v>
      </c>
      <c r="N418" s="3">
        <v>4.0099</v>
      </c>
      <c r="O418" s="25">
        <v>2.89737</v>
      </c>
      <c r="P418" s="32">
        <v>52.14</v>
      </c>
      <c r="Q418" s="3">
        <v>29.13033</v>
      </c>
      <c r="R418" s="3">
        <v>10</v>
      </c>
      <c r="S418" s="3">
        <v>5</v>
      </c>
      <c r="U418" s="3">
        <v>4.1</v>
      </c>
      <c r="V418" s="3">
        <v>7.85</v>
      </c>
    </row>
    <row r="419" spans="1:22" ht="21.75">
      <c r="A419" s="3">
        <v>295</v>
      </c>
      <c r="B419" s="4" t="s">
        <v>386</v>
      </c>
      <c r="C419" s="4" t="s">
        <v>388</v>
      </c>
      <c r="D419" s="3">
        <v>125</v>
      </c>
      <c r="E419" s="3">
        <v>29.8</v>
      </c>
      <c r="F419" s="3">
        <v>75</v>
      </c>
      <c r="G419" s="4" t="s">
        <v>339</v>
      </c>
      <c r="H419" s="3" t="b">
        <v>1</v>
      </c>
      <c r="I419" s="3">
        <v>10</v>
      </c>
      <c r="J419" s="3">
        <v>10</v>
      </c>
      <c r="K419" s="3">
        <v>38</v>
      </c>
      <c r="L419" s="3">
        <v>598</v>
      </c>
      <c r="M419" s="3">
        <v>353.98</v>
      </c>
      <c r="N419" s="3">
        <v>3.966969</v>
      </c>
      <c r="O419" s="25">
        <v>3.05207</v>
      </c>
      <c r="P419" s="32">
        <v>72.22</v>
      </c>
      <c r="Q419" s="3">
        <v>44.24688</v>
      </c>
      <c r="R419" s="3">
        <v>10</v>
      </c>
      <c r="S419" s="3">
        <v>7</v>
      </c>
      <c r="U419" s="3">
        <v>4.22</v>
      </c>
      <c r="V419" s="3">
        <v>8</v>
      </c>
    </row>
    <row r="420" spans="1:22" ht="21.75">
      <c r="A420" s="3">
        <v>296</v>
      </c>
      <c r="B420" s="4" t="s">
        <v>386</v>
      </c>
      <c r="C420" s="4" t="s">
        <v>388</v>
      </c>
      <c r="D420" s="3">
        <v>125</v>
      </c>
      <c r="E420" s="3">
        <v>38.2</v>
      </c>
      <c r="F420" s="3">
        <v>75</v>
      </c>
      <c r="G420" s="4" t="s">
        <v>340</v>
      </c>
      <c r="H420" s="3" t="b">
        <v>1</v>
      </c>
      <c r="I420" s="3">
        <v>13</v>
      </c>
      <c r="J420" s="3">
        <v>13</v>
      </c>
      <c r="K420" s="3">
        <v>48.62</v>
      </c>
      <c r="L420" s="3">
        <v>752</v>
      </c>
      <c r="M420" s="3">
        <v>510.76</v>
      </c>
      <c r="N420" s="3">
        <v>3.932796</v>
      </c>
      <c r="O420" s="25">
        <v>3.241152</v>
      </c>
      <c r="P420" s="32">
        <v>92.27</v>
      </c>
      <c r="Q420" s="3">
        <v>62.6695</v>
      </c>
      <c r="R420" s="3">
        <v>10</v>
      </c>
      <c r="S420" s="3">
        <v>7</v>
      </c>
      <c r="U420" s="3">
        <v>4.35</v>
      </c>
      <c r="V420" s="3">
        <v>8.15</v>
      </c>
    </row>
    <row r="421" spans="1:22" ht="21.75">
      <c r="A421" s="3">
        <v>297</v>
      </c>
      <c r="B421" s="4" t="s">
        <v>386</v>
      </c>
      <c r="C421" s="4" t="s">
        <v>388</v>
      </c>
      <c r="D421" s="3">
        <v>125</v>
      </c>
      <c r="E421" s="3">
        <v>32.2</v>
      </c>
      <c r="F421" s="3">
        <v>90</v>
      </c>
      <c r="G421" s="4" t="s">
        <v>341</v>
      </c>
      <c r="H421" s="3" t="b">
        <v>1</v>
      </c>
      <c r="I421" s="3">
        <v>10</v>
      </c>
      <c r="J421" s="3">
        <v>10</v>
      </c>
      <c r="K421" s="3">
        <v>41</v>
      </c>
      <c r="L421" s="3">
        <v>636</v>
      </c>
      <c r="M421" s="3">
        <v>579.33</v>
      </c>
      <c r="N421" s="3">
        <v>3.938552</v>
      </c>
      <c r="O421" s="25">
        <v>3.759003</v>
      </c>
      <c r="P421" s="32">
        <v>74.39</v>
      </c>
      <c r="Q421" s="3">
        <v>60.98257</v>
      </c>
      <c r="R421" s="3">
        <v>10</v>
      </c>
      <c r="S421" s="3">
        <v>7</v>
      </c>
      <c r="U421" s="3">
        <v>3.95</v>
      </c>
      <c r="V421" s="3">
        <v>9.5</v>
      </c>
    </row>
    <row r="422" spans="1:22" ht="21.75">
      <c r="A422" s="3">
        <v>298</v>
      </c>
      <c r="B422" s="4" t="s">
        <v>386</v>
      </c>
      <c r="C422" s="4" t="s">
        <v>388</v>
      </c>
      <c r="D422" s="3">
        <v>125</v>
      </c>
      <c r="E422" s="3">
        <v>41.1</v>
      </c>
      <c r="F422" s="3">
        <v>90</v>
      </c>
      <c r="G422" s="4" t="s">
        <v>342</v>
      </c>
      <c r="H422" s="3" t="b">
        <v>1</v>
      </c>
      <c r="I422" s="3">
        <v>13</v>
      </c>
      <c r="J422" s="3">
        <v>13</v>
      </c>
      <c r="K422" s="3">
        <v>52.52</v>
      </c>
      <c r="L422" s="3">
        <v>802</v>
      </c>
      <c r="M422" s="3">
        <v>815.53</v>
      </c>
      <c r="N422" s="3">
        <v>3.907732</v>
      </c>
      <c r="O422" s="25">
        <v>3.940567</v>
      </c>
      <c r="P422" s="32">
        <v>95.14</v>
      </c>
      <c r="Q422" s="3">
        <v>84.5113</v>
      </c>
      <c r="R422" s="3">
        <v>10</v>
      </c>
      <c r="S422" s="3">
        <v>7</v>
      </c>
      <c r="U422" s="3">
        <v>4.07</v>
      </c>
      <c r="V422" s="3">
        <v>9.65</v>
      </c>
    </row>
    <row r="423" spans="1:22" ht="21.75">
      <c r="A423" s="3">
        <v>299</v>
      </c>
      <c r="B423" s="4" t="s">
        <v>386</v>
      </c>
      <c r="C423" s="4" t="s">
        <v>388</v>
      </c>
      <c r="D423" s="3">
        <v>150</v>
      </c>
      <c r="E423" s="3">
        <v>32.8</v>
      </c>
      <c r="F423" s="3">
        <v>90</v>
      </c>
      <c r="G423" s="4" t="s">
        <v>346</v>
      </c>
      <c r="H423" s="3" t="b">
        <v>1</v>
      </c>
      <c r="I423" s="3">
        <v>9</v>
      </c>
      <c r="J423" s="3">
        <v>9</v>
      </c>
      <c r="K423" s="3">
        <v>41.88</v>
      </c>
      <c r="L423" s="3">
        <v>970</v>
      </c>
      <c r="M423" s="3">
        <v>515.34</v>
      </c>
      <c r="N423" s="3">
        <v>4.812631</v>
      </c>
      <c r="O423" s="25">
        <v>3.50786</v>
      </c>
      <c r="P423" s="32">
        <v>96.52</v>
      </c>
      <c r="Q423" s="3">
        <v>54.53299</v>
      </c>
      <c r="R423" s="3">
        <v>12</v>
      </c>
      <c r="S423" s="3">
        <v>6</v>
      </c>
      <c r="U423" s="3">
        <v>4.95</v>
      </c>
      <c r="V423" s="3">
        <v>9.45</v>
      </c>
    </row>
    <row r="424" spans="1:22" ht="21.75">
      <c r="A424" s="3">
        <v>300</v>
      </c>
      <c r="B424" s="4" t="s">
        <v>386</v>
      </c>
      <c r="C424" s="4" t="s">
        <v>388</v>
      </c>
      <c r="D424" s="3">
        <v>150</v>
      </c>
      <c r="E424" s="3">
        <v>42.9</v>
      </c>
      <c r="F424" s="3">
        <v>90</v>
      </c>
      <c r="G424" s="4" t="s">
        <v>347</v>
      </c>
      <c r="H424" s="3" t="b">
        <v>1</v>
      </c>
      <c r="I424" s="3">
        <v>12</v>
      </c>
      <c r="J424" s="3">
        <v>12</v>
      </c>
      <c r="K424" s="3">
        <v>54.72</v>
      </c>
      <c r="L424" s="3">
        <v>1238</v>
      </c>
      <c r="M424" s="3">
        <v>732.91</v>
      </c>
      <c r="N424" s="3">
        <v>4.756497</v>
      </c>
      <c r="O424" s="25">
        <v>3.659754</v>
      </c>
      <c r="P424" s="32">
        <v>124.67</v>
      </c>
      <c r="Q424" s="3">
        <v>76.34467</v>
      </c>
      <c r="R424" s="3">
        <v>12</v>
      </c>
      <c r="S424" s="3">
        <v>8.5</v>
      </c>
      <c r="U424" s="3">
        <v>5.07</v>
      </c>
      <c r="V424" s="3">
        <v>9.6</v>
      </c>
    </row>
    <row r="425" spans="1:22" ht="21.75">
      <c r="A425" s="3">
        <v>301</v>
      </c>
      <c r="B425" s="4" t="s">
        <v>386</v>
      </c>
      <c r="C425" s="4" t="s">
        <v>388</v>
      </c>
      <c r="D425" s="3">
        <v>150</v>
      </c>
      <c r="E425" s="3">
        <v>34.2</v>
      </c>
      <c r="F425" s="3">
        <v>100</v>
      </c>
      <c r="G425" s="4" t="s">
        <v>343</v>
      </c>
      <c r="H425" s="3" t="b">
        <v>1</v>
      </c>
      <c r="I425" s="3">
        <v>9</v>
      </c>
      <c r="J425" s="3">
        <v>9</v>
      </c>
      <c r="K425" s="3">
        <v>43.68</v>
      </c>
      <c r="L425" s="3">
        <v>1004</v>
      </c>
      <c r="M425" s="3">
        <v>692.33</v>
      </c>
      <c r="N425" s="3">
        <v>4.794304</v>
      </c>
      <c r="O425" s="25">
        <v>3.981212</v>
      </c>
      <c r="P425" s="32">
        <v>98.05</v>
      </c>
      <c r="Q425" s="3">
        <v>66.25167</v>
      </c>
      <c r="R425" s="3">
        <v>12</v>
      </c>
      <c r="S425" s="3">
        <v>6</v>
      </c>
      <c r="U425" s="3">
        <v>4.76</v>
      </c>
      <c r="V425" s="3">
        <v>10.45</v>
      </c>
    </row>
    <row r="426" spans="1:22" ht="21.75">
      <c r="A426" s="3">
        <v>302</v>
      </c>
      <c r="B426" s="4" t="s">
        <v>386</v>
      </c>
      <c r="C426" s="4" t="s">
        <v>388</v>
      </c>
      <c r="D426" s="3">
        <v>150</v>
      </c>
      <c r="E426" s="3">
        <v>44.7</v>
      </c>
      <c r="F426" s="3">
        <v>100</v>
      </c>
      <c r="G426" s="4" t="s">
        <v>344</v>
      </c>
      <c r="H426" s="3" t="b">
        <v>1</v>
      </c>
      <c r="I426" s="3">
        <v>12</v>
      </c>
      <c r="J426" s="3">
        <v>12</v>
      </c>
      <c r="K426" s="3">
        <v>57.12</v>
      </c>
      <c r="L426" s="3">
        <v>1284</v>
      </c>
      <c r="M426" s="3">
        <v>973.51</v>
      </c>
      <c r="N426" s="3">
        <v>4.741201</v>
      </c>
      <c r="O426" s="25">
        <v>4.128352</v>
      </c>
      <c r="P426" s="32">
        <v>126.88</v>
      </c>
      <c r="Q426" s="3">
        <v>91.84084</v>
      </c>
      <c r="R426" s="3">
        <v>12</v>
      </c>
      <c r="S426" s="3">
        <v>8.5</v>
      </c>
      <c r="U426" s="3">
        <v>4.88</v>
      </c>
      <c r="V426" s="3">
        <v>10.6</v>
      </c>
    </row>
    <row r="427" spans="1:22" ht="21.75">
      <c r="A427" s="3">
        <v>303</v>
      </c>
      <c r="B427" s="4" t="s">
        <v>386</v>
      </c>
      <c r="C427" s="4" t="s">
        <v>388</v>
      </c>
      <c r="D427" s="3">
        <v>150</v>
      </c>
      <c r="E427" s="3">
        <v>55.3</v>
      </c>
      <c r="F427" s="3">
        <v>100</v>
      </c>
      <c r="G427" s="4" t="s">
        <v>345</v>
      </c>
      <c r="H427" s="3" t="b">
        <v>1</v>
      </c>
      <c r="I427" s="3">
        <v>15</v>
      </c>
      <c r="J427" s="3">
        <v>15</v>
      </c>
      <c r="K427" s="3">
        <v>70.5</v>
      </c>
      <c r="L427" s="3">
        <v>1564</v>
      </c>
      <c r="M427" s="3">
        <v>1310.47</v>
      </c>
      <c r="N427" s="3">
        <v>4.710032</v>
      </c>
      <c r="O427" s="25">
        <v>4.311402</v>
      </c>
      <c r="P427" s="32">
        <v>156.4</v>
      </c>
      <c r="Q427" s="3">
        <v>121.9039</v>
      </c>
      <c r="R427" s="3">
        <v>12</v>
      </c>
      <c r="S427" s="3">
        <v>8.5</v>
      </c>
      <c r="U427" s="3">
        <v>5</v>
      </c>
      <c r="V427" s="3">
        <v>10.75</v>
      </c>
    </row>
    <row r="428" spans="1:22" ht="21.75">
      <c r="A428" s="3">
        <v>304</v>
      </c>
      <c r="B428" s="4" t="s">
        <v>386</v>
      </c>
      <c r="C428" s="4" t="s">
        <v>389</v>
      </c>
      <c r="D428" s="3">
        <v>75</v>
      </c>
      <c r="E428" s="3">
        <v>22</v>
      </c>
      <c r="F428" s="3">
        <v>90</v>
      </c>
      <c r="G428" s="4" t="s">
        <v>357</v>
      </c>
      <c r="H428" s="3" t="b">
        <v>1</v>
      </c>
      <c r="I428" s="3">
        <v>9</v>
      </c>
      <c r="J428" s="3">
        <v>9</v>
      </c>
      <c r="K428" s="3">
        <v>28.08</v>
      </c>
      <c r="L428" s="3">
        <v>136.2</v>
      </c>
      <c r="M428" s="3">
        <v>505.54</v>
      </c>
      <c r="N428" s="3">
        <v>2.202368</v>
      </c>
      <c r="O428" s="25">
        <v>4.243057</v>
      </c>
      <c r="P428" s="32">
        <v>24.76</v>
      </c>
      <c r="Q428" s="3">
        <v>53.49621</v>
      </c>
      <c r="R428" s="3">
        <v>8.5</v>
      </c>
      <c r="S428" s="3">
        <v>6</v>
      </c>
      <c r="U428" s="3">
        <v>2</v>
      </c>
      <c r="V428" s="3">
        <v>9.45</v>
      </c>
    </row>
    <row r="429" spans="1:22" ht="21.75">
      <c r="A429" s="3">
        <v>305</v>
      </c>
      <c r="B429" s="4" t="s">
        <v>386</v>
      </c>
      <c r="C429" s="4" t="s">
        <v>389</v>
      </c>
      <c r="D429" s="3">
        <v>75</v>
      </c>
      <c r="E429" s="3">
        <v>18.6</v>
      </c>
      <c r="F429" s="3">
        <v>100</v>
      </c>
      <c r="G429" s="4" t="s">
        <v>352</v>
      </c>
      <c r="H429" s="3" t="b">
        <v>1</v>
      </c>
      <c r="I429" s="3">
        <v>7</v>
      </c>
      <c r="J429" s="3">
        <v>7</v>
      </c>
      <c r="K429" s="3">
        <v>23.74</v>
      </c>
      <c r="L429" s="3">
        <v>113.8</v>
      </c>
      <c r="M429" s="3">
        <v>512.05</v>
      </c>
      <c r="N429" s="3">
        <v>2.189429</v>
      </c>
      <c r="O429" s="25">
        <v>4.644258</v>
      </c>
      <c r="P429" s="32">
        <v>20.07</v>
      </c>
      <c r="Q429" s="3">
        <v>49.47354</v>
      </c>
      <c r="R429" s="3">
        <v>10</v>
      </c>
      <c r="S429" s="3">
        <v>5</v>
      </c>
      <c r="U429" s="3">
        <v>1.83</v>
      </c>
      <c r="V429" s="3">
        <v>10.35</v>
      </c>
    </row>
    <row r="430" spans="1:22" ht="21.75">
      <c r="A430" s="3">
        <v>306</v>
      </c>
      <c r="B430" s="4" t="s">
        <v>386</v>
      </c>
      <c r="C430" s="4" t="s">
        <v>389</v>
      </c>
      <c r="D430" s="3">
        <v>75</v>
      </c>
      <c r="E430" s="3">
        <v>26</v>
      </c>
      <c r="F430" s="3">
        <v>100</v>
      </c>
      <c r="G430" s="4" t="s">
        <v>353</v>
      </c>
      <c r="H430" s="3" t="b">
        <v>1</v>
      </c>
      <c r="I430" s="3">
        <v>10</v>
      </c>
      <c r="J430" s="3">
        <v>10</v>
      </c>
      <c r="K430" s="3">
        <v>33</v>
      </c>
      <c r="L430" s="3">
        <v>152.2</v>
      </c>
      <c r="M430" s="3">
        <v>762.47</v>
      </c>
      <c r="N430" s="3">
        <v>2.147585</v>
      </c>
      <c r="O430" s="25">
        <v>4.806794</v>
      </c>
      <c r="P430" s="32">
        <v>27.37</v>
      </c>
      <c r="Q430" s="3">
        <v>72.61655</v>
      </c>
      <c r="R430" s="3">
        <v>10</v>
      </c>
      <c r="S430" s="3">
        <v>7</v>
      </c>
      <c r="U430" s="3">
        <v>1.94</v>
      </c>
      <c r="V430" s="3">
        <v>10.5</v>
      </c>
    </row>
    <row r="431" spans="1:22" ht="21.75">
      <c r="A431" s="3">
        <v>307</v>
      </c>
      <c r="B431" s="4" t="s">
        <v>386</v>
      </c>
      <c r="C431" s="4" t="s">
        <v>389</v>
      </c>
      <c r="D431" s="3">
        <v>75</v>
      </c>
      <c r="E431" s="3">
        <v>21.4</v>
      </c>
      <c r="F431" s="3">
        <v>125</v>
      </c>
      <c r="G431" s="4" t="s">
        <v>354</v>
      </c>
      <c r="H431" s="3" t="b">
        <v>1</v>
      </c>
      <c r="I431" s="3">
        <v>7</v>
      </c>
      <c r="J431" s="3">
        <v>7</v>
      </c>
      <c r="K431" s="3">
        <v>27.24</v>
      </c>
      <c r="L431" s="3">
        <v>120.8</v>
      </c>
      <c r="M431" s="3">
        <v>977.42</v>
      </c>
      <c r="N431" s="3">
        <v>2.105862</v>
      </c>
      <c r="O431" s="25">
        <v>5.990141</v>
      </c>
      <c r="P431" s="32">
        <v>20.61</v>
      </c>
      <c r="Q431" s="3">
        <v>76.06382</v>
      </c>
      <c r="R431" s="3">
        <v>10</v>
      </c>
      <c r="S431" s="3">
        <v>5</v>
      </c>
      <c r="U431" s="3">
        <v>1.64</v>
      </c>
      <c r="V431" s="3">
        <v>12.85</v>
      </c>
    </row>
    <row r="432" spans="1:22" ht="21.75">
      <c r="A432" s="3">
        <v>308</v>
      </c>
      <c r="B432" s="4" t="s">
        <v>386</v>
      </c>
      <c r="C432" s="4" t="s">
        <v>389</v>
      </c>
      <c r="D432" s="3">
        <v>75</v>
      </c>
      <c r="E432" s="3">
        <v>29.8</v>
      </c>
      <c r="F432" s="3">
        <v>125</v>
      </c>
      <c r="G432" s="4" t="s">
        <v>355</v>
      </c>
      <c r="H432" s="3" t="b">
        <v>1</v>
      </c>
      <c r="I432" s="3">
        <v>10</v>
      </c>
      <c r="J432" s="3">
        <v>10</v>
      </c>
      <c r="K432" s="3">
        <v>38</v>
      </c>
      <c r="L432" s="3">
        <v>161.6</v>
      </c>
      <c r="M432" s="3">
        <v>1444.58</v>
      </c>
      <c r="N432" s="3">
        <v>2.062191</v>
      </c>
      <c r="O432" s="25">
        <v>6.16565</v>
      </c>
      <c r="P432" s="32">
        <v>28.1</v>
      </c>
      <c r="Q432" s="3">
        <v>111.1215</v>
      </c>
      <c r="R432" s="3">
        <v>10</v>
      </c>
      <c r="S432" s="3">
        <v>7</v>
      </c>
      <c r="U432" s="3">
        <v>1.75</v>
      </c>
      <c r="V432" s="3">
        <v>13</v>
      </c>
    </row>
    <row r="433" spans="1:22" ht="21.75">
      <c r="A433" s="3">
        <v>309</v>
      </c>
      <c r="B433" s="4" t="s">
        <v>386</v>
      </c>
      <c r="C433" s="4" t="s">
        <v>389</v>
      </c>
      <c r="D433" s="3">
        <v>75</v>
      </c>
      <c r="E433" s="3">
        <v>38.2</v>
      </c>
      <c r="F433" s="3">
        <v>125</v>
      </c>
      <c r="G433" s="4" t="s">
        <v>356</v>
      </c>
      <c r="H433" s="3" t="b">
        <v>1</v>
      </c>
      <c r="I433" s="3">
        <v>13</v>
      </c>
      <c r="J433" s="3">
        <v>13</v>
      </c>
      <c r="K433" s="3">
        <v>48.62</v>
      </c>
      <c r="L433" s="3">
        <v>202</v>
      </c>
      <c r="M433" s="3">
        <v>1967.5</v>
      </c>
      <c r="N433" s="3">
        <v>2.038301</v>
      </c>
      <c r="O433" s="25">
        <v>6.361359</v>
      </c>
      <c r="P433" s="32">
        <v>35.88</v>
      </c>
      <c r="Q433" s="3">
        <v>149.6198</v>
      </c>
      <c r="R433" s="3">
        <v>10</v>
      </c>
      <c r="S433" s="3">
        <v>7</v>
      </c>
      <c r="U433" s="3">
        <v>1.87</v>
      </c>
      <c r="V433" s="3">
        <v>13.15</v>
      </c>
    </row>
    <row r="434" spans="1:22" ht="21.75">
      <c r="A434" s="3">
        <v>310</v>
      </c>
      <c r="B434" s="4" t="s">
        <v>386</v>
      </c>
      <c r="C434" s="4" t="s">
        <v>389</v>
      </c>
      <c r="D434" s="3">
        <v>90</v>
      </c>
      <c r="E434" s="3">
        <v>32.2</v>
      </c>
      <c r="F434" s="3">
        <v>125</v>
      </c>
      <c r="G434" s="4" t="s">
        <v>358</v>
      </c>
      <c r="H434" s="3" t="b">
        <v>1</v>
      </c>
      <c r="I434" s="3">
        <v>10</v>
      </c>
      <c r="J434" s="3">
        <v>10</v>
      </c>
      <c r="K434" s="3">
        <v>41</v>
      </c>
      <c r="L434" s="3">
        <v>276</v>
      </c>
      <c r="M434" s="3">
        <v>1447.9</v>
      </c>
      <c r="N434" s="3">
        <v>2.594553</v>
      </c>
      <c r="O434" s="25">
        <v>5.942617</v>
      </c>
      <c r="P434" s="32">
        <v>40.71</v>
      </c>
      <c r="Q434" s="3">
        <v>111.3771</v>
      </c>
      <c r="R434" s="3">
        <v>10</v>
      </c>
      <c r="S434" s="3">
        <v>7</v>
      </c>
      <c r="U434" s="3">
        <v>2.22</v>
      </c>
      <c r="V434" s="3">
        <v>13</v>
      </c>
    </row>
    <row r="435" spans="1:22" ht="21.75">
      <c r="A435" s="3">
        <v>311</v>
      </c>
      <c r="B435" s="4" t="s">
        <v>386</v>
      </c>
      <c r="C435" s="4" t="s">
        <v>389</v>
      </c>
      <c r="D435" s="3">
        <v>90</v>
      </c>
      <c r="E435" s="3">
        <v>41.1</v>
      </c>
      <c r="F435" s="3">
        <v>125</v>
      </c>
      <c r="G435" s="4" t="s">
        <v>359</v>
      </c>
      <c r="H435" s="3" t="b">
        <v>1</v>
      </c>
      <c r="I435" s="3">
        <v>13</v>
      </c>
      <c r="J435" s="3">
        <v>13</v>
      </c>
      <c r="K435" s="3">
        <v>52.52</v>
      </c>
      <c r="L435" s="3">
        <v>346</v>
      </c>
      <c r="M435" s="3">
        <v>1972.06</v>
      </c>
      <c r="N435" s="3">
        <v>2.566703</v>
      </c>
      <c r="O435" s="25">
        <v>6.127706</v>
      </c>
      <c r="P435" s="32">
        <v>51.95</v>
      </c>
      <c r="Q435" s="3">
        <v>149.9667</v>
      </c>
      <c r="R435" s="3">
        <v>10</v>
      </c>
      <c r="S435" s="3">
        <v>7</v>
      </c>
      <c r="U435" s="3">
        <v>2.34</v>
      </c>
      <c r="V435" s="3">
        <v>13.15</v>
      </c>
    </row>
    <row r="436" spans="1:22" ht="21.75">
      <c r="A436" s="3">
        <v>312</v>
      </c>
      <c r="B436" s="4" t="s">
        <v>386</v>
      </c>
      <c r="C436" s="4" t="s">
        <v>389</v>
      </c>
      <c r="D436" s="3">
        <v>90</v>
      </c>
      <c r="E436" s="3">
        <v>32.8</v>
      </c>
      <c r="F436" s="3">
        <v>150</v>
      </c>
      <c r="G436" s="4" t="s">
        <v>360</v>
      </c>
      <c r="H436" s="3" t="b">
        <v>1</v>
      </c>
      <c r="I436" s="3">
        <v>9</v>
      </c>
      <c r="J436" s="3">
        <v>9</v>
      </c>
      <c r="K436" s="3">
        <v>41.88</v>
      </c>
      <c r="L436" s="3">
        <v>266</v>
      </c>
      <c r="M436" s="3">
        <v>2191.22</v>
      </c>
      <c r="N436" s="3">
        <v>2.520214</v>
      </c>
      <c r="O436" s="25">
        <v>7.233354</v>
      </c>
      <c r="P436" s="32">
        <v>37.95</v>
      </c>
      <c r="Q436" s="3">
        <v>141.8266</v>
      </c>
      <c r="R436" s="3">
        <v>12</v>
      </c>
      <c r="S436" s="3">
        <v>6</v>
      </c>
      <c r="U436" s="3">
        <v>1.99</v>
      </c>
      <c r="V436" s="3">
        <v>15.45</v>
      </c>
    </row>
    <row r="437" spans="1:22" ht="21.75">
      <c r="A437" s="3">
        <v>313</v>
      </c>
      <c r="B437" s="4" t="s">
        <v>386</v>
      </c>
      <c r="C437" s="4" t="s">
        <v>389</v>
      </c>
      <c r="D437" s="3">
        <v>90</v>
      </c>
      <c r="E437" s="3">
        <v>42.9</v>
      </c>
      <c r="F437" s="3">
        <v>150</v>
      </c>
      <c r="G437" s="4" t="s">
        <v>361</v>
      </c>
      <c r="H437" s="3" t="b">
        <v>1</v>
      </c>
      <c r="I437" s="3">
        <v>12</v>
      </c>
      <c r="J437" s="3">
        <v>12</v>
      </c>
      <c r="K437" s="3">
        <v>54.72</v>
      </c>
      <c r="L437" s="3">
        <v>334</v>
      </c>
      <c r="M437" s="3">
        <v>2997.19</v>
      </c>
      <c r="N437" s="3">
        <v>2.470587</v>
      </c>
      <c r="O437" s="25">
        <v>7.40089</v>
      </c>
      <c r="P437" s="32">
        <v>48.41</v>
      </c>
      <c r="Q437" s="3">
        <v>192.1274</v>
      </c>
      <c r="R437" s="3">
        <v>12</v>
      </c>
      <c r="S437" s="3">
        <v>8.5</v>
      </c>
      <c r="U437" s="3">
        <v>2.1</v>
      </c>
      <c r="V437" s="3">
        <v>15.6</v>
      </c>
    </row>
    <row r="438" spans="1:22" ht="21.75">
      <c r="A438" s="3">
        <v>314</v>
      </c>
      <c r="B438" s="4" t="s">
        <v>386</v>
      </c>
      <c r="C438" s="4" t="s">
        <v>389</v>
      </c>
      <c r="D438" s="3">
        <v>100</v>
      </c>
      <c r="E438" s="3">
        <v>34.2</v>
      </c>
      <c r="F438" s="3">
        <v>150</v>
      </c>
      <c r="G438" s="4" t="s">
        <v>349</v>
      </c>
      <c r="H438" s="3" t="b">
        <v>1</v>
      </c>
      <c r="I438" s="3">
        <v>9</v>
      </c>
      <c r="J438" s="3">
        <v>9</v>
      </c>
      <c r="K438" s="3">
        <v>43.68</v>
      </c>
      <c r="L438" s="3">
        <v>362</v>
      </c>
      <c r="M438" s="3">
        <v>2189.65</v>
      </c>
      <c r="N438" s="3">
        <v>2.87881</v>
      </c>
      <c r="O438" s="25">
        <v>7.080215</v>
      </c>
      <c r="P438" s="32">
        <v>47.01</v>
      </c>
      <c r="Q438" s="3">
        <v>141.7252</v>
      </c>
      <c r="R438" s="3">
        <v>12</v>
      </c>
      <c r="S438" s="3">
        <v>6</v>
      </c>
      <c r="U438" s="3">
        <v>2.3</v>
      </c>
      <c r="V438" s="3">
        <v>15.45</v>
      </c>
    </row>
    <row r="439" spans="1:22" ht="21.75">
      <c r="A439" s="3">
        <v>315</v>
      </c>
      <c r="B439" s="4" t="s">
        <v>386</v>
      </c>
      <c r="C439" s="4" t="s">
        <v>389</v>
      </c>
      <c r="D439" s="3">
        <v>100</v>
      </c>
      <c r="E439" s="3">
        <v>44.7</v>
      </c>
      <c r="F439" s="3">
        <v>150</v>
      </c>
      <c r="G439" s="4" t="s">
        <v>350</v>
      </c>
      <c r="H439" s="3" t="b">
        <v>1</v>
      </c>
      <c r="I439" s="3">
        <v>12</v>
      </c>
      <c r="J439" s="3">
        <v>12</v>
      </c>
      <c r="K439" s="3">
        <v>57.12</v>
      </c>
      <c r="L439" s="3">
        <v>456</v>
      </c>
      <c r="M439" s="3">
        <v>2999.34</v>
      </c>
      <c r="N439" s="3">
        <v>2.825454</v>
      </c>
      <c r="O439" s="25">
        <v>7.246336</v>
      </c>
      <c r="P439" s="32">
        <v>60.08</v>
      </c>
      <c r="Q439" s="3">
        <v>192.2652</v>
      </c>
      <c r="R439" s="3">
        <v>12</v>
      </c>
      <c r="S439" s="3">
        <v>8.5</v>
      </c>
      <c r="U439" s="3">
        <v>2.41</v>
      </c>
      <c r="V439" s="3">
        <v>15.6</v>
      </c>
    </row>
    <row r="440" spans="1:22" ht="21.75">
      <c r="A440" s="3">
        <v>316</v>
      </c>
      <c r="B440" s="4" t="s">
        <v>386</v>
      </c>
      <c r="C440" s="4" t="s">
        <v>389</v>
      </c>
      <c r="D440" s="3">
        <v>100</v>
      </c>
      <c r="E440" s="3">
        <v>55.3</v>
      </c>
      <c r="F440" s="3">
        <v>150</v>
      </c>
      <c r="G440" s="4" t="s">
        <v>351</v>
      </c>
      <c r="H440" s="3" t="b">
        <v>1</v>
      </c>
      <c r="I440" s="3">
        <v>15</v>
      </c>
      <c r="J440" s="3">
        <v>15</v>
      </c>
      <c r="K440" s="3">
        <v>70.5</v>
      </c>
      <c r="L440" s="3">
        <v>552</v>
      </c>
      <c r="M440" s="3">
        <v>3894.91</v>
      </c>
      <c r="N440" s="3">
        <v>2.798176</v>
      </c>
      <c r="O440" s="25">
        <v>7.432826</v>
      </c>
      <c r="P440" s="32">
        <v>73.9</v>
      </c>
      <c r="Q440" s="3">
        <v>247.2956</v>
      </c>
      <c r="R440" s="3">
        <v>12</v>
      </c>
      <c r="S440" s="3">
        <v>8.5</v>
      </c>
      <c r="U440" s="3">
        <v>2.53</v>
      </c>
      <c r="V440" s="3">
        <v>15.75</v>
      </c>
    </row>
    <row r="441" spans="1:22" ht="21.75">
      <c r="A441" s="3">
        <v>317</v>
      </c>
      <c r="B441" s="4" t="s">
        <v>390</v>
      </c>
      <c r="C441" s="4" t="s">
        <v>390</v>
      </c>
      <c r="D441" s="3">
        <v>50</v>
      </c>
      <c r="E441" s="3">
        <v>7.7</v>
      </c>
      <c r="F441" s="3">
        <v>25</v>
      </c>
      <c r="G441" s="4" t="s">
        <v>68</v>
      </c>
      <c r="H441" s="3" t="b">
        <v>1</v>
      </c>
      <c r="I441" s="3">
        <v>5</v>
      </c>
      <c r="J441" s="3">
        <v>6</v>
      </c>
      <c r="K441" s="3">
        <v>9.84</v>
      </c>
      <c r="L441" s="3">
        <v>33.6</v>
      </c>
      <c r="M441" s="3">
        <v>16.04</v>
      </c>
      <c r="N441" s="3">
        <v>1.847873</v>
      </c>
      <c r="O441" s="25">
        <v>1.276596</v>
      </c>
      <c r="P441" s="32">
        <v>13.44</v>
      </c>
      <c r="Q441" s="3">
        <v>5.831354</v>
      </c>
      <c r="R441" s="3">
        <v>6</v>
      </c>
      <c r="S441" s="3">
        <v>3</v>
      </c>
      <c r="U441" s="3">
        <v>2.5</v>
      </c>
      <c r="V441" s="3">
        <v>2.75</v>
      </c>
    </row>
    <row r="442" spans="1:22" ht="21.75">
      <c r="A442" s="3">
        <v>318</v>
      </c>
      <c r="B442" s="4" t="s">
        <v>390</v>
      </c>
      <c r="C442" s="4" t="s">
        <v>390</v>
      </c>
      <c r="D442" s="3">
        <v>75</v>
      </c>
      <c r="E442" s="3">
        <v>13.8</v>
      </c>
      <c r="F442" s="3">
        <v>40</v>
      </c>
      <c r="G442" s="4" t="s">
        <v>69</v>
      </c>
      <c r="H442" s="3" t="b">
        <v>1</v>
      </c>
      <c r="I442" s="3">
        <v>5</v>
      </c>
      <c r="J442" s="3">
        <v>7</v>
      </c>
      <c r="K442" s="3">
        <v>17.636</v>
      </c>
      <c r="L442" s="3">
        <v>150.6</v>
      </c>
      <c r="M442" s="3">
        <v>65.68</v>
      </c>
      <c r="N442" s="3">
        <v>2.922217</v>
      </c>
      <c r="O442" s="25">
        <v>1.929879</v>
      </c>
      <c r="P442" s="32">
        <v>40.16</v>
      </c>
      <c r="Q442" s="3">
        <v>15.45508</v>
      </c>
      <c r="R442" s="3">
        <v>8</v>
      </c>
      <c r="S442" s="3">
        <v>4</v>
      </c>
      <c r="U442" s="3">
        <v>3.75</v>
      </c>
      <c r="V442" s="3">
        <v>4.25</v>
      </c>
    </row>
    <row r="443" spans="1:22" ht="21.75">
      <c r="A443" s="3">
        <v>319</v>
      </c>
      <c r="B443" s="4" t="s">
        <v>390</v>
      </c>
      <c r="C443" s="4" t="s">
        <v>390</v>
      </c>
      <c r="D443" s="3">
        <v>100</v>
      </c>
      <c r="E443" s="3">
        <v>18.7</v>
      </c>
      <c r="F443" s="3">
        <v>50</v>
      </c>
      <c r="G443" s="4" t="s">
        <v>53</v>
      </c>
      <c r="H443" s="3" t="b">
        <v>1</v>
      </c>
      <c r="I443" s="3">
        <v>5</v>
      </c>
      <c r="J443" s="3">
        <v>7.5</v>
      </c>
      <c r="K443" s="3">
        <v>23.84</v>
      </c>
      <c r="L443" s="3">
        <v>376</v>
      </c>
      <c r="M443" s="3">
        <v>128.39</v>
      </c>
      <c r="N443" s="3">
        <v>3.971374</v>
      </c>
      <c r="O443" s="25">
        <v>2.320627</v>
      </c>
      <c r="P443" s="32">
        <v>75.2</v>
      </c>
      <c r="Q443" s="3">
        <v>24.45443</v>
      </c>
      <c r="R443" s="3">
        <v>8</v>
      </c>
      <c r="S443" s="3">
        <v>4</v>
      </c>
      <c r="U443" s="3">
        <v>5</v>
      </c>
      <c r="V443" s="3">
        <v>5.25</v>
      </c>
    </row>
    <row r="444" spans="1:22" ht="21.75">
      <c r="A444" s="3">
        <v>320</v>
      </c>
      <c r="B444" s="4" t="s">
        <v>390</v>
      </c>
      <c r="C444" s="4" t="s">
        <v>390</v>
      </c>
      <c r="D444" s="3">
        <v>125</v>
      </c>
      <c r="E444" s="3">
        <v>26.8</v>
      </c>
      <c r="F444" s="3">
        <v>65</v>
      </c>
      <c r="G444" s="4" t="s">
        <v>54</v>
      </c>
      <c r="H444" s="3" t="b">
        <v>1</v>
      </c>
      <c r="I444" s="3">
        <v>6</v>
      </c>
      <c r="J444" s="3">
        <v>8</v>
      </c>
      <c r="K444" s="3">
        <v>34.22</v>
      </c>
      <c r="L444" s="3">
        <v>848</v>
      </c>
      <c r="M444" s="3">
        <v>289.22</v>
      </c>
      <c r="N444" s="3">
        <v>4.978035</v>
      </c>
      <c r="O444" s="25">
        <v>2.907219</v>
      </c>
      <c r="P444" s="32">
        <v>135.68</v>
      </c>
      <c r="Q444" s="3">
        <v>42.53306</v>
      </c>
      <c r="R444" s="3">
        <v>8</v>
      </c>
      <c r="S444" s="3">
        <v>4</v>
      </c>
      <c r="U444" s="3">
        <v>6.25</v>
      </c>
      <c r="V444" s="3">
        <v>6.8</v>
      </c>
    </row>
    <row r="445" spans="1:22" ht="21.75">
      <c r="A445" s="3">
        <v>321</v>
      </c>
      <c r="B445" s="4" t="s">
        <v>390</v>
      </c>
      <c r="C445" s="4" t="s">
        <v>390</v>
      </c>
      <c r="D445" s="3">
        <v>150</v>
      </c>
      <c r="E445" s="3">
        <v>37.2</v>
      </c>
      <c r="F445" s="3">
        <v>75</v>
      </c>
      <c r="G445" s="4" t="s">
        <v>55</v>
      </c>
      <c r="H445" s="3" t="b">
        <v>1</v>
      </c>
      <c r="I445" s="3">
        <v>6.5</v>
      </c>
      <c r="J445" s="3">
        <v>10</v>
      </c>
      <c r="K445" s="3">
        <v>47.42</v>
      </c>
      <c r="L445" s="3">
        <v>1722</v>
      </c>
      <c r="M445" s="3">
        <v>555.79</v>
      </c>
      <c r="N445" s="3">
        <v>6.026093</v>
      </c>
      <c r="O445" s="25">
        <v>3.423544</v>
      </c>
      <c r="P445" s="32">
        <v>229.6</v>
      </c>
      <c r="Q445" s="3">
        <v>71.0279</v>
      </c>
      <c r="R445" s="3">
        <v>10</v>
      </c>
      <c r="S445" s="3">
        <v>5</v>
      </c>
      <c r="U445" s="3">
        <v>7.5</v>
      </c>
      <c r="V445" s="3">
        <v>7.825</v>
      </c>
    </row>
    <row r="446" spans="1:22" ht="21.75">
      <c r="A446" s="3">
        <v>322</v>
      </c>
      <c r="B446" s="4" t="s">
        <v>390</v>
      </c>
      <c r="C446" s="4" t="s">
        <v>390</v>
      </c>
      <c r="D446" s="3">
        <v>150</v>
      </c>
      <c r="E446" s="3">
        <v>47.9</v>
      </c>
      <c r="F446" s="3">
        <v>75</v>
      </c>
      <c r="G446" s="4" t="s">
        <v>56</v>
      </c>
      <c r="H446" s="3" t="b">
        <v>1</v>
      </c>
      <c r="I446" s="3">
        <v>9</v>
      </c>
      <c r="J446" s="3">
        <v>12.5</v>
      </c>
      <c r="K446" s="3">
        <v>61.18</v>
      </c>
      <c r="L446" s="3">
        <v>2100</v>
      </c>
      <c r="M446" s="3">
        <v>760.04</v>
      </c>
      <c r="N446" s="3">
        <v>5.858749</v>
      </c>
      <c r="O446" s="25">
        <v>3.524641</v>
      </c>
      <c r="P446" s="32">
        <v>280</v>
      </c>
      <c r="Q446" s="3">
        <v>95.60312</v>
      </c>
      <c r="R446" s="3">
        <v>15</v>
      </c>
      <c r="S446" s="3">
        <v>7.5</v>
      </c>
      <c r="U446" s="3">
        <v>7.5</v>
      </c>
      <c r="V446" s="3">
        <v>7.95</v>
      </c>
    </row>
    <row r="447" spans="1:22" ht="21.75">
      <c r="A447" s="3">
        <v>323</v>
      </c>
      <c r="B447" s="4" t="s">
        <v>390</v>
      </c>
      <c r="C447" s="4" t="s">
        <v>390</v>
      </c>
      <c r="D447" s="3">
        <v>180</v>
      </c>
      <c r="E447" s="3">
        <v>42.7</v>
      </c>
      <c r="F447" s="3">
        <v>75</v>
      </c>
      <c r="G447" s="4" t="s">
        <v>57</v>
      </c>
      <c r="H447" s="3" t="b">
        <v>1</v>
      </c>
      <c r="I447" s="3">
        <v>7</v>
      </c>
      <c r="J447" s="3">
        <v>10.5</v>
      </c>
      <c r="K447" s="3">
        <v>54.4</v>
      </c>
      <c r="L447" s="3">
        <v>2760</v>
      </c>
      <c r="M447" s="3">
        <v>596.58</v>
      </c>
      <c r="N447" s="3">
        <v>7.122871</v>
      </c>
      <c r="O447" s="25">
        <v>3.311582</v>
      </c>
      <c r="P447" s="32">
        <v>306.67</v>
      </c>
      <c r="Q447" s="3">
        <v>75.99767</v>
      </c>
      <c r="R447" s="3">
        <v>11</v>
      </c>
      <c r="S447" s="3">
        <v>5.5</v>
      </c>
      <c r="U447" s="3">
        <v>9</v>
      </c>
      <c r="V447" s="3">
        <v>7.85</v>
      </c>
    </row>
    <row r="448" spans="1:22" ht="21.75">
      <c r="A448" s="3">
        <v>324</v>
      </c>
      <c r="B448" s="4" t="s">
        <v>390</v>
      </c>
      <c r="C448" s="4" t="s">
        <v>390</v>
      </c>
      <c r="D448" s="3">
        <v>200</v>
      </c>
      <c r="E448" s="3">
        <v>49.1</v>
      </c>
      <c r="F448" s="3">
        <v>80</v>
      </c>
      <c r="G448" s="4" t="s">
        <v>58</v>
      </c>
      <c r="H448" s="3" t="b">
        <v>1</v>
      </c>
      <c r="I448" s="3">
        <v>7.5</v>
      </c>
      <c r="J448" s="3">
        <v>11</v>
      </c>
      <c r="K448" s="3">
        <v>62.66</v>
      </c>
      <c r="L448" s="3">
        <v>3900</v>
      </c>
      <c r="M448" s="3">
        <v>754.71</v>
      </c>
      <c r="N448" s="3">
        <v>7.889275</v>
      </c>
      <c r="O448" s="25">
        <v>3.470518</v>
      </c>
      <c r="P448" s="32">
        <v>390</v>
      </c>
      <c r="Q448" s="3">
        <v>90.11441</v>
      </c>
      <c r="R448" s="3">
        <v>12</v>
      </c>
      <c r="S448" s="3">
        <v>6</v>
      </c>
      <c r="U448" s="3">
        <v>10</v>
      </c>
      <c r="V448" s="3">
        <v>8.375</v>
      </c>
    </row>
    <row r="449" spans="1:22" ht="21.75">
      <c r="A449" s="3">
        <v>325</v>
      </c>
      <c r="B449" s="4" t="s">
        <v>390</v>
      </c>
      <c r="C449" s="4" t="s">
        <v>390</v>
      </c>
      <c r="D449" s="3">
        <v>200</v>
      </c>
      <c r="E449" s="3">
        <v>60.5</v>
      </c>
      <c r="F449" s="3">
        <v>90</v>
      </c>
      <c r="G449" s="4" t="s">
        <v>59</v>
      </c>
      <c r="H449" s="3" t="b">
        <v>1</v>
      </c>
      <c r="I449" s="3">
        <v>8</v>
      </c>
      <c r="J449" s="3">
        <v>13.5</v>
      </c>
      <c r="K449" s="3">
        <v>77.3</v>
      </c>
      <c r="L449" s="3">
        <v>4980</v>
      </c>
      <c r="M449" s="3">
        <v>1316.15</v>
      </c>
      <c r="N449" s="3">
        <v>8.026476</v>
      </c>
      <c r="O449" s="25">
        <v>4.126316</v>
      </c>
      <c r="P449" s="32">
        <v>498</v>
      </c>
      <c r="Q449" s="3">
        <v>140.0156</v>
      </c>
      <c r="R449" s="3">
        <v>14</v>
      </c>
      <c r="S449" s="3">
        <v>7</v>
      </c>
      <c r="U449" s="3">
        <v>10</v>
      </c>
      <c r="V449" s="3">
        <v>9.4</v>
      </c>
    </row>
    <row r="450" spans="1:22" ht="21.75">
      <c r="A450" s="3">
        <v>326</v>
      </c>
      <c r="B450" s="4" t="s">
        <v>390</v>
      </c>
      <c r="C450" s="4" t="s">
        <v>390</v>
      </c>
      <c r="D450" s="3">
        <v>250</v>
      </c>
      <c r="E450" s="3">
        <v>69.1</v>
      </c>
      <c r="F450" s="3">
        <v>90</v>
      </c>
      <c r="G450" s="4" t="s">
        <v>60</v>
      </c>
      <c r="H450" s="3" t="b">
        <v>1</v>
      </c>
      <c r="I450" s="3">
        <v>9</v>
      </c>
      <c r="J450" s="3">
        <v>13</v>
      </c>
      <c r="K450" s="3">
        <v>88.14</v>
      </c>
      <c r="L450" s="3">
        <v>8360</v>
      </c>
      <c r="M450" s="3">
        <v>1303.92</v>
      </c>
      <c r="N450" s="3">
        <v>9.739051</v>
      </c>
      <c r="O450" s="25">
        <v>3.846259</v>
      </c>
      <c r="P450" s="32">
        <v>668.8</v>
      </c>
      <c r="Q450" s="3">
        <v>137.9807</v>
      </c>
      <c r="R450" s="3">
        <v>14</v>
      </c>
      <c r="S450" s="3">
        <v>7</v>
      </c>
      <c r="U450" s="3">
        <v>12.5</v>
      </c>
      <c r="V450" s="3">
        <v>9.45</v>
      </c>
    </row>
    <row r="451" spans="1:22" ht="21.75">
      <c r="A451" s="3">
        <v>327</v>
      </c>
      <c r="B451" s="4" t="s">
        <v>390</v>
      </c>
      <c r="C451" s="4" t="s">
        <v>390</v>
      </c>
      <c r="D451" s="3">
        <v>250</v>
      </c>
      <c r="E451" s="3">
        <v>80.3</v>
      </c>
      <c r="F451" s="3">
        <v>90</v>
      </c>
      <c r="G451" s="4" t="s">
        <v>61</v>
      </c>
      <c r="H451" s="3" t="b">
        <v>1</v>
      </c>
      <c r="I451" s="3">
        <v>11</v>
      </c>
      <c r="J451" s="3">
        <v>14.5</v>
      </c>
      <c r="K451" s="3">
        <v>102.34</v>
      </c>
      <c r="L451" s="3">
        <v>9360</v>
      </c>
      <c r="M451" s="3">
        <v>1548.61</v>
      </c>
      <c r="N451" s="3">
        <v>9.563464</v>
      </c>
      <c r="O451" s="25">
        <v>3.889993</v>
      </c>
      <c r="P451" s="32">
        <v>748.8</v>
      </c>
      <c r="Q451" s="3">
        <v>162.1585</v>
      </c>
      <c r="R451" s="3">
        <v>17</v>
      </c>
      <c r="S451" s="3">
        <v>8.5</v>
      </c>
      <c r="U451" s="3">
        <v>12.5</v>
      </c>
      <c r="V451" s="3">
        <v>9.55</v>
      </c>
    </row>
    <row r="452" spans="1:22" ht="21.75">
      <c r="A452" s="3">
        <v>328</v>
      </c>
      <c r="B452" s="4" t="s">
        <v>390</v>
      </c>
      <c r="C452" s="4" t="s">
        <v>390</v>
      </c>
      <c r="D452" s="3">
        <v>300</v>
      </c>
      <c r="E452" s="3">
        <v>76.1</v>
      </c>
      <c r="F452" s="3">
        <v>90</v>
      </c>
      <c r="G452" s="4" t="s">
        <v>62</v>
      </c>
      <c r="H452" s="3" t="b">
        <v>1</v>
      </c>
      <c r="I452" s="3">
        <v>9</v>
      </c>
      <c r="J452" s="3">
        <v>13</v>
      </c>
      <c r="K452" s="3">
        <v>97.14</v>
      </c>
      <c r="L452" s="3">
        <v>12880</v>
      </c>
      <c r="M452" s="3">
        <v>1310.5</v>
      </c>
      <c r="N452" s="3">
        <v>11.51487</v>
      </c>
      <c r="O452" s="25">
        <v>3.67299</v>
      </c>
      <c r="P452" s="32">
        <v>858.67</v>
      </c>
      <c r="Q452" s="3">
        <v>138.6774</v>
      </c>
      <c r="R452" s="3">
        <v>14</v>
      </c>
      <c r="S452" s="3">
        <v>7</v>
      </c>
      <c r="U452" s="3">
        <v>15</v>
      </c>
      <c r="V452" s="3">
        <v>9.45</v>
      </c>
    </row>
    <row r="453" spans="1:22" ht="21.75">
      <c r="A453" s="3">
        <v>329</v>
      </c>
      <c r="B453" s="4" t="s">
        <v>390</v>
      </c>
      <c r="C453" s="4" t="s">
        <v>390</v>
      </c>
      <c r="D453" s="3">
        <v>300</v>
      </c>
      <c r="E453" s="3">
        <v>87.5</v>
      </c>
      <c r="F453" s="3">
        <v>90</v>
      </c>
      <c r="G453" s="4" t="s">
        <v>63</v>
      </c>
      <c r="H453" s="3" t="b">
        <v>1</v>
      </c>
      <c r="I453" s="3">
        <v>10</v>
      </c>
      <c r="J453" s="3">
        <v>15.5</v>
      </c>
      <c r="K453" s="3">
        <v>111.48</v>
      </c>
      <c r="L453" s="3">
        <v>14820</v>
      </c>
      <c r="M453" s="3">
        <v>1619.15</v>
      </c>
      <c r="N453" s="3">
        <v>11.5299</v>
      </c>
      <c r="O453" s="25">
        <v>3.811057</v>
      </c>
      <c r="P453" s="32">
        <v>988</v>
      </c>
      <c r="Q453" s="3">
        <v>170.4372</v>
      </c>
      <c r="R453" s="3">
        <v>19</v>
      </c>
      <c r="S453" s="3">
        <v>9.5</v>
      </c>
      <c r="U453" s="3">
        <v>15</v>
      </c>
      <c r="V453" s="3">
        <v>9.5</v>
      </c>
    </row>
    <row r="454" spans="1:22" ht="21.75">
      <c r="A454" s="3">
        <v>330</v>
      </c>
      <c r="B454" s="4" t="s">
        <v>390</v>
      </c>
      <c r="C454" s="4" t="s">
        <v>390</v>
      </c>
      <c r="D454" s="3">
        <v>300</v>
      </c>
      <c r="E454" s="3">
        <v>97.1</v>
      </c>
      <c r="F454" s="3">
        <v>90</v>
      </c>
      <c r="G454" s="4" t="s">
        <v>64</v>
      </c>
      <c r="H454" s="3" t="b">
        <v>1</v>
      </c>
      <c r="I454" s="3">
        <v>12</v>
      </c>
      <c r="J454" s="3">
        <v>16</v>
      </c>
      <c r="K454" s="3">
        <v>123.8</v>
      </c>
      <c r="L454" s="3">
        <v>15740</v>
      </c>
      <c r="M454" s="3">
        <v>1784.85</v>
      </c>
      <c r="N454" s="3">
        <v>11.27566</v>
      </c>
      <c r="O454" s="25">
        <v>3.796996</v>
      </c>
      <c r="P454" s="32">
        <v>1049.33</v>
      </c>
      <c r="Q454" s="3">
        <v>185.9215</v>
      </c>
      <c r="R454" s="3">
        <v>19</v>
      </c>
      <c r="S454" s="3">
        <v>9.5</v>
      </c>
      <c r="U454" s="3">
        <v>15</v>
      </c>
      <c r="V454" s="3">
        <v>9.6</v>
      </c>
    </row>
    <row r="455" spans="1:22" ht="21.75">
      <c r="A455" s="3">
        <v>331</v>
      </c>
      <c r="B455" s="4" t="s">
        <v>390</v>
      </c>
      <c r="C455" s="4" t="s">
        <v>390</v>
      </c>
      <c r="D455" s="3">
        <v>380</v>
      </c>
      <c r="E455" s="3">
        <v>108.9</v>
      </c>
      <c r="F455" s="3">
        <v>100</v>
      </c>
      <c r="G455" s="4" t="s">
        <v>65</v>
      </c>
      <c r="H455" s="3" t="b">
        <v>1</v>
      </c>
      <c r="I455" s="3">
        <v>10.5</v>
      </c>
      <c r="J455" s="3">
        <v>16</v>
      </c>
      <c r="K455" s="3">
        <v>138.78</v>
      </c>
      <c r="L455" s="3">
        <v>29000</v>
      </c>
      <c r="M455" s="3">
        <v>2265.48</v>
      </c>
      <c r="N455" s="3">
        <v>14.45558</v>
      </c>
      <c r="O455" s="25">
        <v>4.04033</v>
      </c>
      <c r="P455" s="32">
        <v>1526.32</v>
      </c>
      <c r="Q455" s="3">
        <v>215.2477</v>
      </c>
      <c r="R455" s="3">
        <v>18</v>
      </c>
      <c r="S455" s="3">
        <v>9</v>
      </c>
      <c r="U455" s="3">
        <v>19</v>
      </c>
      <c r="V455" s="3">
        <v>10.525</v>
      </c>
    </row>
    <row r="456" spans="1:22" ht="21.75">
      <c r="A456" s="3">
        <v>332</v>
      </c>
      <c r="B456" s="4" t="s">
        <v>390</v>
      </c>
      <c r="C456" s="4" t="s">
        <v>390</v>
      </c>
      <c r="D456" s="3">
        <v>380</v>
      </c>
      <c r="E456" s="3">
        <v>124</v>
      </c>
      <c r="F456" s="3">
        <v>100</v>
      </c>
      <c r="G456" s="4" t="s">
        <v>66</v>
      </c>
      <c r="H456" s="3" t="b">
        <v>1</v>
      </c>
      <c r="I456" s="3">
        <v>13</v>
      </c>
      <c r="J456" s="3">
        <v>16.5</v>
      </c>
      <c r="K456" s="3">
        <v>157.92</v>
      </c>
      <c r="L456" s="3">
        <v>31200</v>
      </c>
      <c r="M456" s="3">
        <v>2532.39</v>
      </c>
      <c r="N456" s="3">
        <v>14.0559</v>
      </c>
      <c r="O456" s="25">
        <v>4.00448</v>
      </c>
      <c r="P456" s="32">
        <v>1642.11</v>
      </c>
      <c r="Q456" s="3">
        <v>237.783</v>
      </c>
      <c r="R456" s="3">
        <v>18</v>
      </c>
      <c r="S456" s="3">
        <v>9</v>
      </c>
      <c r="U456" s="3">
        <v>19</v>
      </c>
      <c r="V456" s="3">
        <v>10.65</v>
      </c>
    </row>
    <row r="457" spans="1:22" ht="21.75">
      <c r="A457" s="3">
        <v>333</v>
      </c>
      <c r="B457" s="4" t="s">
        <v>390</v>
      </c>
      <c r="C457" s="4" t="s">
        <v>390</v>
      </c>
      <c r="D457" s="3">
        <v>380</v>
      </c>
      <c r="E457" s="3">
        <v>134.4</v>
      </c>
      <c r="F457" s="3">
        <v>100</v>
      </c>
      <c r="G457" s="4" t="s">
        <v>67</v>
      </c>
      <c r="H457" s="3" t="b">
        <v>1</v>
      </c>
      <c r="I457" s="3">
        <v>13</v>
      </c>
      <c r="J457" s="3">
        <v>20</v>
      </c>
      <c r="K457" s="3">
        <v>171.42</v>
      </c>
      <c r="L457" s="3">
        <v>35200</v>
      </c>
      <c r="M457" s="3">
        <v>3054.39</v>
      </c>
      <c r="N457" s="3">
        <v>14.32981</v>
      </c>
      <c r="O457" s="25">
        <v>4.221155</v>
      </c>
      <c r="P457" s="32">
        <v>1852.63</v>
      </c>
      <c r="Q457" s="3">
        <v>286.7969</v>
      </c>
      <c r="R457" s="3">
        <v>24</v>
      </c>
      <c r="S457" s="3">
        <v>12</v>
      </c>
      <c r="U457" s="3">
        <v>19</v>
      </c>
      <c r="V457" s="3">
        <v>10.65</v>
      </c>
    </row>
    <row r="458" spans="1:22" ht="21.75">
      <c r="A458" s="3">
        <v>334</v>
      </c>
      <c r="B458" s="4" t="s">
        <v>391</v>
      </c>
      <c r="C458" s="4" t="s">
        <v>391</v>
      </c>
      <c r="D458" s="3">
        <v>50</v>
      </c>
      <c r="E458" s="3">
        <v>7.7</v>
      </c>
      <c r="F458" s="3">
        <v>25</v>
      </c>
      <c r="G458" s="4" t="s">
        <v>51</v>
      </c>
      <c r="H458" s="3" t="b">
        <v>1</v>
      </c>
      <c r="I458" s="3">
        <v>7.5</v>
      </c>
      <c r="J458" s="3">
        <v>11</v>
      </c>
      <c r="K458" s="3">
        <v>9.84</v>
      </c>
      <c r="L458" s="3">
        <v>3900</v>
      </c>
      <c r="M458" s="3">
        <v>33.08</v>
      </c>
      <c r="N458" s="3">
        <v>19.90833</v>
      </c>
      <c r="O458" s="25">
        <v>1.83363</v>
      </c>
      <c r="P458" s="32">
        <v>1560</v>
      </c>
      <c r="Q458" s="3">
        <v>13.23361</v>
      </c>
      <c r="R458" s="3">
        <v>12</v>
      </c>
      <c r="S458" s="3">
        <v>6</v>
      </c>
      <c r="U458" s="3">
        <v>2.5</v>
      </c>
      <c r="V458" s="3">
        <v>2.5</v>
      </c>
    </row>
    <row r="459" spans="1:22" ht="21.75">
      <c r="A459" s="3">
        <v>335</v>
      </c>
      <c r="B459" s="4" t="s">
        <v>391</v>
      </c>
      <c r="C459" s="4" t="s">
        <v>391</v>
      </c>
      <c r="D459" s="3">
        <v>75</v>
      </c>
      <c r="E459" s="3">
        <v>13.8</v>
      </c>
      <c r="F459" s="3">
        <v>40</v>
      </c>
      <c r="G459" s="4" t="s">
        <v>52</v>
      </c>
      <c r="H459" s="3" t="b">
        <v>1</v>
      </c>
      <c r="I459" s="3">
        <v>7.5</v>
      </c>
      <c r="J459" s="3">
        <v>11</v>
      </c>
      <c r="K459" s="3">
        <v>17.636</v>
      </c>
      <c r="L459" s="3">
        <v>3900</v>
      </c>
      <c r="M459" s="3">
        <v>154.88</v>
      </c>
      <c r="N459" s="3">
        <v>14.87073</v>
      </c>
      <c r="O459" s="25">
        <v>2.963433</v>
      </c>
      <c r="P459" s="32">
        <v>1040</v>
      </c>
      <c r="Q459" s="3">
        <v>38.71955</v>
      </c>
      <c r="R459" s="3">
        <v>12</v>
      </c>
      <c r="S459" s="3">
        <v>6</v>
      </c>
      <c r="U459" s="3">
        <v>3.75</v>
      </c>
      <c r="V459" s="3">
        <v>4</v>
      </c>
    </row>
    <row r="460" spans="1:22" ht="21.75">
      <c r="A460" s="3">
        <v>336</v>
      </c>
      <c r="B460" s="4" t="s">
        <v>391</v>
      </c>
      <c r="C460" s="4" t="s">
        <v>391</v>
      </c>
      <c r="D460" s="3">
        <v>100</v>
      </c>
      <c r="E460" s="3">
        <v>18.7</v>
      </c>
      <c r="F460" s="3">
        <v>50</v>
      </c>
      <c r="G460" s="4" t="s">
        <v>36</v>
      </c>
      <c r="H460" s="3" t="b">
        <v>1</v>
      </c>
      <c r="I460" s="3">
        <v>7.5</v>
      </c>
      <c r="J460" s="3">
        <v>11</v>
      </c>
      <c r="K460" s="3">
        <v>23.84</v>
      </c>
      <c r="L460" s="3">
        <v>3900</v>
      </c>
      <c r="M460" s="3">
        <v>337.4</v>
      </c>
      <c r="N460" s="3">
        <v>12.79025</v>
      </c>
      <c r="O460" s="25">
        <v>3.762022</v>
      </c>
      <c r="P460" s="32">
        <v>780</v>
      </c>
      <c r="Q460" s="3">
        <v>67.48059</v>
      </c>
      <c r="R460" s="3">
        <v>12</v>
      </c>
      <c r="S460" s="3">
        <v>6</v>
      </c>
      <c r="U460" s="3">
        <v>5</v>
      </c>
      <c r="V460" s="3">
        <v>5</v>
      </c>
    </row>
    <row r="461" spans="1:22" ht="21.75">
      <c r="A461" s="3">
        <v>337</v>
      </c>
      <c r="B461" s="4" t="s">
        <v>391</v>
      </c>
      <c r="C461" s="4" t="s">
        <v>391</v>
      </c>
      <c r="D461" s="3">
        <v>125</v>
      </c>
      <c r="E461" s="3">
        <v>26.8</v>
      </c>
      <c r="F461" s="3">
        <v>65</v>
      </c>
      <c r="G461" s="4" t="s">
        <v>37</v>
      </c>
      <c r="H461" s="3" t="b">
        <v>1</v>
      </c>
      <c r="I461" s="3">
        <v>7.5</v>
      </c>
      <c r="J461" s="3">
        <v>11</v>
      </c>
      <c r="K461" s="3">
        <v>34.22</v>
      </c>
      <c r="L461" s="3">
        <v>3900</v>
      </c>
      <c r="M461" s="3">
        <v>847.7</v>
      </c>
      <c r="N461" s="3">
        <v>10.6756</v>
      </c>
      <c r="O461" s="25">
        <v>4.97714</v>
      </c>
      <c r="P461" s="32">
        <v>624</v>
      </c>
      <c r="Q461" s="3">
        <v>130.4146</v>
      </c>
      <c r="R461" s="3">
        <v>12</v>
      </c>
      <c r="S461" s="3">
        <v>6</v>
      </c>
      <c r="U461" s="3">
        <v>6.25</v>
      </c>
      <c r="V461" s="3">
        <v>6.5</v>
      </c>
    </row>
    <row r="462" spans="1:22" ht="21.75">
      <c r="A462" s="3">
        <v>338</v>
      </c>
      <c r="B462" s="4" t="s">
        <v>391</v>
      </c>
      <c r="C462" s="4" t="s">
        <v>391</v>
      </c>
      <c r="D462" s="3">
        <v>150</v>
      </c>
      <c r="E462" s="3">
        <v>37.2</v>
      </c>
      <c r="F462" s="3">
        <v>75</v>
      </c>
      <c r="G462" s="4" t="s">
        <v>38</v>
      </c>
      <c r="H462" s="3" t="b">
        <v>1</v>
      </c>
      <c r="I462" s="3">
        <v>7.5</v>
      </c>
      <c r="J462" s="3">
        <v>11</v>
      </c>
      <c r="K462" s="3">
        <v>47.42</v>
      </c>
      <c r="L462" s="3">
        <v>3900</v>
      </c>
      <c r="M462" s="3">
        <v>1526.12</v>
      </c>
      <c r="N462" s="3">
        <v>9.068835</v>
      </c>
      <c r="O462" s="25">
        <v>5.673008</v>
      </c>
      <c r="P462" s="32">
        <v>520</v>
      </c>
      <c r="Q462" s="3">
        <v>203.4825</v>
      </c>
      <c r="R462" s="3">
        <v>12</v>
      </c>
      <c r="S462" s="3">
        <v>6</v>
      </c>
      <c r="U462" s="3">
        <v>7.5</v>
      </c>
      <c r="V462" s="3">
        <v>7.5</v>
      </c>
    </row>
    <row r="463" spans="1:22" ht="21.75">
      <c r="A463" s="3">
        <v>339</v>
      </c>
      <c r="B463" s="4" t="s">
        <v>391</v>
      </c>
      <c r="C463" s="4" t="s">
        <v>391</v>
      </c>
      <c r="D463" s="3">
        <v>150</v>
      </c>
      <c r="E463" s="3">
        <v>47.9</v>
      </c>
      <c r="F463" s="3">
        <v>75</v>
      </c>
      <c r="G463" s="4" t="s">
        <v>39</v>
      </c>
      <c r="H463" s="3" t="b">
        <v>1</v>
      </c>
      <c r="I463" s="3">
        <v>7.5</v>
      </c>
      <c r="J463" s="3">
        <v>11</v>
      </c>
      <c r="K463" s="3">
        <v>61.18</v>
      </c>
      <c r="L463" s="3">
        <v>3900</v>
      </c>
      <c r="M463" s="3">
        <v>1941.95</v>
      </c>
      <c r="N463" s="3">
        <v>7.984129</v>
      </c>
      <c r="O463" s="25">
        <v>5.633968</v>
      </c>
      <c r="P463" s="32">
        <v>520</v>
      </c>
      <c r="Q463" s="3">
        <v>258.9268</v>
      </c>
      <c r="R463" s="3">
        <v>12</v>
      </c>
      <c r="S463" s="3">
        <v>6</v>
      </c>
      <c r="U463" s="3">
        <v>7.5</v>
      </c>
      <c r="V463" s="3">
        <v>7.5</v>
      </c>
    </row>
    <row r="464" spans="1:22" ht="21.75">
      <c r="A464" s="3">
        <v>340</v>
      </c>
      <c r="B464" s="4" t="s">
        <v>391</v>
      </c>
      <c r="C464" s="4" t="s">
        <v>391</v>
      </c>
      <c r="D464" s="3">
        <v>180</v>
      </c>
      <c r="E464" s="3">
        <v>42.7</v>
      </c>
      <c r="F464" s="3">
        <v>75</v>
      </c>
      <c r="G464" s="4" t="s">
        <v>40</v>
      </c>
      <c r="H464" s="3" t="b">
        <v>1</v>
      </c>
      <c r="I464" s="3">
        <v>7.5</v>
      </c>
      <c r="J464" s="3">
        <v>11</v>
      </c>
      <c r="K464" s="3">
        <v>54.4</v>
      </c>
      <c r="L464" s="3">
        <v>3900</v>
      </c>
      <c r="M464" s="3">
        <v>1830.73</v>
      </c>
      <c r="N464" s="3">
        <v>8.467064</v>
      </c>
      <c r="O464" s="25">
        <v>5.801127</v>
      </c>
      <c r="P464" s="32">
        <v>433.33</v>
      </c>
      <c r="Q464" s="3">
        <v>244.097</v>
      </c>
      <c r="R464" s="3">
        <v>12</v>
      </c>
      <c r="S464" s="3">
        <v>6</v>
      </c>
      <c r="U464" s="3">
        <v>9</v>
      </c>
      <c r="V464" s="3">
        <v>7.5</v>
      </c>
    </row>
    <row r="465" spans="1:22" s="129" customFormat="1" ht="21.75">
      <c r="A465" s="125">
        <v>341</v>
      </c>
      <c r="B465" s="126" t="s">
        <v>391</v>
      </c>
      <c r="C465" s="126" t="s">
        <v>391</v>
      </c>
      <c r="D465" s="125">
        <v>200</v>
      </c>
      <c r="E465" s="125">
        <v>49.1</v>
      </c>
      <c r="F465" s="125">
        <v>80</v>
      </c>
      <c r="G465" s="126" t="s">
        <v>41</v>
      </c>
      <c r="H465" s="125" t="b">
        <v>1</v>
      </c>
      <c r="I465" s="125">
        <v>7.5</v>
      </c>
      <c r="J465" s="125">
        <v>11</v>
      </c>
      <c r="K465" s="125">
        <v>62.66</v>
      </c>
      <c r="L465" s="125">
        <v>3900</v>
      </c>
      <c r="M465" s="125">
        <v>2436.62</v>
      </c>
      <c r="N465" s="125">
        <v>7.889275</v>
      </c>
      <c r="O465" s="127">
        <v>6.235894</v>
      </c>
      <c r="P465" s="128">
        <v>390</v>
      </c>
      <c r="Q465" s="125">
        <v>304.5775</v>
      </c>
      <c r="R465" s="125">
        <v>12</v>
      </c>
      <c r="S465" s="125">
        <v>6</v>
      </c>
      <c r="U465" s="125">
        <v>10</v>
      </c>
      <c r="V465" s="125">
        <v>8</v>
      </c>
    </row>
    <row r="466" spans="1:22" ht="21.75">
      <c r="A466" s="3">
        <v>342</v>
      </c>
      <c r="B466" s="4" t="s">
        <v>391</v>
      </c>
      <c r="C466" s="4" t="s">
        <v>391</v>
      </c>
      <c r="D466" s="3">
        <v>200</v>
      </c>
      <c r="E466" s="3">
        <v>60.5</v>
      </c>
      <c r="F466" s="3">
        <v>90</v>
      </c>
      <c r="G466" s="4" t="s">
        <v>42</v>
      </c>
      <c r="H466" s="3" t="b">
        <v>1</v>
      </c>
      <c r="I466" s="3">
        <v>8</v>
      </c>
      <c r="J466" s="3">
        <v>13.5</v>
      </c>
      <c r="K466" s="3">
        <v>77.3</v>
      </c>
      <c r="L466" s="3">
        <v>4980</v>
      </c>
      <c r="M466" s="3">
        <v>3583.2</v>
      </c>
      <c r="N466" s="3">
        <v>8.026476</v>
      </c>
      <c r="O466" s="25">
        <v>6.808413</v>
      </c>
      <c r="P466" s="32">
        <v>498</v>
      </c>
      <c r="Q466" s="3">
        <v>398.1335</v>
      </c>
      <c r="R466" s="3">
        <v>14</v>
      </c>
      <c r="S466" s="3">
        <v>7</v>
      </c>
      <c r="U466" s="3">
        <v>10</v>
      </c>
      <c r="V466" s="3">
        <v>9</v>
      </c>
    </row>
    <row r="467" spans="1:22" ht="21.75">
      <c r="A467" s="3">
        <v>343</v>
      </c>
      <c r="B467" s="4" t="s">
        <v>391</v>
      </c>
      <c r="C467" s="4" t="s">
        <v>391</v>
      </c>
      <c r="D467" s="3">
        <v>250</v>
      </c>
      <c r="E467" s="3">
        <v>69.1</v>
      </c>
      <c r="F467" s="3">
        <v>90</v>
      </c>
      <c r="G467" s="4" t="s">
        <v>43</v>
      </c>
      <c r="H467" s="3" t="b">
        <v>1</v>
      </c>
      <c r="I467" s="3">
        <v>9</v>
      </c>
      <c r="J467" s="3">
        <v>13</v>
      </c>
      <c r="K467" s="3">
        <v>88.14</v>
      </c>
      <c r="L467" s="3">
        <v>8360</v>
      </c>
      <c r="M467" s="3">
        <v>4427.38</v>
      </c>
      <c r="N467" s="3">
        <v>9.739051</v>
      </c>
      <c r="O467" s="25">
        <v>7.087398</v>
      </c>
      <c r="P467" s="32">
        <v>668.8</v>
      </c>
      <c r="Q467" s="3">
        <v>491.9309</v>
      </c>
      <c r="R467" s="3">
        <v>14</v>
      </c>
      <c r="S467" s="3">
        <v>7</v>
      </c>
      <c r="U467" s="3">
        <v>12.5</v>
      </c>
      <c r="V467" s="3">
        <v>9</v>
      </c>
    </row>
    <row r="468" spans="1:22" ht="21.75">
      <c r="A468" s="3">
        <v>344</v>
      </c>
      <c r="B468" s="4" t="s">
        <v>391</v>
      </c>
      <c r="C468" s="4" t="s">
        <v>391</v>
      </c>
      <c r="D468" s="3">
        <v>250</v>
      </c>
      <c r="E468" s="3">
        <v>80.3</v>
      </c>
      <c r="F468" s="3">
        <v>90</v>
      </c>
      <c r="G468" s="4" t="s">
        <v>44</v>
      </c>
      <c r="H468" s="3" t="b">
        <v>1</v>
      </c>
      <c r="I468" s="3">
        <v>11</v>
      </c>
      <c r="J468" s="3">
        <v>14.5</v>
      </c>
      <c r="K468" s="3">
        <v>102.34</v>
      </c>
      <c r="L468" s="3">
        <v>9360</v>
      </c>
      <c r="M468" s="3">
        <v>5115.93</v>
      </c>
      <c r="N468" s="3">
        <v>9.563464</v>
      </c>
      <c r="O468" s="25">
        <v>7.070329</v>
      </c>
      <c r="P468" s="32">
        <v>748.8</v>
      </c>
      <c r="Q468" s="3">
        <v>568.4367</v>
      </c>
      <c r="R468" s="3">
        <v>17</v>
      </c>
      <c r="S468" s="3">
        <v>8.5</v>
      </c>
      <c r="U468" s="3">
        <v>12.5</v>
      </c>
      <c r="V468" s="3">
        <v>9</v>
      </c>
    </row>
    <row r="469" spans="1:22" ht="21.75">
      <c r="A469" s="3">
        <v>345</v>
      </c>
      <c r="B469" s="4" t="s">
        <v>391</v>
      </c>
      <c r="C469" s="4" t="s">
        <v>391</v>
      </c>
      <c r="D469" s="3">
        <v>300</v>
      </c>
      <c r="E469" s="3">
        <v>76.1</v>
      </c>
      <c r="F469" s="3">
        <v>90</v>
      </c>
      <c r="G469" s="4" t="s">
        <v>45</v>
      </c>
      <c r="H469" s="3" t="b">
        <v>1</v>
      </c>
      <c r="I469" s="3">
        <v>9</v>
      </c>
      <c r="J469" s="3">
        <v>13</v>
      </c>
      <c r="K469" s="3">
        <v>97.14</v>
      </c>
      <c r="L469" s="3">
        <v>12880</v>
      </c>
      <c r="M469" s="3">
        <v>5083.37</v>
      </c>
      <c r="N469" s="3">
        <v>11.51487</v>
      </c>
      <c r="O469" s="25">
        <v>7.233972</v>
      </c>
      <c r="P469" s="32">
        <v>858.67</v>
      </c>
      <c r="Q469" s="3">
        <v>564.8189</v>
      </c>
      <c r="R469" s="3">
        <v>14</v>
      </c>
      <c r="S469" s="3">
        <v>7</v>
      </c>
      <c r="U469" s="3">
        <v>15</v>
      </c>
      <c r="V469" s="3">
        <v>9</v>
      </c>
    </row>
    <row r="470" spans="1:22" ht="21.75">
      <c r="A470" s="3">
        <v>346</v>
      </c>
      <c r="B470" s="4" t="s">
        <v>391</v>
      </c>
      <c r="C470" s="4" t="s">
        <v>391</v>
      </c>
      <c r="D470" s="3">
        <v>300</v>
      </c>
      <c r="E470" s="3">
        <v>87.5</v>
      </c>
      <c r="F470" s="3">
        <v>90</v>
      </c>
      <c r="G470" s="4" t="s">
        <v>46</v>
      </c>
      <c r="H470" s="3" t="b">
        <v>1</v>
      </c>
      <c r="I470" s="3">
        <v>10</v>
      </c>
      <c r="J470" s="3">
        <v>15.5</v>
      </c>
      <c r="K470" s="3">
        <v>111.48</v>
      </c>
      <c r="L470" s="3">
        <v>14820</v>
      </c>
      <c r="M470" s="3">
        <v>5664.76</v>
      </c>
      <c r="N470" s="3">
        <v>11.5299</v>
      </c>
      <c r="O470" s="25">
        <v>7.128405</v>
      </c>
      <c r="P470" s="32">
        <v>988</v>
      </c>
      <c r="Q470" s="3">
        <v>629.418</v>
      </c>
      <c r="R470" s="3">
        <v>19</v>
      </c>
      <c r="S470" s="3">
        <v>9.5</v>
      </c>
      <c r="U470" s="3">
        <v>15</v>
      </c>
      <c r="V470" s="3">
        <v>9</v>
      </c>
    </row>
    <row r="471" spans="1:22" ht="21.75">
      <c r="A471" s="3">
        <v>347</v>
      </c>
      <c r="B471" s="4" t="s">
        <v>391</v>
      </c>
      <c r="C471" s="4" t="s">
        <v>391</v>
      </c>
      <c r="D471" s="3">
        <v>300</v>
      </c>
      <c r="E471" s="3">
        <v>97.1</v>
      </c>
      <c r="F471" s="3">
        <v>90</v>
      </c>
      <c r="G471" s="4" t="s">
        <v>47</v>
      </c>
      <c r="H471" s="3" t="b">
        <v>1</v>
      </c>
      <c r="I471" s="3">
        <v>12</v>
      </c>
      <c r="J471" s="3">
        <v>16</v>
      </c>
      <c r="K471" s="3">
        <v>123.8</v>
      </c>
      <c r="L471" s="3">
        <v>15740</v>
      </c>
      <c r="M471" s="3">
        <v>6348.61</v>
      </c>
      <c r="N471" s="3">
        <v>11.27566</v>
      </c>
      <c r="O471" s="25">
        <v>7.161088</v>
      </c>
      <c r="P471" s="32">
        <v>1049.33</v>
      </c>
      <c r="Q471" s="3">
        <v>705.4011</v>
      </c>
      <c r="R471" s="3">
        <v>19</v>
      </c>
      <c r="S471" s="3">
        <v>9.5</v>
      </c>
      <c r="U471" s="3">
        <v>15</v>
      </c>
      <c r="V471" s="3">
        <v>9</v>
      </c>
    </row>
    <row r="472" spans="1:22" ht="21.75">
      <c r="A472" s="3">
        <v>348</v>
      </c>
      <c r="B472" s="4" t="s">
        <v>391</v>
      </c>
      <c r="C472" s="4" t="s">
        <v>391</v>
      </c>
      <c r="D472" s="3">
        <v>380</v>
      </c>
      <c r="E472" s="3">
        <v>108.9</v>
      </c>
      <c r="F472" s="3">
        <v>100</v>
      </c>
      <c r="G472" s="4" t="s">
        <v>48</v>
      </c>
      <c r="H472" s="3" t="b">
        <v>1</v>
      </c>
      <c r="I472" s="3">
        <v>10.5</v>
      </c>
      <c r="J472" s="3">
        <v>16</v>
      </c>
      <c r="K472" s="3">
        <v>138.78</v>
      </c>
      <c r="L472" s="3">
        <v>29000</v>
      </c>
      <c r="M472" s="3">
        <v>9064.85</v>
      </c>
      <c r="N472" s="3">
        <v>14.45558</v>
      </c>
      <c r="O472" s="25">
        <v>8.081964</v>
      </c>
      <c r="P472" s="32">
        <v>1526.32</v>
      </c>
      <c r="Q472" s="3">
        <v>906.4852</v>
      </c>
      <c r="R472" s="3">
        <v>18</v>
      </c>
      <c r="S472" s="3">
        <v>9</v>
      </c>
      <c r="U472" s="3">
        <v>19</v>
      </c>
      <c r="V472" s="3">
        <v>10</v>
      </c>
    </row>
    <row r="473" spans="1:22" ht="21.75">
      <c r="A473" s="3">
        <v>349</v>
      </c>
      <c r="B473" s="4" t="s">
        <v>391</v>
      </c>
      <c r="C473" s="4" t="s">
        <v>391</v>
      </c>
      <c r="D473" s="3">
        <v>380</v>
      </c>
      <c r="E473" s="3">
        <v>124</v>
      </c>
      <c r="F473" s="3">
        <v>100</v>
      </c>
      <c r="G473" s="4" t="s">
        <v>49</v>
      </c>
      <c r="H473" s="3" t="b">
        <v>1</v>
      </c>
      <c r="I473" s="3">
        <v>13</v>
      </c>
      <c r="J473" s="3">
        <v>16.5</v>
      </c>
      <c r="K473" s="3">
        <v>157.92</v>
      </c>
      <c r="L473" s="3">
        <v>31200</v>
      </c>
      <c r="M473" s="3">
        <v>10420.26</v>
      </c>
      <c r="N473" s="3">
        <v>14.0559</v>
      </c>
      <c r="O473" s="25">
        <v>8.12308</v>
      </c>
      <c r="P473" s="32">
        <v>1642.11</v>
      </c>
      <c r="Q473" s="3">
        <v>1042.026</v>
      </c>
      <c r="R473" s="3">
        <v>18</v>
      </c>
      <c r="S473" s="3">
        <v>9</v>
      </c>
      <c r="U473" s="3">
        <v>19</v>
      </c>
      <c r="V473" s="3">
        <v>10</v>
      </c>
    </row>
    <row r="474" spans="1:22" ht="21.75">
      <c r="A474" s="3">
        <v>350</v>
      </c>
      <c r="B474" s="4" t="s">
        <v>391</v>
      </c>
      <c r="C474" s="4" t="s">
        <v>391</v>
      </c>
      <c r="D474" s="3">
        <v>380</v>
      </c>
      <c r="E474" s="3">
        <v>134.4</v>
      </c>
      <c r="F474" s="3">
        <v>100</v>
      </c>
      <c r="G474" s="4" t="s">
        <v>50</v>
      </c>
      <c r="H474" s="3" t="b">
        <v>1</v>
      </c>
      <c r="I474" s="3">
        <v>13</v>
      </c>
      <c r="J474" s="3">
        <v>20</v>
      </c>
      <c r="K474" s="3">
        <v>171.42</v>
      </c>
      <c r="L474" s="3">
        <v>35200</v>
      </c>
      <c r="M474" s="3">
        <v>10849.8</v>
      </c>
      <c r="N474" s="3">
        <v>14.45558</v>
      </c>
      <c r="O474" s="25">
        <v>7.95573</v>
      </c>
      <c r="P474" s="32">
        <v>1852.63</v>
      </c>
      <c r="Q474" s="3">
        <v>1084.98</v>
      </c>
      <c r="R474" s="3">
        <v>24</v>
      </c>
      <c r="S474" s="3">
        <v>12</v>
      </c>
      <c r="U474" s="3">
        <v>19</v>
      </c>
      <c r="V474" s="3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FS112"/>
  <sheetViews>
    <sheetView zoomScale="25" zoomScaleNormal="25" workbookViewId="0" topLeftCell="B1">
      <selection activeCell="L40" sqref="L40"/>
    </sheetView>
  </sheetViews>
  <sheetFormatPr defaultColWidth="9.140625" defaultRowHeight="21.75"/>
  <cols>
    <col min="1" max="1" width="8.140625" style="6" customWidth="1"/>
    <col min="2" max="2" width="72.57421875" style="6" customWidth="1"/>
    <col min="3" max="3" width="11.57421875" style="6" customWidth="1"/>
    <col min="4" max="4" width="15.421875" style="6" customWidth="1"/>
    <col min="5" max="9" width="58.421875" style="7" customWidth="1"/>
    <col min="10" max="10" width="8.7109375" style="6" customWidth="1"/>
    <col min="11" max="11" width="26.28125" style="6" bestFit="1" customWidth="1"/>
    <col min="12" max="12" width="20.28125" style="6" bestFit="1" customWidth="1"/>
    <col min="13" max="13" width="7.7109375" style="6" customWidth="1"/>
    <col min="14" max="14" width="26.28125" style="6" bestFit="1" customWidth="1"/>
    <col min="15" max="15" width="20.28125" style="6" bestFit="1" customWidth="1"/>
    <col min="16" max="16" width="8.7109375" style="6" customWidth="1"/>
    <col min="17" max="17" width="26.28125" style="6" bestFit="1" customWidth="1"/>
    <col min="18" max="18" width="20.28125" style="6" bestFit="1" customWidth="1"/>
    <col min="19" max="19" width="8.7109375" style="6" customWidth="1"/>
    <col min="20" max="20" width="26.28125" style="6" bestFit="1" customWidth="1"/>
    <col min="21" max="21" width="20.8515625" style="6" bestFit="1" customWidth="1"/>
    <col min="22" max="22" width="10.140625" style="6" bestFit="1" customWidth="1"/>
    <col min="23" max="23" width="26.8515625" style="6" bestFit="1" customWidth="1"/>
    <col min="24" max="24" width="20.8515625" style="6" bestFit="1" customWidth="1"/>
    <col min="25" max="25" width="8.7109375" style="6" customWidth="1"/>
    <col min="26" max="26" width="26.8515625" style="6" bestFit="1" customWidth="1"/>
    <col min="27" max="27" width="22.421875" style="6" bestFit="1" customWidth="1"/>
    <col min="28" max="28" width="8.7109375" style="6" customWidth="1"/>
    <col min="29" max="29" width="28.28125" style="6" bestFit="1" customWidth="1"/>
    <col min="30" max="30" width="19.28125" style="6" bestFit="1" customWidth="1"/>
    <col min="31" max="31" width="9.140625" style="6" customWidth="1"/>
    <col min="32" max="32" width="25.140625" style="6" bestFit="1" customWidth="1"/>
    <col min="33" max="33" width="20.28125" style="6" bestFit="1" customWidth="1"/>
    <col min="34" max="34" width="9.140625" style="6" customWidth="1"/>
    <col min="35" max="35" width="26.28125" style="6" bestFit="1" customWidth="1"/>
    <col min="36" max="36" width="20.57421875" style="6" bestFit="1" customWidth="1"/>
    <col min="37" max="37" width="7.7109375" style="6" customWidth="1"/>
    <col min="38" max="38" width="26.57421875" style="6" bestFit="1" customWidth="1"/>
    <col min="39" max="39" width="19.57421875" style="6" bestFit="1" customWidth="1"/>
    <col min="40" max="40" width="7.7109375" style="6" customWidth="1"/>
    <col min="41" max="41" width="25.57421875" style="6" bestFit="1" customWidth="1"/>
    <col min="42" max="42" width="19.57421875" style="6" bestFit="1" customWidth="1"/>
    <col min="43" max="43" width="9.140625" style="6" customWidth="1"/>
    <col min="44" max="44" width="25.57421875" style="6" bestFit="1" customWidth="1"/>
    <col min="45" max="45" width="18.140625" style="6" bestFit="1" customWidth="1"/>
    <col min="46" max="46" width="7.7109375" style="6" customWidth="1"/>
    <col min="47" max="47" width="24.00390625" style="6" bestFit="1" customWidth="1"/>
    <col min="48" max="48" width="19.57421875" style="6" bestFit="1" customWidth="1"/>
    <col min="49" max="49" width="7.7109375" style="6" customWidth="1"/>
    <col min="50" max="50" width="25.57421875" style="6" bestFit="1" customWidth="1"/>
    <col min="51" max="51" width="19.57421875" style="6" bestFit="1" customWidth="1"/>
    <col min="52" max="52" width="9.140625" style="6" customWidth="1"/>
    <col min="53" max="53" width="25.57421875" style="6" bestFit="1" customWidth="1"/>
    <col min="54" max="54" width="19.57421875" style="6" bestFit="1" customWidth="1"/>
    <col min="55" max="55" width="7.7109375" style="6" customWidth="1"/>
    <col min="56" max="56" width="25.57421875" style="6" bestFit="1" customWidth="1"/>
    <col min="57" max="57" width="19.57421875" style="6" bestFit="1" customWidth="1"/>
    <col min="58" max="58" width="7.7109375" style="6" customWidth="1"/>
    <col min="59" max="59" width="25.57421875" style="6" bestFit="1" customWidth="1"/>
    <col min="60" max="60" width="19.57421875" style="6" bestFit="1" customWidth="1"/>
    <col min="61" max="61" width="8.7109375" style="6" customWidth="1"/>
    <col min="62" max="62" width="25.57421875" style="6" bestFit="1" customWidth="1"/>
    <col min="63" max="63" width="19.57421875" style="6" bestFit="1" customWidth="1"/>
    <col min="64" max="64" width="7.7109375" style="6" customWidth="1"/>
    <col min="65" max="65" width="25.57421875" style="6" bestFit="1" customWidth="1"/>
    <col min="66" max="66" width="19.57421875" style="6" bestFit="1" customWidth="1"/>
    <col min="67" max="67" width="8.7109375" style="6" customWidth="1"/>
    <col min="68" max="68" width="25.57421875" style="6" bestFit="1" customWidth="1"/>
    <col min="69" max="69" width="19.57421875" style="6" bestFit="1" customWidth="1"/>
    <col min="70" max="70" width="8.7109375" style="6" customWidth="1"/>
    <col min="71" max="71" width="25.57421875" style="6" bestFit="1" customWidth="1"/>
    <col min="72" max="72" width="20.140625" style="6" bestFit="1" customWidth="1"/>
    <col min="73" max="73" width="10.140625" style="6" bestFit="1" customWidth="1"/>
    <col min="74" max="74" width="26.140625" style="6" bestFit="1" customWidth="1"/>
    <col min="75" max="75" width="20.140625" style="6" bestFit="1" customWidth="1"/>
    <col min="76" max="76" width="8.7109375" style="6" customWidth="1"/>
    <col min="77" max="77" width="26.140625" style="6" bestFit="1" customWidth="1"/>
    <col min="78" max="78" width="21.7109375" style="6" bestFit="1" customWidth="1"/>
    <col min="79" max="79" width="8.7109375" style="6" customWidth="1"/>
    <col min="80" max="80" width="27.57421875" style="6" bestFit="1" customWidth="1"/>
    <col min="81" max="81" width="18.57421875" style="6" bestFit="1" customWidth="1"/>
    <col min="82" max="82" width="7.7109375" style="6" customWidth="1"/>
    <col min="83" max="83" width="24.421875" style="6" bestFit="1" customWidth="1"/>
    <col min="84" max="84" width="19.57421875" style="6" bestFit="1" customWidth="1"/>
    <col min="85" max="85" width="7.7109375" style="6" customWidth="1"/>
    <col min="86" max="86" width="25.57421875" style="6" bestFit="1" customWidth="1"/>
    <col min="87" max="87" width="19.7109375" style="6" bestFit="1" customWidth="1"/>
    <col min="88" max="88" width="7.7109375" style="6" customWidth="1"/>
    <col min="89" max="89" width="25.7109375" style="6" bestFit="1" customWidth="1"/>
    <col min="90" max="90" width="19.7109375" style="6" bestFit="1" customWidth="1"/>
    <col min="91" max="91" width="8.7109375" style="6" customWidth="1"/>
    <col min="92" max="92" width="25.7109375" style="6" bestFit="1" customWidth="1"/>
    <col min="93" max="93" width="19.7109375" style="6" bestFit="1" customWidth="1"/>
    <col min="94" max="94" width="8.7109375" style="6" customWidth="1"/>
    <col min="95" max="95" width="25.7109375" style="6" bestFit="1" customWidth="1"/>
    <col min="96" max="96" width="19.7109375" style="6" bestFit="1" customWidth="1"/>
    <col min="97" max="97" width="8.7109375" style="6" customWidth="1"/>
    <col min="98" max="98" width="25.7109375" style="6" bestFit="1" customWidth="1"/>
    <col min="99" max="99" width="19.7109375" style="6" bestFit="1" customWidth="1"/>
    <col min="100" max="100" width="7.7109375" style="6" customWidth="1"/>
    <col min="101" max="101" width="25.7109375" style="6" bestFit="1" customWidth="1"/>
    <col min="102" max="102" width="19.7109375" style="6" bestFit="1" customWidth="1"/>
    <col min="103" max="103" width="7.7109375" style="6" customWidth="1"/>
    <col min="104" max="104" width="25.7109375" style="6" bestFit="1" customWidth="1"/>
    <col min="105" max="105" width="19.7109375" style="6" bestFit="1" customWidth="1"/>
    <col min="106" max="106" width="8.7109375" style="6" customWidth="1"/>
    <col min="107" max="107" width="25.7109375" style="6" bestFit="1" customWidth="1"/>
    <col min="108" max="108" width="19.7109375" style="6" bestFit="1" customWidth="1"/>
    <col min="109" max="109" width="8.7109375" style="6" customWidth="1"/>
    <col min="110" max="110" width="25.7109375" style="6" bestFit="1" customWidth="1"/>
    <col min="111" max="111" width="19.7109375" style="6" bestFit="1" customWidth="1"/>
    <col min="112" max="112" width="8.7109375" style="6" customWidth="1"/>
    <col min="113" max="113" width="25.7109375" style="6" bestFit="1" customWidth="1"/>
    <col min="114" max="114" width="19.7109375" style="6" bestFit="1" customWidth="1"/>
    <col min="115" max="115" width="8.7109375" style="6" customWidth="1"/>
    <col min="116" max="116" width="25.7109375" style="6" bestFit="1" customWidth="1"/>
    <col min="117" max="117" width="19.7109375" style="6" bestFit="1" customWidth="1"/>
    <col min="118" max="118" width="8.7109375" style="6" customWidth="1"/>
    <col min="119" max="119" width="25.7109375" style="6" bestFit="1" customWidth="1"/>
    <col min="120" max="120" width="19.7109375" style="6" bestFit="1" customWidth="1"/>
    <col min="121" max="121" width="8.7109375" style="6" customWidth="1"/>
    <col min="122" max="122" width="25.7109375" style="6" bestFit="1" customWidth="1"/>
    <col min="123" max="123" width="19.7109375" style="6" bestFit="1" customWidth="1"/>
    <col min="124" max="124" width="8.7109375" style="6" customWidth="1"/>
    <col min="125" max="125" width="25.7109375" style="6" bestFit="1" customWidth="1"/>
    <col min="126" max="126" width="19.7109375" style="6" bestFit="1" customWidth="1"/>
    <col min="127" max="127" width="8.7109375" style="6" customWidth="1"/>
    <col min="128" max="128" width="25.7109375" style="6" bestFit="1" customWidth="1"/>
    <col min="129" max="129" width="19.7109375" style="6" bestFit="1" customWidth="1"/>
    <col min="130" max="130" width="8.7109375" style="6" customWidth="1"/>
    <col min="131" max="131" width="25.7109375" style="6" bestFit="1" customWidth="1"/>
    <col min="132" max="132" width="19.7109375" style="6" bestFit="1" customWidth="1"/>
    <col min="133" max="133" width="8.7109375" style="6" customWidth="1"/>
    <col min="134" max="134" width="25.7109375" style="6" bestFit="1" customWidth="1"/>
    <col min="135" max="135" width="19.28125" style="6" bestFit="1" customWidth="1"/>
    <col min="136" max="136" width="8.7109375" style="6" customWidth="1"/>
    <col min="137" max="137" width="25.140625" style="6" bestFit="1" customWidth="1"/>
    <col min="138" max="138" width="19.7109375" style="6" bestFit="1" customWidth="1"/>
    <col min="139" max="139" width="8.7109375" style="6" customWidth="1"/>
    <col min="140" max="140" width="25.7109375" style="6" bestFit="1" customWidth="1"/>
    <col min="141" max="141" width="17.7109375" style="6" bestFit="1" customWidth="1"/>
    <col min="142" max="142" width="7.7109375" style="6" customWidth="1"/>
    <col min="143" max="143" width="23.57421875" style="6" bestFit="1" customWidth="1"/>
    <col min="144" max="144" width="17.7109375" style="6" bestFit="1" customWidth="1"/>
    <col min="145" max="145" width="7.7109375" style="6" customWidth="1"/>
    <col min="146" max="146" width="23.57421875" style="6" bestFit="1" customWidth="1"/>
    <col min="147" max="147" width="17.7109375" style="6" bestFit="1" customWidth="1"/>
    <col min="148" max="148" width="7.7109375" style="6" customWidth="1"/>
    <col min="149" max="149" width="23.57421875" style="6" bestFit="1" customWidth="1"/>
    <col min="150" max="150" width="17.7109375" style="6" bestFit="1" customWidth="1"/>
    <col min="151" max="151" width="7.7109375" style="6" customWidth="1"/>
    <col min="152" max="152" width="23.57421875" style="6" bestFit="1" customWidth="1"/>
    <col min="153" max="153" width="17.7109375" style="6" bestFit="1" customWidth="1"/>
    <col min="154" max="154" width="7.7109375" style="6" customWidth="1"/>
    <col min="155" max="155" width="23.57421875" style="6" bestFit="1" customWidth="1"/>
    <col min="156" max="156" width="17.7109375" style="6" bestFit="1" customWidth="1"/>
    <col min="157" max="157" width="7.7109375" style="6" customWidth="1"/>
    <col min="158" max="158" width="23.57421875" style="6" bestFit="1" customWidth="1"/>
    <col min="159" max="159" width="17.7109375" style="6" bestFit="1" customWidth="1"/>
    <col min="160" max="160" width="7.7109375" style="6" customWidth="1"/>
    <col min="161" max="161" width="23.57421875" style="6" bestFit="1" customWidth="1"/>
    <col min="162" max="162" width="17.7109375" style="6" bestFit="1" customWidth="1"/>
    <col min="163" max="163" width="7.7109375" style="6" customWidth="1"/>
    <col min="164" max="164" width="23.57421875" style="6" bestFit="1" customWidth="1"/>
    <col min="165" max="165" width="17.7109375" style="6" bestFit="1" customWidth="1"/>
    <col min="166" max="166" width="7.7109375" style="6" customWidth="1"/>
    <col min="167" max="167" width="23.57421875" style="6" bestFit="1" customWidth="1"/>
    <col min="168" max="168" width="17.7109375" style="6" bestFit="1" customWidth="1"/>
    <col min="169" max="169" width="7.7109375" style="6" customWidth="1"/>
    <col min="170" max="170" width="23.57421875" style="6" bestFit="1" customWidth="1"/>
    <col min="171" max="171" width="17.7109375" style="6" bestFit="1" customWidth="1"/>
    <col min="172" max="172" width="7.7109375" style="6" customWidth="1"/>
    <col min="173" max="173" width="23.57421875" style="6" bestFit="1" customWidth="1"/>
    <col min="174" max="174" width="17.7109375" style="6" bestFit="1" customWidth="1"/>
    <col min="175" max="175" width="7.7109375" style="6" customWidth="1"/>
    <col min="176" max="176" width="23.57421875" style="6" bestFit="1" customWidth="1"/>
    <col min="177" max="177" width="17.7109375" style="6" bestFit="1" customWidth="1"/>
    <col min="178" max="178" width="7.7109375" style="6" customWidth="1"/>
    <col min="179" max="179" width="23.57421875" style="6" bestFit="1" customWidth="1"/>
    <col min="180" max="16384" width="23.57421875" style="6" customWidth="1"/>
  </cols>
  <sheetData>
    <row r="1" ht="39" customHeight="1"/>
    <row r="2" spans="2:4" ht="46.5" customHeight="1">
      <c r="B2" s="140" t="s">
        <v>693</v>
      </c>
      <c r="C2" s="21"/>
      <c r="D2" s="21"/>
    </row>
    <row r="3" spans="1:175" s="53" customFormat="1" ht="39" customHeight="1">
      <c r="A3" s="51" t="s">
        <v>0</v>
      </c>
      <c r="B3" s="81" t="s">
        <v>581</v>
      </c>
      <c r="C3" s="81"/>
      <c r="D3" s="81"/>
      <c r="E3" s="82" t="s">
        <v>55</v>
      </c>
      <c r="F3" s="82" t="s">
        <v>57</v>
      </c>
      <c r="G3" s="82" t="s">
        <v>58</v>
      </c>
      <c r="H3" s="82" t="s">
        <v>60</v>
      </c>
      <c r="I3" s="82" t="s">
        <v>62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</row>
    <row r="4" spans="1:175" s="57" customFormat="1" ht="31.5" customHeight="1">
      <c r="A4" s="55"/>
      <c r="B4" s="55" t="s">
        <v>5</v>
      </c>
      <c r="C4" s="56" t="s">
        <v>2</v>
      </c>
      <c r="D4" s="60" t="s">
        <v>10</v>
      </c>
      <c r="E4" s="90">
        <v>2400</v>
      </c>
      <c r="F4" s="90">
        <v>2400</v>
      </c>
      <c r="G4" s="90">
        <v>2400</v>
      </c>
      <c r="H4" s="90">
        <v>2400</v>
      </c>
      <c r="I4" s="90">
        <v>2400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</row>
    <row r="5" spans="1:9" s="57" customFormat="1" ht="31.5" customHeight="1">
      <c r="A5" s="55"/>
      <c r="B5" s="55" t="s">
        <v>524</v>
      </c>
      <c r="C5" s="56" t="s">
        <v>2</v>
      </c>
      <c r="D5" s="60" t="s">
        <v>11</v>
      </c>
      <c r="E5" s="91">
        <v>6</v>
      </c>
      <c r="F5" s="91">
        <v>6</v>
      </c>
      <c r="G5" s="91">
        <v>6</v>
      </c>
      <c r="H5" s="91">
        <v>6</v>
      </c>
      <c r="I5" s="91">
        <v>6</v>
      </c>
    </row>
    <row r="6" spans="1:9" s="57" customFormat="1" ht="31.5" customHeight="1">
      <c r="A6" s="55"/>
      <c r="B6" s="55" t="s">
        <v>627</v>
      </c>
      <c r="C6" s="56" t="s">
        <v>2</v>
      </c>
      <c r="D6" s="60" t="s">
        <v>11</v>
      </c>
      <c r="E6" s="91">
        <f>E5/4</f>
        <v>1.5</v>
      </c>
      <c r="F6" s="91">
        <f>F5/4</f>
        <v>1.5</v>
      </c>
      <c r="G6" s="91">
        <f>G5/4</f>
        <v>1.5</v>
      </c>
      <c r="H6" s="91">
        <f>H5/4</f>
        <v>1.5</v>
      </c>
      <c r="I6" s="91">
        <f>I5/4</f>
        <v>1.5</v>
      </c>
    </row>
    <row r="7" spans="1:9" s="57" customFormat="1" ht="31.5" customHeight="1">
      <c r="A7" s="55"/>
      <c r="B7" s="55" t="s">
        <v>638</v>
      </c>
      <c r="C7" s="56" t="s">
        <v>2</v>
      </c>
      <c r="D7" s="60" t="s">
        <v>9</v>
      </c>
      <c r="E7" s="91">
        <v>2</v>
      </c>
      <c r="F7" s="91">
        <v>2</v>
      </c>
      <c r="G7" s="91">
        <v>2</v>
      </c>
      <c r="H7" s="91">
        <v>2</v>
      </c>
      <c r="I7" s="91">
        <v>2</v>
      </c>
    </row>
    <row r="8" spans="1:9" s="57" customFormat="1" ht="31.5" customHeight="1">
      <c r="A8" s="63" t="s">
        <v>539</v>
      </c>
      <c r="B8" s="64" t="s">
        <v>536</v>
      </c>
      <c r="C8" s="64"/>
      <c r="D8" s="62"/>
      <c r="E8" s="92" t="s">
        <v>538</v>
      </c>
      <c r="F8" s="92" t="s">
        <v>538</v>
      </c>
      <c r="G8" s="92" t="s">
        <v>538</v>
      </c>
      <c r="H8" s="92" t="s">
        <v>538</v>
      </c>
      <c r="I8" s="92" t="s">
        <v>538</v>
      </c>
    </row>
    <row r="9" spans="1:9" s="57" customFormat="1" ht="31.5" customHeight="1">
      <c r="A9" s="55"/>
      <c r="B9" s="55" t="s">
        <v>537</v>
      </c>
      <c r="C9" s="56" t="s">
        <v>2</v>
      </c>
      <c r="D9" s="65" t="s">
        <v>9</v>
      </c>
      <c r="E9" s="93">
        <v>2</v>
      </c>
      <c r="F9" s="93">
        <v>2</v>
      </c>
      <c r="G9" s="93">
        <v>2</v>
      </c>
      <c r="H9" s="93">
        <v>2.4</v>
      </c>
      <c r="I9" s="93">
        <v>2.4</v>
      </c>
    </row>
    <row r="10" spans="1:9" s="57" customFormat="1" ht="31.5" customHeight="1">
      <c r="A10" s="55"/>
      <c r="B10" s="55" t="s">
        <v>577</v>
      </c>
      <c r="C10" s="56" t="s">
        <v>2</v>
      </c>
      <c r="D10" s="65" t="s">
        <v>9</v>
      </c>
      <c r="E10" s="134">
        <v>2</v>
      </c>
      <c r="F10" s="134">
        <v>3</v>
      </c>
      <c r="G10" s="134">
        <v>3</v>
      </c>
      <c r="H10" s="134">
        <v>4</v>
      </c>
      <c r="I10" s="134">
        <v>4</v>
      </c>
    </row>
    <row r="11" spans="1:9" s="57" customFormat="1" ht="31.5" customHeight="1">
      <c r="A11" s="55"/>
      <c r="B11" s="55" t="s">
        <v>578</v>
      </c>
      <c r="C11" s="56" t="s">
        <v>2</v>
      </c>
      <c r="D11" s="65" t="s">
        <v>9</v>
      </c>
      <c r="E11" s="134">
        <v>8</v>
      </c>
      <c r="F11" s="134">
        <v>8</v>
      </c>
      <c r="G11" s="134">
        <v>8</v>
      </c>
      <c r="H11" s="134">
        <v>15</v>
      </c>
      <c r="I11" s="134">
        <v>20</v>
      </c>
    </row>
    <row r="12" spans="1:9" s="57" customFormat="1" ht="31.5" customHeight="1">
      <c r="A12" s="55"/>
      <c r="B12" s="55" t="s">
        <v>644</v>
      </c>
      <c r="C12" s="56" t="s">
        <v>2</v>
      </c>
      <c r="D12" s="65" t="s">
        <v>9</v>
      </c>
      <c r="E12" s="134">
        <v>8</v>
      </c>
      <c r="F12" s="134">
        <v>8</v>
      </c>
      <c r="G12" s="134">
        <v>8</v>
      </c>
      <c r="H12" s="134">
        <v>15</v>
      </c>
      <c r="I12" s="134">
        <v>20</v>
      </c>
    </row>
    <row r="13" spans="1:9" s="57" customFormat="1" ht="31.5" customHeight="1">
      <c r="A13" s="55"/>
      <c r="B13" s="55" t="s">
        <v>579</v>
      </c>
      <c r="C13" s="56" t="s">
        <v>2</v>
      </c>
      <c r="D13" s="65" t="s">
        <v>9</v>
      </c>
      <c r="E13" s="93">
        <v>4</v>
      </c>
      <c r="F13" s="93">
        <v>4</v>
      </c>
      <c r="G13" s="93">
        <v>4</v>
      </c>
      <c r="H13" s="93">
        <v>4</v>
      </c>
      <c r="I13" s="93">
        <v>4</v>
      </c>
    </row>
    <row r="14" spans="1:9" s="57" customFormat="1" ht="31.5" customHeight="1">
      <c r="A14" s="55"/>
      <c r="B14" s="55" t="s">
        <v>544</v>
      </c>
      <c r="C14" s="56" t="s">
        <v>2</v>
      </c>
      <c r="D14" s="65" t="s">
        <v>9</v>
      </c>
      <c r="E14" s="93">
        <v>1.2</v>
      </c>
      <c r="F14" s="93">
        <v>1.2</v>
      </c>
      <c r="G14" s="93">
        <v>1.6</v>
      </c>
      <c r="H14" s="93">
        <v>1.6</v>
      </c>
      <c r="I14" s="93">
        <v>1.8</v>
      </c>
    </row>
    <row r="15" spans="1:9" s="57" customFormat="1" ht="31.5" customHeight="1">
      <c r="A15" s="55"/>
      <c r="B15" s="55" t="s">
        <v>558</v>
      </c>
      <c r="C15" s="56" t="s">
        <v>2</v>
      </c>
      <c r="D15" s="65" t="s">
        <v>9</v>
      </c>
      <c r="E15" s="93">
        <v>0.8</v>
      </c>
      <c r="F15" s="93">
        <v>0.8</v>
      </c>
      <c r="G15" s="93">
        <v>0.8</v>
      </c>
      <c r="H15" s="93">
        <v>0.8</v>
      </c>
      <c r="I15" s="93">
        <v>0.8</v>
      </c>
    </row>
    <row r="16" spans="1:175" s="57" customFormat="1" ht="31.5" customHeight="1">
      <c r="A16" s="63">
        <v>3</v>
      </c>
      <c r="B16" s="64" t="s">
        <v>525</v>
      </c>
      <c r="C16" s="64"/>
      <c r="D16" s="62"/>
      <c r="E16" s="94"/>
      <c r="F16" s="94"/>
      <c r="G16" s="94"/>
      <c r="H16" s="94"/>
      <c r="I16" s="94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</row>
    <row r="17" spans="1:175" s="57" customFormat="1" ht="31.5" customHeight="1">
      <c r="A17" s="55"/>
      <c r="B17" s="55" t="s">
        <v>1</v>
      </c>
      <c r="C17" s="56" t="s">
        <v>2</v>
      </c>
      <c r="D17" s="60" t="s">
        <v>7</v>
      </c>
      <c r="E17" s="95">
        <f>INDEX(steel,MATCH(E$3,st_name,0),4)</f>
        <v>150</v>
      </c>
      <c r="F17" s="95">
        <f>INDEX(steel,MATCH(F$3,st_name,0),4)</f>
        <v>180</v>
      </c>
      <c r="G17" s="95">
        <f>INDEX(steel,MATCH(G$3,st_name,0),4)</f>
        <v>200</v>
      </c>
      <c r="H17" s="95">
        <f>INDEX(steel,MATCH(H$3,st_name,0),4)</f>
        <v>250</v>
      </c>
      <c r="I17" s="95">
        <f>INDEX(steel,MATCH(I$3,st_name,0),4)</f>
        <v>300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</row>
    <row r="18" spans="1:175" s="57" customFormat="1" ht="31.5" customHeight="1">
      <c r="A18" s="55"/>
      <c r="B18" s="55" t="s">
        <v>3</v>
      </c>
      <c r="C18" s="56" t="s">
        <v>2</v>
      </c>
      <c r="D18" s="60" t="s">
        <v>7</v>
      </c>
      <c r="E18" s="95">
        <f>INDEX(steel,MATCH(E$3,st_name,0),6)</f>
        <v>75</v>
      </c>
      <c r="F18" s="95">
        <f>INDEX(steel,MATCH(F$3,st_name,0),6)</f>
        <v>75</v>
      </c>
      <c r="G18" s="95">
        <f>INDEX(steel,MATCH(G$3,st_name,0),6)</f>
        <v>80</v>
      </c>
      <c r="H18" s="95">
        <f>INDEX(steel,MATCH(H$3,st_name,0),6)</f>
        <v>90</v>
      </c>
      <c r="I18" s="95">
        <f>INDEX(steel,MATCH(I$3,st_name,0),6)</f>
        <v>90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</row>
    <row r="19" spans="1:9" s="57" customFormat="1" ht="31.5" customHeight="1">
      <c r="A19" s="55"/>
      <c r="B19" s="55" t="s">
        <v>13</v>
      </c>
      <c r="C19" s="56" t="s">
        <v>2</v>
      </c>
      <c r="D19" s="60" t="s">
        <v>7</v>
      </c>
      <c r="E19" s="95">
        <f>INDEX(steel,MATCH(E$3,st_name,0),9)</f>
        <v>6.5</v>
      </c>
      <c r="F19" s="95">
        <f>INDEX(steel,MATCH(F$3,st_name,0),9)</f>
        <v>7</v>
      </c>
      <c r="G19" s="95">
        <f>INDEX(steel,MATCH(G$3,st_name,0),9)</f>
        <v>7.5</v>
      </c>
      <c r="H19" s="95">
        <f>INDEX(steel,MATCH(H$3,st_name,0),9)</f>
        <v>9</v>
      </c>
      <c r="I19" s="95">
        <f>INDEX(steel,MATCH(I$3,st_name,0),9)</f>
        <v>9</v>
      </c>
    </row>
    <row r="20" spans="1:9" s="57" customFormat="1" ht="31.5" customHeight="1">
      <c r="A20" s="55"/>
      <c r="B20" s="55" t="s">
        <v>12</v>
      </c>
      <c r="C20" s="56" t="s">
        <v>2</v>
      </c>
      <c r="D20" s="60" t="s">
        <v>7</v>
      </c>
      <c r="E20" s="95">
        <f>INDEX(steel,MATCH(E$3,st_name,0),10)</f>
        <v>10</v>
      </c>
      <c r="F20" s="95">
        <f>INDEX(steel,MATCH(F$3,st_name,0),10)</f>
        <v>10.5</v>
      </c>
      <c r="G20" s="95">
        <f>INDEX(steel,MATCH(G$3,st_name,0),10)</f>
        <v>11</v>
      </c>
      <c r="H20" s="95">
        <f>INDEX(steel,MATCH(H$3,st_name,0),10)</f>
        <v>13</v>
      </c>
      <c r="I20" s="95">
        <f>INDEX(steel,MATCH(I$3,st_name,0),10)</f>
        <v>13</v>
      </c>
    </row>
    <row r="21" spans="1:9" s="57" customFormat="1" ht="31.5" customHeight="1">
      <c r="A21" s="55"/>
      <c r="B21" s="55" t="s">
        <v>647</v>
      </c>
      <c r="C21" s="56" t="s">
        <v>2</v>
      </c>
      <c r="D21" s="135" t="s">
        <v>651</v>
      </c>
      <c r="E21" s="95">
        <f>INDEX(steel,MATCH(E$3,st_name,0),11)</f>
        <v>47.42</v>
      </c>
      <c r="F21" s="95">
        <f>INDEX(steel,MATCH(F$3,st_name,0),11)</f>
        <v>54.4</v>
      </c>
      <c r="G21" s="95">
        <f>INDEX(steel,MATCH(G$3,st_name,0),11)</f>
        <v>62.66</v>
      </c>
      <c r="H21" s="95">
        <f>INDEX(steel,MATCH(H$3,st_name,0),11)</f>
        <v>88.14</v>
      </c>
      <c r="I21" s="95">
        <f>INDEX(steel,MATCH(I$3,st_name,0),11)</f>
        <v>97.14</v>
      </c>
    </row>
    <row r="22" spans="1:9" s="57" customFormat="1" ht="31.5" customHeight="1">
      <c r="A22" s="55"/>
      <c r="B22" s="55" t="s">
        <v>580</v>
      </c>
      <c r="C22" s="56" t="s">
        <v>2</v>
      </c>
      <c r="D22" s="60" t="s">
        <v>9</v>
      </c>
      <c r="E22" s="95">
        <f>INDEX(steel,MATCH(E$3,st_name,0),14)</f>
        <v>6.026093</v>
      </c>
      <c r="F22" s="95">
        <f>INDEX(steel,MATCH(F$3,st_name,0),14)</f>
        <v>7.122871</v>
      </c>
      <c r="G22" s="95">
        <f>INDEX(steel,MATCH(G$3,st_name,0),14)</f>
        <v>7.889275</v>
      </c>
      <c r="H22" s="95">
        <f>INDEX(steel,MATCH(H$3,st_name,0),14)</f>
        <v>9.739051</v>
      </c>
      <c r="I22" s="95">
        <f>INDEX(steel,MATCH(I$3,st_name,0),14)</f>
        <v>11.51487</v>
      </c>
    </row>
    <row r="23" spans="1:9" s="57" customFormat="1" ht="31.5" customHeight="1">
      <c r="A23" s="55"/>
      <c r="B23" s="55" t="s">
        <v>6</v>
      </c>
      <c r="C23" s="56" t="s">
        <v>2</v>
      </c>
      <c r="D23" s="60" t="s">
        <v>9</v>
      </c>
      <c r="E23" s="95">
        <f>INDEX(steel,MATCH(E$3,st_name,0),15)</f>
        <v>3.423544</v>
      </c>
      <c r="F23" s="95">
        <f>INDEX(steel,MATCH(F$3,st_name,0),15)</f>
        <v>3.311582</v>
      </c>
      <c r="G23" s="95">
        <f>INDEX(steel,MATCH(G$3,st_name,0),15)</f>
        <v>3.470518</v>
      </c>
      <c r="H23" s="95">
        <f>INDEX(steel,MATCH(H$3,st_name,0),15)</f>
        <v>3.846259</v>
      </c>
      <c r="I23" s="95">
        <f>INDEX(steel,MATCH(I$3,st_name,0),15)</f>
        <v>3.67299</v>
      </c>
    </row>
    <row r="24" spans="1:9" s="57" customFormat="1" ht="31.5" customHeight="1">
      <c r="A24" s="55"/>
      <c r="B24" s="55" t="s">
        <v>526</v>
      </c>
      <c r="C24" s="56" t="s">
        <v>2</v>
      </c>
      <c r="D24" s="60" t="s">
        <v>652</v>
      </c>
      <c r="E24" s="95">
        <f>INDEX(steel,MATCH(E$3,st_name,0),16)</f>
        <v>229.6</v>
      </c>
      <c r="F24" s="95">
        <f>INDEX(steel,MATCH(F$3,st_name,0),16)</f>
        <v>306.67</v>
      </c>
      <c r="G24" s="95">
        <f>INDEX(steel,MATCH(G$3,st_name,0),16)</f>
        <v>390</v>
      </c>
      <c r="H24" s="95">
        <f>INDEX(steel,MATCH(H$3,st_name,0),16)</f>
        <v>668.8</v>
      </c>
      <c r="I24" s="95">
        <f>INDEX(steel,MATCH(I$3,st_name,0),16)</f>
        <v>858.67</v>
      </c>
    </row>
    <row r="25" spans="1:9" s="57" customFormat="1" ht="31.5" customHeight="1">
      <c r="A25" s="63" t="s">
        <v>535</v>
      </c>
      <c r="B25" s="64" t="s">
        <v>608</v>
      </c>
      <c r="C25" s="64"/>
      <c r="D25" s="62"/>
      <c r="E25" s="92"/>
      <c r="F25" s="92"/>
      <c r="G25" s="92"/>
      <c r="H25" s="92"/>
      <c r="I25" s="92"/>
    </row>
    <row r="26" spans="1:9" s="57" customFormat="1" ht="31.5" customHeight="1">
      <c r="A26" s="63"/>
      <c r="B26" s="57" t="s">
        <v>609</v>
      </c>
      <c r="C26" s="56" t="s">
        <v>2</v>
      </c>
      <c r="D26" s="62"/>
      <c r="E26" s="92">
        <f>1*E5*100/E22</f>
        <v>99.5669997127492</v>
      </c>
      <c r="F26" s="92">
        <f>1*F5*100/F22</f>
        <v>84.23569653304124</v>
      </c>
      <c r="G26" s="92">
        <f>1*G5*100/G22</f>
        <v>76.05261573465243</v>
      </c>
      <c r="H26" s="92">
        <f>1*H5*100/H22</f>
        <v>61.6076453445002</v>
      </c>
      <c r="I26" s="92">
        <f>1*I5*100/I22</f>
        <v>52.10653702560255</v>
      </c>
    </row>
    <row r="27" spans="1:9" s="57" customFormat="1" ht="31.5" customHeight="1">
      <c r="A27" s="63"/>
      <c r="B27" s="57" t="s">
        <v>610</v>
      </c>
      <c r="C27" s="56" t="s">
        <v>2</v>
      </c>
      <c r="D27" s="62"/>
      <c r="E27" s="92">
        <f>1*E5*100/E23</f>
        <v>175.2569851592385</v>
      </c>
      <c r="F27" s="92">
        <f>1*F5*100/F23</f>
        <v>181.182286894904</v>
      </c>
      <c r="G27" s="92">
        <f>1*G5*100/G23</f>
        <v>172.88485465282128</v>
      </c>
      <c r="H27" s="92">
        <f>1*H5*100/H23</f>
        <v>155.995735076603</v>
      </c>
      <c r="I27" s="92">
        <f>1*I5*100/I23</f>
        <v>163.35465111530388</v>
      </c>
    </row>
    <row r="28" spans="1:9" s="57" customFormat="1" ht="31.5" customHeight="1">
      <c r="A28" s="63"/>
      <c r="B28" s="79" t="s">
        <v>611</v>
      </c>
      <c r="C28" s="56" t="s">
        <v>2</v>
      </c>
      <c r="D28" s="62"/>
      <c r="E28" s="92">
        <f>MAX(E26:E27)</f>
        <v>175.2569851592385</v>
      </c>
      <c r="F28" s="92">
        <f>MAX(F26:F27)</f>
        <v>181.182286894904</v>
      </c>
      <c r="G28" s="92">
        <f>MAX(G26:G27)</f>
        <v>172.88485465282128</v>
      </c>
      <c r="H28" s="92">
        <f>MAX(H26:H27)</f>
        <v>155.995735076603</v>
      </c>
      <c r="I28" s="92">
        <f>MAX(I26:I27)</f>
        <v>163.35465111530388</v>
      </c>
    </row>
    <row r="29" spans="1:9" s="57" customFormat="1" ht="31.5" customHeight="1">
      <c r="A29" s="63"/>
      <c r="C29" s="56" t="s">
        <v>2</v>
      </c>
      <c r="D29" s="62"/>
      <c r="E29" s="92">
        <v>129.58</v>
      </c>
      <c r="F29" s="92">
        <v>129.58</v>
      </c>
      <c r="G29" s="92">
        <v>129.58</v>
      </c>
      <c r="H29" s="92">
        <v>129.58</v>
      </c>
      <c r="I29" s="92">
        <v>129.58</v>
      </c>
    </row>
    <row r="30" spans="1:9" s="57" customFormat="1" ht="31.5" customHeight="1">
      <c r="A30" s="63"/>
      <c r="B30" s="57" t="s">
        <v>612</v>
      </c>
      <c r="C30" s="56" t="s">
        <v>2</v>
      </c>
      <c r="D30" s="62"/>
      <c r="E30" s="109">
        <f>E28/E29</f>
        <v>1.3525002713322927</v>
      </c>
      <c r="F30" s="109">
        <f>F28/F29</f>
        <v>1.3982272487645004</v>
      </c>
      <c r="G30" s="109">
        <f>G28/G29</f>
        <v>1.3341939701560523</v>
      </c>
      <c r="H30" s="109">
        <f>H28/H29</f>
        <v>1.203856575679912</v>
      </c>
      <c r="I30" s="109">
        <f>I28/I29</f>
        <v>1.2606470992074692</v>
      </c>
    </row>
    <row r="31" spans="1:9" s="57" customFormat="1" ht="31.5" customHeight="1">
      <c r="A31" s="63"/>
      <c r="B31" s="57" t="s">
        <v>613</v>
      </c>
      <c r="C31" s="56" t="s">
        <v>2</v>
      </c>
      <c r="D31" s="62"/>
      <c r="E31" s="92">
        <f>IF(E28&lt;E29,5/3+3/8*E30-1/8*E30^3,23/12)</f>
        <v>1.9166666666666667</v>
      </c>
      <c r="F31" s="92">
        <f>IF(F28&lt;F29,5/3+3/8*F30-1/8*F30^3,23/12)</f>
        <v>1.9166666666666667</v>
      </c>
      <c r="G31" s="92">
        <f>IF(G28&lt;G29,5/3+3/8*G30-1/8*G30^3,23/12)</f>
        <v>1.9166666666666667</v>
      </c>
      <c r="H31" s="92">
        <f>IF(H28&lt;H29,5/3+3/8*H30-1/8*H30^3,23/12)</f>
        <v>1.9166666666666667</v>
      </c>
      <c r="I31" s="92">
        <f>IF(I28&lt;I29,5/3+3/8*I30-1/8*I30^3,23/12)</f>
        <v>1.9166666666666667</v>
      </c>
    </row>
    <row r="32" spans="1:9" s="57" customFormat="1" ht="31.5" customHeight="1">
      <c r="A32" s="55"/>
      <c r="B32" s="57" t="s">
        <v>614</v>
      </c>
      <c r="C32" s="56" t="s">
        <v>2</v>
      </c>
      <c r="D32" s="62" t="s">
        <v>10</v>
      </c>
      <c r="E32" s="95">
        <f>IF(E28&lt;E29,(1-0.5*(E28*E28))*E4/E31,3.14*3.14*2000000/(E28*E28))</f>
        <v>642.0053080286722</v>
      </c>
      <c r="F32" s="95">
        <f>IF(F28&lt;F29,(1-0.5*(F28*F28))*F4/F31,3.14*3.14*2000000/(F28*F28))</f>
        <v>600.7002569395643</v>
      </c>
      <c r="G32" s="95">
        <f>IF(G28&lt;G29,(1-0.5*(G28*G28))*G4/G31,3.14*3.14*2000000/(G28*G28))</f>
        <v>659.7439153266629</v>
      </c>
      <c r="H32" s="95">
        <f>IF(H28&lt;H29,(1-0.5*(H28*H28))*H4/H31,3.14*3.14*2000000/(H28*H28))</f>
        <v>810.3335905898924</v>
      </c>
      <c r="I32" s="95">
        <f>IF(I28&lt;I29,(1-0.5*(I28*I28))*I4/I31,3.14*3.14*2000000/(I28*I28))</f>
        <v>738.969107128722</v>
      </c>
    </row>
    <row r="33" spans="1:9" s="85" customFormat="1" ht="31.5" customHeight="1">
      <c r="A33" s="113"/>
      <c r="B33" s="120" t="s">
        <v>623</v>
      </c>
      <c r="C33" s="121" t="s">
        <v>2</v>
      </c>
      <c r="D33" s="122" t="s">
        <v>533</v>
      </c>
      <c r="E33" s="123">
        <f>E32*E21/1000</f>
        <v>30.443891706719633</v>
      </c>
      <c r="F33" s="123">
        <f>F32*F21/1000</f>
        <v>32.6780939775123</v>
      </c>
      <c r="G33" s="123">
        <f>G32*G21/1000</f>
        <v>41.33955373436869</v>
      </c>
      <c r="H33" s="123">
        <f>H32*H21/1000</f>
        <v>71.42280267459311</v>
      </c>
      <c r="I33" s="123">
        <f>I32*I21/1000</f>
        <v>71.78345906648407</v>
      </c>
    </row>
    <row r="34" spans="1:9" s="57" customFormat="1" ht="31.5" customHeight="1">
      <c r="A34" s="66" t="s">
        <v>540</v>
      </c>
      <c r="B34" s="67" t="s">
        <v>547</v>
      </c>
      <c r="C34" s="67"/>
      <c r="D34" s="68"/>
      <c r="E34" s="97"/>
      <c r="F34" s="97"/>
      <c r="G34" s="97"/>
      <c r="H34" s="97"/>
      <c r="I34" s="97"/>
    </row>
    <row r="35" spans="1:9" s="57" customFormat="1" ht="31.5" customHeight="1">
      <c r="A35" s="55"/>
      <c r="B35" s="55" t="s">
        <v>541</v>
      </c>
      <c r="C35" s="56" t="s">
        <v>2</v>
      </c>
      <c r="D35" s="60" t="s">
        <v>9</v>
      </c>
      <c r="E35" s="95">
        <f>((E10-1)*E11+E13-E10*(E9+0.2))*2</f>
        <v>15.2</v>
      </c>
      <c r="F35" s="95">
        <f>((F10-1)*F11+F13-F10*(F9+0.2))*2</f>
        <v>26.799999999999997</v>
      </c>
      <c r="G35" s="95">
        <f>((G10-1)*G11+G13-G10*(G9+0.2))*2</f>
        <v>26.799999999999997</v>
      </c>
      <c r="H35" s="95">
        <f>((H10-1)*H11+H13-H10*(H9+0.2))*2</f>
        <v>77.2</v>
      </c>
      <c r="I35" s="95">
        <f>((I10-1)*I11+I13-I10*(I9+0.2))*2</f>
        <v>107.2</v>
      </c>
    </row>
    <row r="36" spans="1:9" s="57" customFormat="1" ht="31.5" customHeight="1">
      <c r="A36" s="55"/>
      <c r="B36" s="55" t="s">
        <v>542</v>
      </c>
      <c r="C36" s="56" t="s">
        <v>2</v>
      </c>
      <c r="D36" s="60" t="s">
        <v>9</v>
      </c>
      <c r="E36" s="95">
        <f>E12-2*(E10+0.2)</f>
        <v>3.5999999999999996</v>
      </c>
      <c r="F36" s="95">
        <f>F12-2*(F10+0.2)</f>
        <v>1.5999999999999996</v>
      </c>
      <c r="G36" s="95">
        <f>G12-2*(G10+0.2)</f>
        <v>1.5999999999999996</v>
      </c>
      <c r="H36" s="95">
        <f>H12-2*(H10+0.2)</f>
        <v>6.6</v>
      </c>
      <c r="I36" s="95">
        <f>I12-2*(I10+0.2)</f>
        <v>11.6</v>
      </c>
    </row>
    <row r="37" spans="1:9" s="57" customFormat="1" ht="31.5" customHeight="1">
      <c r="A37" s="55"/>
      <c r="B37" s="55" t="s">
        <v>543</v>
      </c>
      <c r="C37" s="56" t="s">
        <v>2</v>
      </c>
      <c r="D37" s="60" t="s">
        <v>533</v>
      </c>
      <c r="E37" s="96">
        <f>4000*(0.3*E35+0.5*E36)*E14/1000</f>
        <v>30.52799999999999</v>
      </c>
      <c r="F37" s="96">
        <f>4000*(0.3*F35+0.5*F36)*F14/1000</f>
        <v>42.432</v>
      </c>
      <c r="G37" s="96">
        <f>4000*(0.3*G35+0.5*G36)*G14/1000</f>
        <v>56.576</v>
      </c>
      <c r="H37" s="96">
        <f>4000*(0.3*H35+0.5*H36)*H14/1000</f>
        <v>169.344</v>
      </c>
      <c r="I37" s="96">
        <f>4000*(0.3*I35+0.5*I36)*I14/1000</f>
        <v>273.31199999999995</v>
      </c>
    </row>
    <row r="38" spans="1:9" s="57" customFormat="1" ht="31.5" customHeight="1">
      <c r="A38" s="66" t="s">
        <v>545</v>
      </c>
      <c r="B38" s="67" t="s">
        <v>584</v>
      </c>
      <c r="C38" s="67"/>
      <c r="D38" s="68"/>
      <c r="E38" s="97"/>
      <c r="F38" s="97"/>
      <c r="G38" s="97"/>
      <c r="H38" s="97"/>
      <c r="I38" s="97"/>
    </row>
    <row r="39" spans="1:9" s="57" customFormat="1" ht="31.5" customHeight="1">
      <c r="A39" s="55"/>
      <c r="B39" s="55" t="s">
        <v>616</v>
      </c>
      <c r="C39" s="56" t="s">
        <v>2</v>
      </c>
      <c r="D39" s="60" t="s">
        <v>533</v>
      </c>
      <c r="E39" s="96">
        <f>0.5*4000*E14*(0.1*E17-E10*(E9+0.2))/1000</f>
        <v>25.44</v>
      </c>
      <c r="F39" s="96">
        <f>0.5*4000*F14*(0.1*F17-F10*(F9+0.2))/1000</f>
        <v>27.359999999999996</v>
      </c>
      <c r="G39" s="96">
        <f>0.5*4000*G14*(0.1*G17-G10*(G9+0.2))/1000</f>
        <v>42.879999999999995</v>
      </c>
      <c r="H39" s="96">
        <f>0.5*4000*H14*(0.1*H17-H10*(H9+0.2))/1000</f>
        <v>46.72</v>
      </c>
      <c r="I39" s="96">
        <f>0.5*4000*I14*(0.1*I17-I10*(I9+0.2))/1000</f>
        <v>70.56</v>
      </c>
    </row>
    <row r="40" spans="1:9" s="57" customFormat="1" ht="31.5" customHeight="1">
      <c r="A40" s="55"/>
      <c r="B40" s="55" t="s">
        <v>617</v>
      </c>
      <c r="C40" s="56" t="s">
        <v>2</v>
      </c>
      <c r="D40" s="60" t="s">
        <v>533</v>
      </c>
      <c r="E40" s="96">
        <f>0.6*E4*(E17*0.1*E14)/1000</f>
        <v>25.92</v>
      </c>
      <c r="F40" s="96">
        <f>0.6*F4*(F17*0.1*F14)/1000</f>
        <v>31.103999999999996</v>
      </c>
      <c r="G40" s="96">
        <f>0.6*G4*(G17*0.1*G14)/1000</f>
        <v>46.08</v>
      </c>
      <c r="H40" s="96">
        <f>0.6*H4*(H17*0.1*H14)/1000</f>
        <v>57.6</v>
      </c>
      <c r="I40" s="96">
        <f>0.6*I4*(I17*0.1*I14)/1000</f>
        <v>77.76</v>
      </c>
    </row>
    <row r="41" spans="1:9" s="57" customFormat="1" ht="31.5" customHeight="1">
      <c r="A41" s="66" t="s">
        <v>583</v>
      </c>
      <c r="B41" s="67" t="s">
        <v>546</v>
      </c>
      <c r="C41" s="68"/>
      <c r="D41" s="68"/>
      <c r="E41" s="98"/>
      <c r="F41" s="98"/>
      <c r="G41" s="98"/>
      <c r="H41" s="98"/>
      <c r="I41" s="98"/>
    </row>
    <row r="42" spans="1:9" s="57" customFormat="1" ht="31.5" customHeight="1">
      <c r="A42" s="55"/>
      <c r="B42" s="55" t="s">
        <v>615</v>
      </c>
      <c r="C42" s="56" t="s">
        <v>2</v>
      </c>
      <c r="D42" s="60" t="s">
        <v>533</v>
      </c>
      <c r="E42" s="99">
        <f>2*E10*(E9+0.2)*E14*1.2*4000/1000</f>
        <v>50.688</v>
      </c>
      <c r="F42" s="99">
        <f>2*F10*(F9+0.2)*F14*1.2*4000/1000</f>
        <v>76.032</v>
      </c>
      <c r="G42" s="99">
        <f>2*G10*(G9+0.2)*G14*1.2*4000/1000</f>
        <v>101.37600000000002</v>
      </c>
      <c r="H42" s="99">
        <f>2*H10*(H9+0.2)*H14*1.2*4000/1000</f>
        <v>159.744</v>
      </c>
      <c r="I42" s="99">
        <f>2*I10*(I9+0.2)*I14*1.2*4000/1000</f>
        <v>179.71200000000002</v>
      </c>
    </row>
    <row r="43" spans="1:9" s="71" customFormat="1" ht="31.5" customHeight="1">
      <c r="A43" s="66" t="s">
        <v>552</v>
      </c>
      <c r="B43" s="67" t="s">
        <v>648</v>
      </c>
      <c r="C43" s="67"/>
      <c r="D43" s="67"/>
      <c r="E43" s="98"/>
      <c r="F43" s="98"/>
      <c r="G43" s="98"/>
      <c r="H43" s="98"/>
      <c r="I43" s="98"/>
    </row>
    <row r="44" spans="1:9" s="71" customFormat="1" ht="31.5" customHeight="1">
      <c r="A44" s="63"/>
      <c r="B44" s="110" t="s">
        <v>618</v>
      </c>
      <c r="C44" s="61" t="s">
        <v>2</v>
      </c>
      <c r="D44" s="55" t="s">
        <v>533</v>
      </c>
      <c r="E44" s="101">
        <f>2*(0.3*0.707*E15*4900*(E17*0.1))/1000</f>
        <v>24.94296</v>
      </c>
      <c r="F44" s="101">
        <f>2*(0.3*0.707*F15*4900*(F17*0.1))/1000</f>
        <v>29.931552</v>
      </c>
      <c r="G44" s="101">
        <f>2*(0.3*0.707*G15*4900*(G17*0.1))/1000</f>
        <v>33.25728</v>
      </c>
      <c r="H44" s="101">
        <f>2*(0.3*0.707*H15*4900*(H17*0.1))/1000</f>
        <v>41.5716</v>
      </c>
      <c r="I44" s="101">
        <f>2*(0.3*0.707*I15*4900*(I17*0.1))/1000</f>
        <v>49.88592</v>
      </c>
    </row>
    <row r="45" spans="1:9" s="57" customFormat="1" ht="31.5" customHeight="1">
      <c r="A45" s="72" t="s">
        <v>586</v>
      </c>
      <c r="B45" s="73" t="s">
        <v>622</v>
      </c>
      <c r="C45" s="74"/>
      <c r="D45" s="74"/>
      <c r="E45" s="102"/>
      <c r="F45" s="102"/>
      <c r="G45" s="102"/>
      <c r="H45" s="102"/>
      <c r="I45" s="102"/>
    </row>
    <row r="46" spans="1:9" s="57" customFormat="1" ht="31.5" customHeight="1">
      <c r="A46" s="63"/>
      <c r="B46" s="62" t="s">
        <v>625</v>
      </c>
      <c r="C46" s="61" t="s">
        <v>2</v>
      </c>
      <c r="D46" s="62" t="s">
        <v>533</v>
      </c>
      <c r="E46" s="96">
        <f>0.6*E4*(0.75*E21)/1000</f>
        <v>51.2136</v>
      </c>
      <c r="F46" s="96">
        <f>0.6*F4*(0.75*F21)/1000</f>
        <v>58.751999999999995</v>
      </c>
      <c r="G46" s="96">
        <f>0.6*G4*(0.75*G21)/1000</f>
        <v>67.67280000000001</v>
      </c>
      <c r="H46" s="96">
        <f>0.6*H4*(0.75*H21)/1000</f>
        <v>95.19120000000001</v>
      </c>
      <c r="I46" s="96">
        <f>0.6*I4*(0.75*I21)/1000</f>
        <v>104.91120000000001</v>
      </c>
    </row>
    <row r="47" spans="1:9" s="57" customFormat="1" ht="31.5" customHeight="1">
      <c r="A47" s="55"/>
      <c r="B47" s="62" t="s">
        <v>626</v>
      </c>
      <c r="C47" s="61" t="s">
        <v>2</v>
      </c>
      <c r="D47" s="62" t="s">
        <v>533</v>
      </c>
      <c r="E47" s="103">
        <f>0.75*(0.5*4000*2*(0.5*E21-2*(E9+0.2)*E19*0.1))/1000</f>
        <v>62.55</v>
      </c>
      <c r="F47" s="103">
        <f>0.75*(0.5*4000*2*(0.5*F21-2*(F9+0.2)*F19*0.1))/1000</f>
        <v>72.35999999999999</v>
      </c>
      <c r="G47" s="103">
        <f>0.75*(0.5*4000*2*(0.5*G21-2*(G9+0.2)*G19*0.1))/1000</f>
        <v>84.08999999999999</v>
      </c>
      <c r="H47" s="103">
        <f>0.75*(0.5*4000*2*(0.5*H21-2*(H9+0.2)*H19*0.1))/1000</f>
        <v>118.17</v>
      </c>
      <c r="I47" s="103">
        <f>0.75*(0.5*4000*2*(0.5*I21-2*(I9+0.2)*I19*0.1))/1000</f>
        <v>131.67</v>
      </c>
    </row>
    <row r="48" spans="1:9" s="57" customFormat="1" ht="31.5" customHeight="1">
      <c r="A48" s="75" t="s">
        <v>587</v>
      </c>
      <c r="B48" s="76" t="s">
        <v>565</v>
      </c>
      <c r="C48" s="77"/>
      <c r="D48" s="78"/>
      <c r="E48" s="104"/>
      <c r="F48" s="104"/>
      <c r="G48" s="104"/>
      <c r="H48" s="104"/>
      <c r="I48" s="104"/>
    </row>
    <row r="49" spans="1:9" s="71" customFormat="1" ht="31.5" customHeight="1">
      <c r="A49" s="55"/>
      <c r="B49" s="55" t="s">
        <v>643</v>
      </c>
      <c r="C49" s="61" t="s">
        <v>2</v>
      </c>
      <c r="D49" s="62" t="s">
        <v>566</v>
      </c>
      <c r="E49" s="105">
        <f>(E33/2)/(2*E10)</f>
        <v>3.805486463339954</v>
      </c>
      <c r="F49" s="105">
        <f>(F33/2)/(2*F10)</f>
        <v>2.7231744981260246</v>
      </c>
      <c r="G49" s="105">
        <f>(G33/2)/(2*G10)</f>
        <v>3.444962811197391</v>
      </c>
      <c r="H49" s="105">
        <f>(H33/2)/(2*H10)</f>
        <v>4.46392516716207</v>
      </c>
      <c r="I49" s="105">
        <f>(I33/2)/(2*I10)</f>
        <v>4.486466191655254</v>
      </c>
    </row>
    <row r="50" spans="1:9" s="57" customFormat="1" ht="31.5" customHeight="1">
      <c r="A50" s="55"/>
      <c r="B50" s="55" t="s">
        <v>576</v>
      </c>
      <c r="C50" s="61" t="s">
        <v>2</v>
      </c>
      <c r="D50" s="62" t="s">
        <v>566</v>
      </c>
      <c r="E50" s="105">
        <f>1.45*(3.14*E9*E9/4)</f>
        <v>4.553</v>
      </c>
      <c r="F50" s="105">
        <f>1.45*(3.14*F9*F9/4)</f>
        <v>4.553</v>
      </c>
      <c r="G50" s="105">
        <f>1.45*(3.14*G9*G9/4)</f>
        <v>4.553</v>
      </c>
      <c r="H50" s="105">
        <f>1.45*(3.14*H9*H9/4)</f>
        <v>6.556319999999999</v>
      </c>
      <c r="I50" s="105">
        <f>1.45*(3.14*I9*I9/4)</f>
        <v>6.556319999999999</v>
      </c>
    </row>
    <row r="51" spans="1:9" s="37" customFormat="1" ht="31.5" customHeight="1">
      <c r="A51" s="137">
        <v>11</v>
      </c>
      <c r="B51" s="76" t="s">
        <v>628</v>
      </c>
      <c r="C51" s="39"/>
      <c r="D51" s="38"/>
      <c r="E51" s="39"/>
      <c r="F51" s="39"/>
      <c r="G51" s="39"/>
      <c r="H51" s="39"/>
      <c r="I51" s="39"/>
    </row>
    <row r="52" spans="1:9" s="37" customFormat="1" ht="31.5" customHeight="1">
      <c r="A52" s="136"/>
      <c r="B52" s="55" t="s">
        <v>630</v>
      </c>
      <c r="C52" s="61" t="s">
        <v>2</v>
      </c>
      <c r="D52" s="105"/>
      <c r="E52" s="105">
        <f>1*E6*100/(E23/2)</f>
        <v>87.62849257961925</v>
      </c>
      <c r="F52" s="105">
        <f>1*F6*100/(F23/2)</f>
        <v>90.591143447452</v>
      </c>
      <c r="G52" s="105">
        <f>1*G6*100/(G23/2)</f>
        <v>86.44242732641064</v>
      </c>
      <c r="H52" s="105">
        <f>1*H6*100/(H23/2)</f>
        <v>77.9978675383015</v>
      </c>
      <c r="I52" s="105">
        <f>1*I6*100/(I23/2)</f>
        <v>81.67732555765194</v>
      </c>
    </row>
    <row r="53" spans="1:9" s="37" customFormat="1" ht="31.5" customHeight="1">
      <c r="A53" s="136"/>
      <c r="B53" s="55" t="s">
        <v>629</v>
      </c>
      <c r="C53" s="61" t="s">
        <v>2</v>
      </c>
      <c r="D53" s="105"/>
      <c r="E53" s="105">
        <f>E28*0.75</f>
        <v>131.44273886942887</v>
      </c>
      <c r="F53" s="105">
        <f>F28*0.75</f>
        <v>135.886715171178</v>
      </c>
      <c r="G53" s="105">
        <f>G28*0.75</f>
        <v>129.66364098961594</v>
      </c>
      <c r="H53" s="105">
        <f>H28*0.75</f>
        <v>116.99680130745226</v>
      </c>
      <c r="I53" s="105">
        <f>I28*0.75</f>
        <v>122.5159883364779</v>
      </c>
    </row>
    <row r="54" spans="1:9" s="133" customFormat="1" ht="31.5" customHeight="1">
      <c r="A54" s="138"/>
      <c r="B54" s="132" t="s">
        <v>658</v>
      </c>
      <c r="C54" s="41"/>
      <c r="D54" s="103"/>
      <c r="E54" s="96" t="str">
        <f>IF(E52&lt;E53,"O.K","N.K")</f>
        <v>O.K</v>
      </c>
      <c r="F54" s="96" t="str">
        <f>IF(F52&lt;F53,"O.K","N.K")</f>
        <v>O.K</v>
      </c>
      <c r="G54" s="96" t="str">
        <f>IF(G52&lt;G53,"O.K","N.K")</f>
        <v>O.K</v>
      </c>
      <c r="H54" s="96" t="str">
        <f>IF(H52&lt;H53,"O.K","N.K")</f>
        <v>O.K</v>
      </c>
      <c r="I54" s="96" t="str">
        <f>IF(I52&lt;I53,"O.K","N.K")</f>
        <v>O.K</v>
      </c>
    </row>
    <row r="55" spans="1:9" s="37" customFormat="1" ht="31.5" customHeight="1">
      <c r="A55" s="137">
        <v>12</v>
      </c>
      <c r="B55" s="76" t="s">
        <v>633</v>
      </c>
      <c r="C55" s="38"/>
      <c r="D55" s="105"/>
      <c r="E55" s="105"/>
      <c r="F55" s="105"/>
      <c r="G55" s="105"/>
      <c r="H55" s="105"/>
      <c r="I55" s="105"/>
    </row>
    <row r="56" spans="1:9" s="37" customFormat="1" ht="31.5" customHeight="1">
      <c r="A56" s="136"/>
      <c r="B56" s="55" t="s">
        <v>631</v>
      </c>
      <c r="C56" s="61" t="s">
        <v>2</v>
      </c>
      <c r="E56" s="105">
        <f>E7/E14</f>
        <v>1.6666666666666667</v>
      </c>
      <c r="F56" s="105">
        <f>F7/F14</f>
        <v>1.6666666666666667</v>
      </c>
      <c r="G56" s="105">
        <f>G7/G14</f>
        <v>1.25</v>
      </c>
      <c r="H56" s="105">
        <f>H7/H14</f>
        <v>1.25</v>
      </c>
      <c r="I56" s="105">
        <f>I7/I14</f>
        <v>1.1111111111111112</v>
      </c>
    </row>
    <row r="57" spans="1:9" s="37" customFormat="1" ht="31.5" customHeight="1">
      <c r="A57" s="136"/>
      <c r="B57" s="55" t="s">
        <v>632</v>
      </c>
      <c r="C57" s="61" t="s">
        <v>2</v>
      </c>
      <c r="D57" s="38"/>
      <c r="E57" s="105">
        <f>0.75*SQRT(2000000/2400)</f>
        <v>21.650635094610966</v>
      </c>
      <c r="F57" s="105">
        <f>0.75*SQRT(2000000/2400)</f>
        <v>21.650635094610966</v>
      </c>
      <c r="G57" s="105">
        <f>0.75*SQRT(2000000/2400)</f>
        <v>21.650635094610966</v>
      </c>
      <c r="H57" s="105">
        <f>0.75*SQRT(2000000/2400)</f>
        <v>21.650635094610966</v>
      </c>
      <c r="I57" s="105">
        <f>0.75*SQRT(2000000/2400)</f>
        <v>21.650635094610966</v>
      </c>
    </row>
    <row r="58" spans="1:9" s="133" customFormat="1" ht="31.5" customHeight="1">
      <c r="A58" s="138"/>
      <c r="B58" s="132" t="s">
        <v>634</v>
      </c>
      <c r="C58" s="131"/>
      <c r="D58" s="131"/>
      <c r="E58" s="96" t="str">
        <f>IF(E56&lt;E57,"O.K","N.K")</f>
        <v>O.K</v>
      </c>
      <c r="F58" s="96" t="str">
        <f>IF(F56&lt;F57,"O.K","N.K")</f>
        <v>O.K</v>
      </c>
      <c r="G58" s="96" t="str">
        <f>IF(G56&lt;G57,"O.K","N.K")</f>
        <v>O.K</v>
      </c>
      <c r="H58" s="96" t="str">
        <f>IF(H56&lt;H57,"O.K","N.K")</f>
        <v>O.K</v>
      </c>
      <c r="I58" s="96" t="str">
        <f>IF(I56&lt;I57,"O.K","N.K")</f>
        <v>O.K</v>
      </c>
    </row>
    <row r="59" spans="1:9" s="37" customFormat="1" ht="31.5" customHeight="1">
      <c r="A59" s="137">
        <v>13</v>
      </c>
      <c r="B59" s="76" t="s">
        <v>640</v>
      </c>
      <c r="C59" s="130"/>
      <c r="D59" s="38"/>
      <c r="E59" s="39"/>
      <c r="F59" s="39"/>
      <c r="G59" s="39"/>
      <c r="H59" s="39"/>
      <c r="I59" s="39"/>
    </row>
    <row r="60" spans="1:9" s="37" customFormat="1" ht="31.5" customHeight="1">
      <c r="A60" s="38"/>
      <c r="B60" s="64" t="s">
        <v>649</v>
      </c>
      <c r="C60" s="38"/>
      <c r="D60" s="38"/>
      <c r="E60" s="95">
        <f>0.8*E33</f>
        <v>24.355113365375708</v>
      </c>
      <c r="F60" s="95">
        <f>0.8*F33</f>
        <v>26.14247518200984</v>
      </c>
      <c r="G60" s="95">
        <f>0.8*G33</f>
        <v>33.071642987494954</v>
      </c>
      <c r="H60" s="95">
        <f>0.8*H33</f>
        <v>57.138242139674496</v>
      </c>
      <c r="I60" s="95">
        <f>0.8*I33</f>
        <v>57.42676725318726</v>
      </c>
    </row>
    <row r="61" spans="1:9" s="37" customFormat="1" ht="31.5" customHeight="1">
      <c r="A61" s="38"/>
      <c r="B61" s="55" t="s">
        <v>635</v>
      </c>
      <c r="C61" s="61" t="s">
        <v>2</v>
      </c>
      <c r="D61" s="135" t="s">
        <v>651</v>
      </c>
      <c r="E61" s="95">
        <f>1*E14</f>
        <v>1.2</v>
      </c>
      <c r="F61" s="95">
        <f>1*F14</f>
        <v>1.2</v>
      </c>
      <c r="G61" s="95">
        <f>1*G14</f>
        <v>1.6</v>
      </c>
      <c r="H61" s="95">
        <f>1*H14</f>
        <v>1.6</v>
      </c>
      <c r="I61" s="95">
        <f>1*I14</f>
        <v>1.8</v>
      </c>
    </row>
    <row r="62" spans="1:9" s="37" customFormat="1" ht="31.5" customHeight="1">
      <c r="A62" s="38"/>
      <c r="B62" s="55" t="s">
        <v>636</v>
      </c>
      <c r="C62" s="61" t="s">
        <v>2</v>
      </c>
      <c r="D62" s="135" t="s">
        <v>9</v>
      </c>
      <c r="E62" s="95">
        <f>SQRT(1*E14*E14*E14*E14/(E61))</f>
        <v>1.3145341380123987</v>
      </c>
      <c r="F62" s="95">
        <f>SQRT(1*F14*F14*F14*F14/(F61))</f>
        <v>1.3145341380123987</v>
      </c>
      <c r="G62" s="95">
        <f>SQRT(1*G14*G14*G14*G14/(G61))</f>
        <v>2.023857702507763</v>
      </c>
      <c r="H62" s="95">
        <f>SQRT(1*H14*H14*H14*H14/(H61))</f>
        <v>2.023857702507763</v>
      </c>
      <c r="I62" s="95">
        <f>SQRT(1*I14*I14*I14*I14/(I61))</f>
        <v>2.414953415699773</v>
      </c>
    </row>
    <row r="63" spans="1:9" s="37" customFormat="1" ht="31.5" customHeight="1">
      <c r="A63" s="38"/>
      <c r="B63" s="55" t="s">
        <v>637</v>
      </c>
      <c r="C63" s="61" t="s">
        <v>2</v>
      </c>
      <c r="D63" s="135" t="s">
        <v>9</v>
      </c>
      <c r="E63" s="95">
        <f>SQRT(E14*1*1*1*1/E61)</f>
        <v>1</v>
      </c>
      <c r="F63" s="95">
        <f>SQRT(F14*1*1*1*1/F61)</f>
        <v>1</v>
      </c>
      <c r="G63" s="95">
        <f>SQRT(G14*1*1*1*1/G61)</f>
        <v>1</v>
      </c>
      <c r="H63" s="95">
        <f>SQRT(H14*1*1*1*1/H61)</f>
        <v>1</v>
      </c>
      <c r="I63" s="95">
        <f>SQRT(I14*1*1*1*1/I61)</f>
        <v>1</v>
      </c>
    </row>
    <row r="64" spans="1:9" s="37" customFormat="1" ht="31.5" customHeight="1">
      <c r="A64" s="38"/>
      <c r="B64" s="55" t="s">
        <v>650</v>
      </c>
      <c r="C64" s="61" t="s">
        <v>2</v>
      </c>
      <c r="D64" s="135" t="s">
        <v>10</v>
      </c>
      <c r="E64" s="95">
        <f>E60*1000/(E12+2*TAN(3.14/6)*((E10-1)*E11+E13))</f>
        <v>1114.7569420479913</v>
      </c>
      <c r="F64" s="95">
        <f>F60*1000/(F12+2*TAN(3.14/6)*((F10-1)*F11+F13))</f>
        <v>841.1388768593848</v>
      </c>
      <c r="G64" s="95">
        <f>G60*1000/(G12+2*TAN(3.14/6)*((G10-1)*G11+G13))</f>
        <v>1064.0861067944759</v>
      </c>
      <c r="H64" s="95">
        <f>H60*1000/(H12+2*TAN(3.14/6)*((H10-1)*H11+H13))</f>
        <v>798.6263923114828</v>
      </c>
      <c r="I64" s="95">
        <f>I60*1000/(I12+2*TAN(3.14/6)*((I10-1)*I11+I13))</f>
        <v>611.8633776110471</v>
      </c>
    </row>
    <row r="65" spans="1:9" s="37" customFormat="1" ht="31.5" customHeight="1">
      <c r="A65" s="38"/>
      <c r="B65" s="55" t="s">
        <v>645</v>
      </c>
      <c r="C65" s="61" t="s">
        <v>2</v>
      </c>
      <c r="D65" s="136"/>
      <c r="E65" s="95">
        <f>1.2*((E10-1)*E11+E13)/MIN(E62:E63)</f>
        <v>14.399999999999999</v>
      </c>
      <c r="F65" s="95">
        <f>1.2*((F10-1)*F11+F13)/MIN(F62:F63)</f>
        <v>24</v>
      </c>
      <c r="G65" s="95">
        <f>1.2*((G10-1)*G11+G13)/MIN(G62:G63)</f>
        <v>24</v>
      </c>
      <c r="H65" s="95">
        <f>1.2*((H10-1)*H11+H13)/MIN(H62:H63)</f>
        <v>58.8</v>
      </c>
      <c r="I65" s="95">
        <f>1.2*((I10-1)*I11+I13)/MIN(I62:I63)</f>
        <v>76.8</v>
      </c>
    </row>
    <row r="66" spans="1:9" s="37" customFormat="1" ht="31.5" customHeight="1">
      <c r="A66" s="38"/>
      <c r="B66" s="55" t="s">
        <v>639</v>
      </c>
      <c r="C66" s="61" t="s">
        <v>2</v>
      </c>
      <c r="D66" s="136"/>
      <c r="E66" s="92">
        <v>129.58</v>
      </c>
      <c r="F66" s="92">
        <v>129.58</v>
      </c>
      <c r="G66" s="92">
        <v>129.58</v>
      </c>
      <c r="H66" s="92">
        <v>129.58</v>
      </c>
      <c r="I66" s="92">
        <v>129.58</v>
      </c>
    </row>
    <row r="67" spans="1:9" s="37" customFormat="1" ht="31.5" customHeight="1">
      <c r="A67" s="38"/>
      <c r="B67" s="55" t="s">
        <v>646</v>
      </c>
      <c r="C67" s="61"/>
      <c r="D67" s="136"/>
      <c r="E67" s="92">
        <f>E65/E66</f>
        <v>0.111128260534033</v>
      </c>
      <c r="F67" s="92">
        <f>F65/F66</f>
        <v>0.1852137675567217</v>
      </c>
      <c r="G67" s="92">
        <f>G65/G66</f>
        <v>0.1852137675567217</v>
      </c>
      <c r="H67" s="92">
        <f>H65/H66</f>
        <v>0.45377373051396813</v>
      </c>
      <c r="I67" s="92">
        <f>I65/I66</f>
        <v>0.5926840561815094</v>
      </c>
    </row>
    <row r="68" spans="1:9" s="37" customFormat="1" ht="31.5" customHeight="1">
      <c r="A68" s="38"/>
      <c r="B68" s="55" t="s">
        <v>641</v>
      </c>
      <c r="C68" s="61" t="s">
        <v>2</v>
      </c>
      <c r="D68" s="136"/>
      <c r="E68" s="92">
        <f>IF(E65&lt;E66,5/3+3/8*E67-1/8*E67^3,23/12)</f>
        <v>1.7081682171951373</v>
      </c>
      <c r="F68" s="92">
        <f>IF(F65&lt;F66,5/3+3/8*F67-1/8*F67^3,23/12)</f>
        <v>1.7353276296310312</v>
      </c>
      <c r="G68" s="92">
        <f>IF(G65&lt;G66,5/3+3/8*G67-1/8*G67^3,23/12)</f>
        <v>1.7353276296310312</v>
      </c>
      <c r="H68" s="92">
        <f>IF(H65&lt;H66,5/3+3/8*H67-1/8*H67^3,23/12)</f>
        <v>1.8251522130549322</v>
      </c>
      <c r="I68" s="92">
        <f>IF(I65&lt;I66,5/3+3/8*I67-1/8*I67^3,23/12)</f>
        <v>1.8628988464140277</v>
      </c>
    </row>
    <row r="69" spans="1:9" s="37" customFormat="1" ht="31.5" customHeight="1">
      <c r="A69" s="38"/>
      <c r="B69" s="57" t="s">
        <v>614</v>
      </c>
      <c r="C69" s="56" t="s">
        <v>2</v>
      </c>
      <c r="D69" s="62" t="s">
        <v>10</v>
      </c>
      <c r="E69" s="95">
        <f>IF(E65&lt;E66,(1-0.5*(E67*E67))*E4/E68,3.14*3.14*2000000/(E65*E65))</f>
        <v>1396.3382456379811</v>
      </c>
      <c r="F69" s="95">
        <f>IF(F65&lt;F66,(1-0.5*(F67*F67))*F4/F68,3.14*3.14*2000000/(F65*F65))</f>
        <v>1359.3024118854569</v>
      </c>
      <c r="G69" s="95">
        <f>IF(G65&lt;G66,(1-0.5*(G67*G67))*G4/G68,3.14*3.14*2000000/(G65*G65))</f>
        <v>1359.3024118854569</v>
      </c>
      <c r="H69" s="95">
        <f>IF(H65&lt;H66,(1-0.5*(H67*H67))*H4/H68,3.14*3.14*2000000/(H65*H65))</f>
        <v>1179.5768409863178</v>
      </c>
      <c r="I69" s="95">
        <f>IF(I65&lt;I66,(1-0.5*(I67*I67))*I4/I68,3.14*3.14*2000000/(I65*I65))</f>
        <v>1062.0387334858904</v>
      </c>
    </row>
    <row r="70" spans="1:9" s="133" customFormat="1" ht="31.5" customHeight="1">
      <c r="A70" s="131"/>
      <c r="B70" s="132" t="s">
        <v>642</v>
      </c>
      <c r="C70" s="131"/>
      <c r="D70" s="131"/>
      <c r="E70" s="96" t="str">
        <f>IF(E69&gt;E64,"O.K","N.K")</f>
        <v>O.K</v>
      </c>
      <c r="F70" s="96" t="str">
        <f>IF(F69&gt;F64,"O.K","N.K")</f>
        <v>O.K</v>
      </c>
      <c r="G70" s="96" t="str">
        <f>IF(G69&gt;G64,"O.K","N.K")</f>
        <v>O.K</v>
      </c>
      <c r="H70" s="96" t="str">
        <f>IF(H69&gt;H64,"O.K","N.K")</f>
        <v>O.K</v>
      </c>
      <c r="I70" s="96" t="str">
        <f>IF(I69&gt;I64,"O.K","N.K")</f>
        <v>O.K</v>
      </c>
    </row>
    <row r="71" spans="1:9" s="37" customFormat="1" ht="22.5">
      <c r="A71" s="38"/>
      <c r="B71" s="57"/>
      <c r="C71" s="38"/>
      <c r="D71" s="38"/>
      <c r="E71" s="39"/>
      <c r="F71" s="39"/>
      <c r="G71" s="39"/>
      <c r="H71" s="39"/>
      <c r="I71" s="39"/>
    </row>
    <row r="72" spans="1:9" s="37" customFormat="1" ht="14.25">
      <c r="A72" s="38"/>
      <c r="B72" s="38"/>
      <c r="C72" s="38"/>
      <c r="D72" s="38"/>
      <c r="E72" s="39"/>
      <c r="F72" s="39"/>
      <c r="G72" s="39"/>
      <c r="H72" s="39"/>
      <c r="I72" s="39"/>
    </row>
    <row r="73" spans="5:9" s="37" customFormat="1" ht="14.25">
      <c r="E73" s="44"/>
      <c r="F73" s="44"/>
      <c r="G73" s="44"/>
      <c r="H73" s="44"/>
      <c r="I73" s="44"/>
    </row>
    <row r="74" spans="5:9" s="37" customFormat="1" ht="14.25">
      <c r="E74" s="44"/>
      <c r="F74" s="44"/>
      <c r="G74" s="44"/>
      <c r="H74" s="44"/>
      <c r="I74" s="44"/>
    </row>
    <row r="75" spans="5:9" s="37" customFormat="1" ht="14.25">
      <c r="E75" s="44"/>
      <c r="F75" s="44"/>
      <c r="G75" s="44"/>
      <c r="H75" s="44"/>
      <c r="I75" s="44"/>
    </row>
    <row r="76" spans="5:9" s="37" customFormat="1" ht="14.25">
      <c r="E76" s="44"/>
      <c r="F76" s="44"/>
      <c r="G76" s="44"/>
      <c r="H76" s="44"/>
      <c r="I76" s="44"/>
    </row>
    <row r="77" spans="5:9" s="37" customFormat="1" ht="14.25">
      <c r="E77" s="44"/>
      <c r="F77" s="44"/>
      <c r="G77" s="44"/>
      <c r="H77" s="44"/>
      <c r="I77" s="44"/>
    </row>
    <row r="78" spans="5:9" s="37" customFormat="1" ht="14.25">
      <c r="E78" s="44"/>
      <c r="F78" s="44"/>
      <c r="G78" s="44"/>
      <c r="H78" s="44"/>
      <c r="I78" s="44"/>
    </row>
    <row r="79" spans="5:9" s="37" customFormat="1" ht="14.25">
      <c r="E79" s="44"/>
      <c r="F79" s="44"/>
      <c r="G79" s="44"/>
      <c r="H79" s="44"/>
      <c r="I79" s="44"/>
    </row>
    <row r="80" spans="5:9" s="37" customFormat="1" ht="14.25">
      <c r="E80" s="44"/>
      <c r="F80" s="44"/>
      <c r="G80" s="44"/>
      <c r="H80" s="44"/>
      <c r="I80" s="44"/>
    </row>
    <row r="81" spans="5:9" s="37" customFormat="1" ht="14.25">
      <c r="E81" s="44"/>
      <c r="F81" s="44"/>
      <c r="G81" s="44"/>
      <c r="H81" s="44"/>
      <c r="I81" s="44"/>
    </row>
    <row r="82" spans="5:9" s="37" customFormat="1" ht="14.25">
      <c r="E82" s="44"/>
      <c r="F82" s="44"/>
      <c r="G82" s="44"/>
      <c r="H82" s="44"/>
      <c r="I82" s="44"/>
    </row>
    <row r="83" spans="5:9" s="37" customFormat="1" ht="14.25">
      <c r="E83" s="44"/>
      <c r="F83" s="44"/>
      <c r="G83" s="44"/>
      <c r="H83" s="44"/>
      <c r="I83" s="44"/>
    </row>
    <row r="84" spans="5:9" s="37" customFormat="1" ht="14.25">
      <c r="E84" s="44"/>
      <c r="F84" s="44"/>
      <c r="G84" s="44"/>
      <c r="H84" s="44"/>
      <c r="I84" s="44"/>
    </row>
    <row r="85" spans="5:9" s="37" customFormat="1" ht="14.25">
      <c r="E85" s="44"/>
      <c r="F85" s="44"/>
      <c r="G85" s="44"/>
      <c r="H85" s="44"/>
      <c r="I85" s="44"/>
    </row>
    <row r="86" spans="5:9" s="37" customFormat="1" ht="14.25">
      <c r="E86" s="44"/>
      <c r="F86" s="44"/>
      <c r="G86" s="44"/>
      <c r="H86" s="44"/>
      <c r="I86" s="44"/>
    </row>
    <row r="87" spans="5:9" s="37" customFormat="1" ht="14.25">
      <c r="E87" s="44"/>
      <c r="F87" s="44"/>
      <c r="G87" s="44"/>
      <c r="H87" s="44"/>
      <c r="I87" s="44"/>
    </row>
    <row r="88" spans="5:9" s="37" customFormat="1" ht="14.25">
      <c r="E88" s="44"/>
      <c r="F88" s="44"/>
      <c r="G88" s="44"/>
      <c r="H88" s="44"/>
      <c r="I88" s="44"/>
    </row>
    <row r="89" spans="5:9" s="37" customFormat="1" ht="14.25">
      <c r="E89" s="44"/>
      <c r="F89" s="44"/>
      <c r="G89" s="44"/>
      <c r="H89" s="44"/>
      <c r="I89" s="44"/>
    </row>
    <row r="90" spans="5:9" s="37" customFormat="1" ht="14.25">
      <c r="E90" s="44"/>
      <c r="F90" s="44"/>
      <c r="G90" s="44"/>
      <c r="H90" s="44"/>
      <c r="I90" s="44"/>
    </row>
    <row r="91" spans="5:9" s="37" customFormat="1" ht="14.25">
      <c r="E91" s="44"/>
      <c r="F91" s="44"/>
      <c r="G91" s="44"/>
      <c r="H91" s="44"/>
      <c r="I91" s="44"/>
    </row>
    <row r="92" spans="5:9" s="37" customFormat="1" ht="14.25">
      <c r="E92" s="44"/>
      <c r="F92" s="44"/>
      <c r="G92" s="44"/>
      <c r="H92" s="44"/>
      <c r="I92" s="44"/>
    </row>
    <row r="93" spans="5:9" s="37" customFormat="1" ht="14.25">
      <c r="E93" s="44"/>
      <c r="F93" s="44"/>
      <c r="G93" s="44"/>
      <c r="H93" s="44"/>
      <c r="I93" s="44"/>
    </row>
    <row r="94" spans="5:9" s="37" customFormat="1" ht="14.25">
      <c r="E94" s="44"/>
      <c r="F94" s="44"/>
      <c r="G94" s="44"/>
      <c r="H94" s="44"/>
      <c r="I94" s="44"/>
    </row>
    <row r="95" spans="5:9" s="37" customFormat="1" ht="14.25">
      <c r="E95" s="44"/>
      <c r="F95" s="44"/>
      <c r="G95" s="44"/>
      <c r="H95" s="44"/>
      <c r="I95" s="44"/>
    </row>
    <row r="96" spans="5:9" s="37" customFormat="1" ht="14.25">
      <c r="E96" s="44"/>
      <c r="F96" s="44"/>
      <c r="G96" s="44"/>
      <c r="H96" s="44"/>
      <c r="I96" s="44"/>
    </row>
    <row r="97" spans="5:9" s="37" customFormat="1" ht="14.25">
      <c r="E97" s="44"/>
      <c r="F97" s="44"/>
      <c r="G97" s="44"/>
      <c r="H97" s="44"/>
      <c r="I97" s="44"/>
    </row>
    <row r="98" spans="5:9" s="37" customFormat="1" ht="14.25">
      <c r="E98" s="44"/>
      <c r="F98" s="44"/>
      <c r="G98" s="44"/>
      <c r="H98" s="44"/>
      <c r="I98" s="44"/>
    </row>
    <row r="99" spans="5:9" s="37" customFormat="1" ht="14.25">
      <c r="E99" s="44"/>
      <c r="F99" s="44"/>
      <c r="G99" s="44"/>
      <c r="H99" s="44"/>
      <c r="I99" s="44"/>
    </row>
    <row r="100" spans="5:9" s="37" customFormat="1" ht="14.25">
      <c r="E100" s="44"/>
      <c r="F100" s="44"/>
      <c r="G100" s="44"/>
      <c r="H100" s="44"/>
      <c r="I100" s="44"/>
    </row>
    <row r="101" spans="5:9" s="37" customFormat="1" ht="14.25">
      <c r="E101" s="44"/>
      <c r="F101" s="44"/>
      <c r="G101" s="44"/>
      <c r="H101" s="44"/>
      <c r="I101" s="44"/>
    </row>
    <row r="102" spans="5:9" s="37" customFormat="1" ht="14.25">
      <c r="E102" s="44"/>
      <c r="F102" s="44"/>
      <c r="G102" s="44"/>
      <c r="H102" s="44"/>
      <c r="I102" s="44"/>
    </row>
    <row r="103" spans="5:9" s="37" customFormat="1" ht="14.25">
      <c r="E103" s="44"/>
      <c r="F103" s="44"/>
      <c r="G103" s="44"/>
      <c r="H103" s="44"/>
      <c r="I103" s="44"/>
    </row>
    <row r="104" spans="5:9" s="37" customFormat="1" ht="14.25">
      <c r="E104" s="44"/>
      <c r="F104" s="44"/>
      <c r="G104" s="44"/>
      <c r="H104" s="44"/>
      <c r="I104" s="44"/>
    </row>
    <row r="105" spans="5:9" s="37" customFormat="1" ht="14.25">
      <c r="E105" s="44"/>
      <c r="F105" s="44"/>
      <c r="G105" s="44"/>
      <c r="H105" s="44"/>
      <c r="I105" s="44"/>
    </row>
    <row r="106" spans="5:9" s="37" customFormat="1" ht="14.25">
      <c r="E106" s="44"/>
      <c r="F106" s="44"/>
      <c r="G106" s="44"/>
      <c r="H106" s="44"/>
      <c r="I106" s="44"/>
    </row>
    <row r="107" spans="5:9" s="37" customFormat="1" ht="14.25">
      <c r="E107" s="44"/>
      <c r="F107" s="44"/>
      <c r="G107" s="44"/>
      <c r="H107" s="44"/>
      <c r="I107" s="44"/>
    </row>
    <row r="108" spans="5:9" s="37" customFormat="1" ht="14.25">
      <c r="E108" s="44"/>
      <c r="F108" s="44"/>
      <c r="G108" s="44"/>
      <c r="H108" s="44"/>
      <c r="I108" s="44"/>
    </row>
    <row r="109" spans="5:9" s="37" customFormat="1" ht="14.25">
      <c r="E109" s="44"/>
      <c r="F109" s="44"/>
      <c r="G109" s="44"/>
      <c r="H109" s="44"/>
      <c r="I109" s="44"/>
    </row>
    <row r="110" spans="5:9" s="37" customFormat="1" ht="14.25">
      <c r="E110" s="44"/>
      <c r="F110" s="44"/>
      <c r="G110" s="44"/>
      <c r="H110" s="44"/>
      <c r="I110" s="44"/>
    </row>
    <row r="111" spans="5:9" s="37" customFormat="1" ht="14.25">
      <c r="E111" s="44"/>
      <c r="F111" s="44"/>
      <c r="G111" s="44"/>
      <c r="H111" s="44"/>
      <c r="I111" s="44"/>
    </row>
    <row r="112" spans="5:9" s="37" customFormat="1" ht="14.25">
      <c r="E112" s="44"/>
      <c r="F112" s="44"/>
      <c r="G112" s="44"/>
      <c r="H112" s="44"/>
      <c r="I112" s="44"/>
    </row>
  </sheetData>
  <dataValidations count="1">
    <dataValidation type="list" allowBlank="1" showInputMessage="1" showErrorMessage="1" sqref="E3:I3">
      <formula1>st_name</formula1>
    </dataValidation>
  </dataValidations>
  <printOptions/>
  <pageMargins left="0.94" right="0.41" top="0.26" bottom="0.3" header="0.17" footer="0.17"/>
  <pageSetup horizontalDpi="600" verticalDpi="600" orientation="landscape" paperSize="9" scale="25" r:id="rId5"/>
  <drawing r:id="rId4"/>
  <legacyDrawing r:id="rId3"/>
  <oleObjects>
    <oleObject progId="Equation.3" shapeId="1867486" r:id="rId1"/>
    <oleObject progId="MSPhotoEd.3" shapeId="44621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GD123"/>
  <sheetViews>
    <sheetView zoomScale="25" zoomScaleNormal="25" workbookViewId="0" topLeftCell="A1">
      <selection activeCell="I18" sqref="I18"/>
    </sheetView>
  </sheetViews>
  <sheetFormatPr defaultColWidth="9.140625" defaultRowHeight="21.75"/>
  <cols>
    <col min="1" max="1" width="4.7109375" style="6" customWidth="1"/>
    <col min="2" max="2" width="65.140625" style="6" customWidth="1"/>
    <col min="3" max="3" width="4.7109375" style="6" bestFit="1" customWidth="1"/>
    <col min="4" max="4" width="15.421875" style="6" customWidth="1"/>
    <col min="5" max="5" width="53.00390625" style="7" customWidth="1"/>
    <col min="6" max="13" width="53.00390625" style="6" customWidth="1"/>
    <col min="14" max="14" width="20.28125" style="6" bestFit="1" customWidth="1"/>
    <col min="15" max="15" width="7.7109375" style="6" customWidth="1"/>
    <col min="16" max="16" width="26.28125" style="6" bestFit="1" customWidth="1"/>
    <col min="17" max="17" width="20.28125" style="6" bestFit="1" customWidth="1"/>
    <col min="18" max="18" width="7.7109375" style="6" customWidth="1"/>
    <col min="19" max="19" width="26.28125" style="6" bestFit="1" customWidth="1"/>
    <col min="20" max="20" width="20.28125" style="6" bestFit="1" customWidth="1"/>
    <col min="21" max="21" width="8.7109375" style="6" customWidth="1"/>
    <col min="22" max="22" width="26.28125" style="6" bestFit="1" customWidth="1"/>
    <col min="23" max="23" width="20.28125" style="6" bestFit="1" customWidth="1"/>
    <col min="24" max="24" width="7.7109375" style="6" customWidth="1"/>
    <col min="25" max="25" width="26.28125" style="6" bestFit="1" customWidth="1"/>
    <col min="26" max="26" width="20.28125" style="6" bestFit="1" customWidth="1"/>
    <col min="27" max="27" width="8.7109375" style="6" customWidth="1"/>
    <col min="28" max="28" width="26.28125" style="6" bestFit="1" customWidth="1"/>
    <col min="29" max="29" width="20.28125" style="6" bestFit="1" customWidth="1"/>
    <col min="30" max="30" width="8.7109375" style="6" customWidth="1"/>
    <col min="31" max="31" width="26.28125" style="6" bestFit="1" customWidth="1"/>
    <col min="32" max="32" width="20.8515625" style="6" bestFit="1" customWidth="1"/>
    <col min="33" max="33" width="10.140625" style="6" bestFit="1" customWidth="1"/>
    <col min="34" max="34" width="26.8515625" style="6" bestFit="1" customWidth="1"/>
    <col min="35" max="35" width="20.8515625" style="6" bestFit="1" customWidth="1"/>
    <col min="36" max="36" width="8.7109375" style="6" customWidth="1"/>
    <col min="37" max="37" width="26.8515625" style="6" bestFit="1" customWidth="1"/>
    <col min="38" max="38" width="22.421875" style="6" bestFit="1" customWidth="1"/>
    <col min="39" max="39" width="8.7109375" style="6" customWidth="1"/>
    <col min="40" max="40" width="28.28125" style="6" bestFit="1" customWidth="1"/>
    <col min="41" max="41" width="19.28125" style="6" bestFit="1" customWidth="1"/>
    <col min="42" max="42" width="9.140625" style="6" customWidth="1"/>
    <col min="43" max="43" width="25.140625" style="6" bestFit="1" customWidth="1"/>
    <col min="44" max="44" width="20.28125" style="6" bestFit="1" customWidth="1"/>
    <col min="45" max="45" width="9.140625" style="6" customWidth="1"/>
    <col min="46" max="46" width="26.28125" style="6" bestFit="1" customWidth="1"/>
    <col min="47" max="47" width="20.57421875" style="6" bestFit="1" customWidth="1"/>
    <col min="48" max="48" width="7.7109375" style="6" customWidth="1"/>
    <col min="49" max="49" width="26.57421875" style="6" bestFit="1" customWidth="1"/>
    <col min="50" max="50" width="19.57421875" style="6" bestFit="1" customWidth="1"/>
    <col min="51" max="51" width="7.7109375" style="6" customWidth="1"/>
    <col min="52" max="52" width="25.57421875" style="6" bestFit="1" customWidth="1"/>
    <col min="53" max="53" width="19.57421875" style="6" bestFit="1" customWidth="1"/>
    <col min="54" max="54" width="9.140625" style="6" customWidth="1"/>
    <col min="55" max="55" width="25.57421875" style="6" bestFit="1" customWidth="1"/>
    <col min="56" max="56" width="18.140625" style="6" bestFit="1" customWidth="1"/>
    <col min="57" max="57" width="7.7109375" style="6" customWidth="1"/>
    <col min="58" max="58" width="24.00390625" style="6" bestFit="1" customWidth="1"/>
    <col min="59" max="59" width="19.57421875" style="6" bestFit="1" customWidth="1"/>
    <col min="60" max="60" width="7.7109375" style="6" customWidth="1"/>
    <col min="61" max="61" width="25.57421875" style="6" bestFit="1" customWidth="1"/>
    <col min="62" max="62" width="19.57421875" style="6" bestFit="1" customWidth="1"/>
    <col min="63" max="63" width="9.140625" style="6" customWidth="1"/>
    <col min="64" max="64" width="25.57421875" style="6" bestFit="1" customWidth="1"/>
    <col min="65" max="65" width="19.57421875" style="6" bestFit="1" customWidth="1"/>
    <col min="66" max="66" width="7.7109375" style="6" customWidth="1"/>
    <col min="67" max="67" width="25.57421875" style="6" bestFit="1" customWidth="1"/>
    <col min="68" max="68" width="19.57421875" style="6" bestFit="1" customWidth="1"/>
    <col min="69" max="69" width="7.7109375" style="6" customWidth="1"/>
    <col min="70" max="70" width="25.57421875" style="6" bestFit="1" customWidth="1"/>
    <col min="71" max="71" width="19.57421875" style="6" bestFit="1" customWidth="1"/>
    <col min="72" max="72" width="8.7109375" style="6" customWidth="1"/>
    <col min="73" max="73" width="25.57421875" style="6" bestFit="1" customWidth="1"/>
    <col min="74" max="74" width="19.57421875" style="6" bestFit="1" customWidth="1"/>
    <col min="75" max="75" width="7.7109375" style="6" customWidth="1"/>
    <col min="76" max="76" width="25.57421875" style="6" bestFit="1" customWidth="1"/>
    <col min="77" max="77" width="19.57421875" style="6" bestFit="1" customWidth="1"/>
    <col min="78" max="78" width="8.7109375" style="6" customWidth="1"/>
    <col min="79" max="79" width="25.57421875" style="6" bestFit="1" customWidth="1"/>
    <col min="80" max="80" width="19.57421875" style="6" bestFit="1" customWidth="1"/>
    <col min="81" max="81" width="8.7109375" style="6" customWidth="1"/>
    <col min="82" max="82" width="25.57421875" style="6" bestFit="1" customWidth="1"/>
    <col min="83" max="83" width="20.140625" style="6" bestFit="1" customWidth="1"/>
    <col min="84" max="84" width="10.140625" style="6" bestFit="1" customWidth="1"/>
    <col min="85" max="85" width="26.140625" style="6" bestFit="1" customWidth="1"/>
    <col min="86" max="86" width="20.140625" style="6" bestFit="1" customWidth="1"/>
    <col min="87" max="87" width="8.7109375" style="6" customWidth="1"/>
    <col min="88" max="88" width="26.140625" style="6" bestFit="1" customWidth="1"/>
    <col min="89" max="89" width="21.7109375" style="6" bestFit="1" customWidth="1"/>
    <col min="90" max="90" width="8.7109375" style="6" customWidth="1"/>
    <col min="91" max="91" width="27.57421875" style="6" bestFit="1" customWidth="1"/>
    <col min="92" max="92" width="18.57421875" style="6" bestFit="1" customWidth="1"/>
    <col min="93" max="93" width="7.7109375" style="6" customWidth="1"/>
    <col min="94" max="94" width="24.421875" style="6" bestFit="1" customWidth="1"/>
    <col min="95" max="95" width="19.57421875" style="6" bestFit="1" customWidth="1"/>
    <col min="96" max="96" width="7.7109375" style="6" customWidth="1"/>
    <col min="97" max="97" width="25.57421875" style="6" bestFit="1" customWidth="1"/>
    <col min="98" max="98" width="19.7109375" style="6" bestFit="1" customWidth="1"/>
    <col min="99" max="99" width="7.7109375" style="6" customWidth="1"/>
    <col min="100" max="100" width="25.7109375" style="6" bestFit="1" customWidth="1"/>
    <col min="101" max="101" width="19.7109375" style="6" bestFit="1" customWidth="1"/>
    <col min="102" max="102" width="8.7109375" style="6" customWidth="1"/>
    <col min="103" max="103" width="25.7109375" style="6" bestFit="1" customWidth="1"/>
    <col min="104" max="104" width="19.7109375" style="6" bestFit="1" customWidth="1"/>
    <col min="105" max="105" width="8.7109375" style="6" customWidth="1"/>
    <col min="106" max="106" width="25.7109375" style="6" bestFit="1" customWidth="1"/>
    <col min="107" max="107" width="19.7109375" style="6" bestFit="1" customWidth="1"/>
    <col min="108" max="108" width="8.7109375" style="6" customWidth="1"/>
    <col min="109" max="109" width="25.7109375" style="6" bestFit="1" customWidth="1"/>
    <col min="110" max="110" width="19.7109375" style="6" bestFit="1" customWidth="1"/>
    <col min="111" max="111" width="7.7109375" style="6" customWidth="1"/>
    <col min="112" max="112" width="25.7109375" style="6" bestFit="1" customWidth="1"/>
    <col min="113" max="113" width="19.7109375" style="6" bestFit="1" customWidth="1"/>
    <col min="114" max="114" width="7.7109375" style="6" customWidth="1"/>
    <col min="115" max="115" width="25.7109375" style="6" bestFit="1" customWidth="1"/>
    <col min="116" max="116" width="19.7109375" style="6" bestFit="1" customWidth="1"/>
    <col min="117" max="117" width="8.7109375" style="6" customWidth="1"/>
    <col min="118" max="118" width="25.7109375" style="6" bestFit="1" customWidth="1"/>
    <col min="119" max="119" width="19.7109375" style="6" bestFit="1" customWidth="1"/>
    <col min="120" max="120" width="8.7109375" style="6" customWidth="1"/>
    <col min="121" max="121" width="25.7109375" style="6" bestFit="1" customWidth="1"/>
    <col min="122" max="122" width="19.7109375" style="6" bestFit="1" customWidth="1"/>
    <col min="123" max="123" width="8.7109375" style="6" customWidth="1"/>
    <col min="124" max="124" width="25.7109375" style="6" bestFit="1" customWidth="1"/>
    <col min="125" max="125" width="19.7109375" style="6" bestFit="1" customWidth="1"/>
    <col min="126" max="126" width="8.7109375" style="6" customWidth="1"/>
    <col min="127" max="127" width="25.7109375" style="6" bestFit="1" customWidth="1"/>
    <col min="128" max="128" width="19.7109375" style="6" bestFit="1" customWidth="1"/>
    <col min="129" max="129" width="8.7109375" style="6" customWidth="1"/>
    <col min="130" max="130" width="25.7109375" style="6" bestFit="1" customWidth="1"/>
    <col min="131" max="131" width="19.7109375" style="6" bestFit="1" customWidth="1"/>
    <col min="132" max="132" width="8.7109375" style="6" customWidth="1"/>
    <col min="133" max="133" width="25.7109375" style="6" bestFit="1" customWidth="1"/>
    <col min="134" max="134" width="19.7109375" style="6" bestFit="1" customWidth="1"/>
    <col min="135" max="135" width="8.7109375" style="6" customWidth="1"/>
    <col min="136" max="136" width="25.7109375" style="6" bestFit="1" customWidth="1"/>
    <col min="137" max="137" width="19.7109375" style="6" bestFit="1" customWidth="1"/>
    <col min="138" max="138" width="8.7109375" style="6" customWidth="1"/>
    <col min="139" max="139" width="25.7109375" style="6" bestFit="1" customWidth="1"/>
    <col min="140" max="140" width="19.7109375" style="6" bestFit="1" customWidth="1"/>
    <col min="141" max="141" width="8.7109375" style="6" customWidth="1"/>
    <col min="142" max="142" width="25.7109375" style="6" bestFit="1" customWidth="1"/>
    <col min="143" max="143" width="19.7109375" style="6" bestFit="1" customWidth="1"/>
    <col min="144" max="144" width="8.7109375" style="6" customWidth="1"/>
    <col min="145" max="145" width="25.7109375" style="6" bestFit="1" customWidth="1"/>
    <col min="146" max="146" width="19.28125" style="6" bestFit="1" customWidth="1"/>
    <col min="147" max="147" width="8.7109375" style="6" customWidth="1"/>
    <col min="148" max="148" width="25.140625" style="6" bestFit="1" customWidth="1"/>
    <col min="149" max="149" width="19.7109375" style="6" bestFit="1" customWidth="1"/>
    <col min="150" max="150" width="8.7109375" style="6" customWidth="1"/>
    <col min="151" max="151" width="25.7109375" style="6" bestFit="1" customWidth="1"/>
    <col min="152" max="152" width="17.7109375" style="6" bestFit="1" customWidth="1"/>
    <col min="153" max="153" width="7.7109375" style="6" customWidth="1"/>
    <col min="154" max="154" width="23.57421875" style="6" bestFit="1" customWidth="1"/>
    <col min="155" max="155" width="17.7109375" style="6" bestFit="1" customWidth="1"/>
    <col min="156" max="156" width="7.7109375" style="6" customWidth="1"/>
    <col min="157" max="157" width="23.57421875" style="6" bestFit="1" customWidth="1"/>
    <col min="158" max="158" width="17.7109375" style="6" bestFit="1" customWidth="1"/>
    <col min="159" max="159" width="7.7109375" style="6" customWidth="1"/>
    <col min="160" max="160" width="23.57421875" style="6" bestFit="1" customWidth="1"/>
    <col min="161" max="161" width="17.7109375" style="6" bestFit="1" customWidth="1"/>
    <col min="162" max="162" width="7.7109375" style="6" customWidth="1"/>
    <col min="163" max="163" width="23.57421875" style="6" bestFit="1" customWidth="1"/>
    <col min="164" max="164" width="17.7109375" style="6" bestFit="1" customWidth="1"/>
    <col min="165" max="165" width="7.7109375" style="6" customWidth="1"/>
    <col min="166" max="166" width="23.57421875" style="6" bestFit="1" customWidth="1"/>
    <col min="167" max="167" width="17.7109375" style="6" bestFit="1" customWidth="1"/>
    <col min="168" max="168" width="7.7109375" style="6" customWidth="1"/>
    <col min="169" max="169" width="23.57421875" style="6" bestFit="1" customWidth="1"/>
    <col min="170" max="170" width="17.7109375" style="6" bestFit="1" customWidth="1"/>
    <col min="171" max="171" width="7.7109375" style="6" customWidth="1"/>
    <col min="172" max="172" width="23.57421875" style="6" bestFit="1" customWidth="1"/>
    <col min="173" max="173" width="17.7109375" style="6" bestFit="1" customWidth="1"/>
    <col min="174" max="174" width="7.7109375" style="6" customWidth="1"/>
    <col min="175" max="175" width="23.57421875" style="6" bestFit="1" customWidth="1"/>
    <col min="176" max="176" width="17.7109375" style="6" bestFit="1" customWidth="1"/>
    <col min="177" max="177" width="7.7109375" style="6" customWidth="1"/>
    <col min="178" max="178" width="23.57421875" style="6" bestFit="1" customWidth="1"/>
    <col min="179" max="179" width="17.7109375" style="6" bestFit="1" customWidth="1"/>
    <col min="180" max="180" width="7.7109375" style="6" customWidth="1"/>
    <col min="181" max="181" width="23.57421875" style="6" bestFit="1" customWidth="1"/>
    <col min="182" max="182" width="17.7109375" style="6" bestFit="1" customWidth="1"/>
    <col min="183" max="183" width="7.7109375" style="6" customWidth="1"/>
    <col min="184" max="184" width="23.57421875" style="6" bestFit="1" customWidth="1"/>
    <col min="185" max="185" width="17.7109375" style="6" bestFit="1" customWidth="1"/>
    <col min="186" max="186" width="7.7109375" style="6" customWidth="1"/>
    <col min="187" max="187" width="23.57421875" style="6" bestFit="1" customWidth="1"/>
    <col min="188" max="188" width="17.7109375" style="6" bestFit="1" customWidth="1"/>
    <col min="189" max="189" width="7.7109375" style="6" customWidth="1"/>
    <col min="190" max="190" width="23.57421875" style="6" bestFit="1" customWidth="1"/>
    <col min="191" max="16384" width="23.57421875" style="6" customWidth="1"/>
  </cols>
  <sheetData>
    <row r="1" ht="39" customHeight="1"/>
    <row r="2" ht="39" customHeight="1">
      <c r="B2" s="107"/>
    </row>
    <row r="3" ht="39" customHeight="1">
      <c r="B3" s="107" t="s">
        <v>694</v>
      </c>
    </row>
    <row r="4" ht="39" customHeight="1">
      <c r="B4" s="107"/>
    </row>
    <row r="5" spans="3:13" ht="46.5" customHeight="1">
      <c r="C5" s="21"/>
      <c r="D5" s="21"/>
      <c r="F5" s="21"/>
      <c r="G5" s="21"/>
      <c r="H5" s="21"/>
      <c r="I5" s="21"/>
      <c r="J5" s="21"/>
      <c r="K5" s="21"/>
      <c r="L5" s="21"/>
      <c r="M5" s="21"/>
    </row>
    <row r="6" spans="1:13" ht="30" customHeight="1">
      <c r="A6" s="45"/>
      <c r="B6" s="21"/>
      <c r="C6" s="21"/>
      <c r="D6" s="21"/>
      <c r="E6" s="22"/>
      <c r="F6" s="36"/>
      <c r="G6" s="21"/>
      <c r="H6" s="21"/>
      <c r="I6" s="21"/>
      <c r="J6" s="21"/>
      <c r="K6" s="21"/>
      <c r="L6" s="21"/>
      <c r="M6" s="21"/>
    </row>
    <row r="7" spans="1:13" ht="36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</row>
    <row r="8" spans="1:186" s="53" customFormat="1" ht="39" customHeight="1">
      <c r="A8" s="51" t="s">
        <v>0</v>
      </c>
      <c r="B8" s="240" t="s">
        <v>581</v>
      </c>
      <c r="C8" s="81"/>
      <c r="D8" s="81"/>
      <c r="E8" s="82" t="s">
        <v>168</v>
      </c>
      <c r="F8" s="82" t="s">
        <v>176</v>
      </c>
      <c r="G8" s="82" t="s">
        <v>184</v>
      </c>
      <c r="H8" s="82" t="s">
        <v>179</v>
      </c>
      <c r="I8" s="82" t="s">
        <v>194</v>
      </c>
      <c r="J8" s="82" t="s">
        <v>203</v>
      </c>
      <c r="K8" s="82" t="s">
        <v>213</v>
      </c>
      <c r="L8" s="82" t="s">
        <v>221</v>
      </c>
      <c r="M8" s="82" t="s">
        <v>227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</row>
    <row r="9" spans="1:186" s="57" customFormat="1" ht="37.5" customHeight="1">
      <c r="A9" s="55"/>
      <c r="B9" s="241" t="s">
        <v>5</v>
      </c>
      <c r="C9" s="56" t="s">
        <v>2</v>
      </c>
      <c r="D9" s="60" t="s">
        <v>10</v>
      </c>
      <c r="E9" s="199">
        <v>2400</v>
      </c>
      <c r="F9" s="199">
        <v>2400</v>
      </c>
      <c r="G9" s="199">
        <v>2400</v>
      </c>
      <c r="H9" s="199">
        <v>2400</v>
      </c>
      <c r="I9" s="199">
        <v>2400</v>
      </c>
      <c r="J9" s="199">
        <v>2400</v>
      </c>
      <c r="K9" s="199">
        <v>2400</v>
      </c>
      <c r="L9" s="199">
        <v>2400</v>
      </c>
      <c r="M9" s="199">
        <v>2400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</row>
    <row r="10" spans="1:13" s="57" customFormat="1" ht="37.5" customHeight="1">
      <c r="A10" s="55"/>
      <c r="B10" s="241" t="s">
        <v>524</v>
      </c>
      <c r="C10" s="56" t="s">
        <v>2</v>
      </c>
      <c r="D10" s="60" t="s">
        <v>11</v>
      </c>
      <c r="E10" s="180">
        <v>6</v>
      </c>
      <c r="F10" s="180">
        <v>6</v>
      </c>
      <c r="G10" s="180">
        <v>6</v>
      </c>
      <c r="H10" s="180">
        <v>6</v>
      </c>
      <c r="I10" s="180">
        <v>6</v>
      </c>
      <c r="J10" s="180">
        <v>6</v>
      </c>
      <c r="K10" s="180">
        <v>6</v>
      </c>
      <c r="L10" s="180">
        <v>6</v>
      </c>
      <c r="M10" s="180">
        <v>6</v>
      </c>
    </row>
    <row r="11" spans="1:13" s="57" customFormat="1" ht="37.5" customHeight="1">
      <c r="A11" s="55"/>
      <c r="B11" s="241" t="s">
        <v>667</v>
      </c>
      <c r="C11" s="56" t="s">
        <v>2</v>
      </c>
      <c r="D11" s="60" t="s">
        <v>9</v>
      </c>
      <c r="E11" s="180">
        <v>15</v>
      </c>
      <c r="F11" s="180">
        <v>15</v>
      </c>
      <c r="G11" s="180">
        <v>15</v>
      </c>
      <c r="H11" s="180">
        <v>20</v>
      </c>
      <c r="I11" s="180">
        <v>20</v>
      </c>
      <c r="J11" s="180">
        <v>20</v>
      </c>
      <c r="K11" s="180">
        <v>20</v>
      </c>
      <c r="L11" s="180">
        <v>20</v>
      </c>
      <c r="M11" s="180">
        <v>20</v>
      </c>
    </row>
    <row r="12" spans="1:13" s="57" customFormat="1" ht="37.5" customHeight="1">
      <c r="A12" s="63" t="s">
        <v>539</v>
      </c>
      <c r="B12" s="242" t="s">
        <v>536</v>
      </c>
      <c r="C12" s="64"/>
      <c r="D12" s="62"/>
      <c r="E12" s="181" t="s">
        <v>538</v>
      </c>
      <c r="F12" s="181" t="s">
        <v>538</v>
      </c>
      <c r="G12" s="181" t="s">
        <v>538</v>
      </c>
      <c r="H12" s="181" t="s">
        <v>538</v>
      </c>
      <c r="I12" s="181" t="s">
        <v>538</v>
      </c>
      <c r="J12" s="181" t="s">
        <v>538</v>
      </c>
      <c r="K12" s="181" t="s">
        <v>538</v>
      </c>
      <c r="L12" s="181" t="s">
        <v>538</v>
      </c>
      <c r="M12" s="181" t="s">
        <v>538</v>
      </c>
    </row>
    <row r="13" spans="1:13" s="57" customFormat="1" ht="37.5" customHeight="1">
      <c r="A13" s="55"/>
      <c r="B13" s="241" t="s">
        <v>537</v>
      </c>
      <c r="C13" s="56" t="s">
        <v>2</v>
      </c>
      <c r="D13" s="65" t="s">
        <v>9</v>
      </c>
      <c r="E13" s="200">
        <v>2</v>
      </c>
      <c r="F13" s="200">
        <v>2</v>
      </c>
      <c r="G13" s="200">
        <v>2</v>
      </c>
      <c r="H13" s="200">
        <v>2</v>
      </c>
      <c r="I13" s="200">
        <v>2</v>
      </c>
      <c r="J13" s="200">
        <v>2</v>
      </c>
      <c r="K13" s="200">
        <v>2</v>
      </c>
      <c r="L13" s="200">
        <v>2</v>
      </c>
      <c r="M13" s="200">
        <v>2</v>
      </c>
    </row>
    <row r="14" spans="1:13" s="57" customFormat="1" ht="37.5" customHeight="1">
      <c r="A14" s="55"/>
      <c r="B14" s="241" t="s">
        <v>577</v>
      </c>
      <c r="C14" s="56" t="s">
        <v>2</v>
      </c>
      <c r="D14" s="65" t="s">
        <v>9</v>
      </c>
      <c r="E14" s="183">
        <v>2</v>
      </c>
      <c r="F14" s="183">
        <v>3</v>
      </c>
      <c r="G14" s="183">
        <v>3</v>
      </c>
      <c r="H14" s="183">
        <v>3</v>
      </c>
      <c r="I14" s="183">
        <v>4</v>
      </c>
      <c r="J14" s="183">
        <v>5</v>
      </c>
      <c r="K14" s="183">
        <v>6</v>
      </c>
      <c r="L14" s="183">
        <v>6</v>
      </c>
      <c r="M14" s="183">
        <v>7</v>
      </c>
    </row>
    <row r="15" spans="1:13" s="57" customFormat="1" ht="37.5" customHeight="1">
      <c r="A15" s="55"/>
      <c r="B15" s="241" t="s">
        <v>578</v>
      </c>
      <c r="C15" s="56" t="s">
        <v>2</v>
      </c>
      <c r="D15" s="65" t="s">
        <v>9</v>
      </c>
      <c r="E15" s="200">
        <v>6</v>
      </c>
      <c r="F15" s="200">
        <v>6</v>
      </c>
      <c r="G15" s="200">
        <v>6</v>
      </c>
      <c r="H15" s="200">
        <v>6</v>
      </c>
      <c r="I15" s="200">
        <v>8</v>
      </c>
      <c r="J15" s="200">
        <v>6</v>
      </c>
      <c r="K15" s="200">
        <v>6</v>
      </c>
      <c r="L15" s="200">
        <v>6</v>
      </c>
      <c r="M15" s="200">
        <v>6</v>
      </c>
    </row>
    <row r="16" spans="1:13" s="57" customFormat="1" ht="37.5" customHeight="1">
      <c r="A16" s="55"/>
      <c r="B16" s="241" t="s">
        <v>579</v>
      </c>
      <c r="C16" s="56" t="s">
        <v>2</v>
      </c>
      <c r="D16" s="65" t="s">
        <v>9</v>
      </c>
      <c r="E16" s="200">
        <v>4</v>
      </c>
      <c r="F16" s="200">
        <v>4</v>
      </c>
      <c r="G16" s="200">
        <v>4</v>
      </c>
      <c r="H16" s="200">
        <v>4</v>
      </c>
      <c r="I16" s="200">
        <v>4</v>
      </c>
      <c r="J16" s="200">
        <v>4</v>
      </c>
      <c r="K16" s="200">
        <v>4</v>
      </c>
      <c r="L16" s="200">
        <v>4</v>
      </c>
      <c r="M16" s="200">
        <v>4</v>
      </c>
    </row>
    <row r="17" spans="1:13" s="57" customFormat="1" ht="37.5" customHeight="1">
      <c r="A17" s="55"/>
      <c r="B17" s="241" t="s">
        <v>663</v>
      </c>
      <c r="C17" s="56" t="s">
        <v>2</v>
      </c>
      <c r="D17" s="65" t="s">
        <v>9</v>
      </c>
      <c r="E17" s="200">
        <v>1</v>
      </c>
      <c r="F17" s="200">
        <v>1</v>
      </c>
      <c r="G17" s="200">
        <v>1</v>
      </c>
      <c r="H17" s="200">
        <v>1</v>
      </c>
      <c r="I17" s="200">
        <v>1</v>
      </c>
      <c r="J17" s="200">
        <v>1</v>
      </c>
      <c r="K17" s="200">
        <v>1</v>
      </c>
      <c r="L17" s="200">
        <v>1</v>
      </c>
      <c r="M17" s="200">
        <v>1</v>
      </c>
    </row>
    <row r="18" spans="1:13" s="57" customFormat="1" ht="37.5" customHeight="1">
      <c r="A18" s="55"/>
      <c r="B18" s="241" t="s">
        <v>558</v>
      </c>
      <c r="C18" s="56" t="s">
        <v>2</v>
      </c>
      <c r="D18" s="65" t="s">
        <v>9</v>
      </c>
      <c r="E18" s="200">
        <v>0.6</v>
      </c>
      <c r="F18" s="200">
        <f aca="true" t="shared" si="0" ref="F18:K18">E18</f>
        <v>0.6</v>
      </c>
      <c r="G18" s="200">
        <f t="shared" si="0"/>
        <v>0.6</v>
      </c>
      <c r="H18" s="200">
        <f t="shared" si="0"/>
        <v>0.6</v>
      </c>
      <c r="I18" s="200">
        <f t="shared" si="0"/>
        <v>0.6</v>
      </c>
      <c r="J18" s="200">
        <f t="shared" si="0"/>
        <v>0.6</v>
      </c>
      <c r="K18" s="200">
        <f t="shared" si="0"/>
        <v>0.6</v>
      </c>
      <c r="L18" s="200">
        <v>0.8</v>
      </c>
      <c r="M18" s="200">
        <f>L18</f>
        <v>0.8</v>
      </c>
    </row>
    <row r="19" spans="1:186" s="57" customFormat="1" ht="37.5" customHeight="1">
      <c r="A19" s="63">
        <v>3</v>
      </c>
      <c r="B19" s="242" t="s">
        <v>525</v>
      </c>
      <c r="C19" s="64"/>
      <c r="D19" s="62"/>
      <c r="E19" s="184"/>
      <c r="F19" s="184"/>
      <c r="G19" s="184"/>
      <c r="H19" s="184"/>
      <c r="I19" s="184"/>
      <c r="J19" s="184"/>
      <c r="K19" s="184"/>
      <c r="L19" s="184"/>
      <c r="M19" s="18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</row>
    <row r="20" spans="1:186" s="57" customFormat="1" ht="37.5" customHeight="1">
      <c r="A20" s="55"/>
      <c r="B20" s="241" t="s">
        <v>1</v>
      </c>
      <c r="C20" s="56" t="s">
        <v>2</v>
      </c>
      <c r="D20" s="60" t="s">
        <v>7</v>
      </c>
      <c r="E20" s="185">
        <f aca="true" t="shared" si="1" ref="E20:M20">INDEX(steel,MATCH(E$8,st_name,0),4)</f>
        <v>200</v>
      </c>
      <c r="F20" s="185">
        <f t="shared" si="1"/>
        <v>250</v>
      </c>
      <c r="G20" s="185">
        <f t="shared" si="1"/>
        <v>300</v>
      </c>
      <c r="H20" s="185">
        <f t="shared" si="1"/>
        <v>294</v>
      </c>
      <c r="I20" s="185">
        <f t="shared" si="1"/>
        <v>350</v>
      </c>
      <c r="J20" s="185">
        <f t="shared" si="1"/>
        <v>400</v>
      </c>
      <c r="K20" s="185">
        <f t="shared" si="1"/>
        <v>450</v>
      </c>
      <c r="L20" s="185">
        <f t="shared" si="1"/>
        <v>500</v>
      </c>
      <c r="M20" s="185">
        <f t="shared" si="1"/>
        <v>600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</row>
    <row r="21" spans="1:186" s="57" customFormat="1" ht="37.5" customHeight="1">
      <c r="A21" s="55"/>
      <c r="B21" s="241" t="s">
        <v>3</v>
      </c>
      <c r="C21" s="56" t="s">
        <v>2</v>
      </c>
      <c r="D21" s="60" t="s">
        <v>7</v>
      </c>
      <c r="E21" s="185">
        <f aca="true" t="shared" si="2" ref="E21:M21">INDEX(steel,MATCH(E$8,st_name,0),6)</f>
        <v>100</v>
      </c>
      <c r="F21" s="185">
        <f t="shared" si="2"/>
        <v>125</v>
      </c>
      <c r="G21" s="185">
        <f t="shared" si="2"/>
        <v>150</v>
      </c>
      <c r="H21" s="185">
        <f t="shared" si="2"/>
        <v>200</v>
      </c>
      <c r="I21" s="185">
        <f t="shared" si="2"/>
        <v>175</v>
      </c>
      <c r="J21" s="185">
        <f t="shared" si="2"/>
        <v>200</v>
      </c>
      <c r="K21" s="185">
        <f t="shared" si="2"/>
        <v>200</v>
      </c>
      <c r="L21" s="185">
        <f t="shared" si="2"/>
        <v>200</v>
      </c>
      <c r="M21" s="185">
        <f t="shared" si="2"/>
        <v>200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</row>
    <row r="22" spans="1:13" s="57" customFormat="1" ht="37.5" customHeight="1">
      <c r="A22" s="55"/>
      <c r="B22" s="241" t="s">
        <v>13</v>
      </c>
      <c r="C22" s="56" t="s">
        <v>2</v>
      </c>
      <c r="D22" s="60" t="s">
        <v>7</v>
      </c>
      <c r="E22" s="185">
        <f aca="true" t="shared" si="3" ref="E22:M22">INDEX(steel,MATCH(E$8,st_name,0),9)</f>
        <v>5.5</v>
      </c>
      <c r="F22" s="185">
        <f t="shared" si="3"/>
        <v>6</v>
      </c>
      <c r="G22" s="185">
        <f t="shared" si="3"/>
        <v>6.5</v>
      </c>
      <c r="H22" s="185">
        <f t="shared" si="3"/>
        <v>8</v>
      </c>
      <c r="I22" s="185">
        <f t="shared" si="3"/>
        <v>7</v>
      </c>
      <c r="J22" s="185">
        <f t="shared" si="3"/>
        <v>8</v>
      </c>
      <c r="K22" s="185">
        <f t="shared" si="3"/>
        <v>9</v>
      </c>
      <c r="L22" s="185">
        <f t="shared" si="3"/>
        <v>10</v>
      </c>
      <c r="M22" s="185">
        <f t="shared" si="3"/>
        <v>11</v>
      </c>
    </row>
    <row r="23" spans="1:13" s="57" customFormat="1" ht="37.5" customHeight="1">
      <c r="A23" s="55"/>
      <c r="B23" s="241" t="s">
        <v>12</v>
      </c>
      <c r="C23" s="56" t="s">
        <v>2</v>
      </c>
      <c r="D23" s="60" t="s">
        <v>7</v>
      </c>
      <c r="E23" s="185">
        <f aca="true" t="shared" si="4" ref="E23:M23">INDEX(steel,MATCH(E$8,st_name,0),10)</f>
        <v>8</v>
      </c>
      <c r="F23" s="185">
        <f t="shared" si="4"/>
        <v>9</v>
      </c>
      <c r="G23" s="185">
        <f t="shared" si="4"/>
        <v>9</v>
      </c>
      <c r="H23" s="185">
        <f t="shared" si="4"/>
        <v>12</v>
      </c>
      <c r="I23" s="185">
        <f t="shared" si="4"/>
        <v>11</v>
      </c>
      <c r="J23" s="185">
        <f t="shared" si="4"/>
        <v>13</v>
      </c>
      <c r="K23" s="185">
        <f t="shared" si="4"/>
        <v>14</v>
      </c>
      <c r="L23" s="185">
        <f t="shared" si="4"/>
        <v>16</v>
      </c>
      <c r="M23" s="185">
        <f t="shared" si="4"/>
        <v>17</v>
      </c>
    </row>
    <row r="24" spans="1:13" s="57" customFormat="1" ht="37.5" customHeight="1">
      <c r="A24" s="55"/>
      <c r="B24" s="241" t="s">
        <v>4</v>
      </c>
      <c r="C24" s="56" t="s">
        <v>2</v>
      </c>
      <c r="D24" s="60" t="s">
        <v>8</v>
      </c>
      <c r="E24" s="185">
        <f aca="true" t="shared" si="5" ref="E24:M24">INDEX(steel,MATCH(E$8,st_name,0),11)</f>
        <v>27.16</v>
      </c>
      <c r="F24" s="185">
        <f t="shared" si="5"/>
        <v>37.66</v>
      </c>
      <c r="G24" s="185">
        <f t="shared" si="5"/>
        <v>46.78</v>
      </c>
      <c r="H24" s="185">
        <f t="shared" si="5"/>
        <v>72.38</v>
      </c>
      <c r="I24" s="185">
        <f t="shared" si="5"/>
        <v>63.14</v>
      </c>
      <c r="J24" s="185">
        <f t="shared" si="5"/>
        <v>84.12</v>
      </c>
      <c r="K24" s="185">
        <f t="shared" si="5"/>
        <v>96.76</v>
      </c>
      <c r="L24" s="185">
        <f t="shared" si="5"/>
        <v>114.2</v>
      </c>
      <c r="M24" s="185">
        <f t="shared" si="5"/>
        <v>134.4</v>
      </c>
    </row>
    <row r="25" spans="1:13" s="57" customFormat="1" ht="37.5" customHeight="1">
      <c r="A25" s="55"/>
      <c r="B25" s="241" t="s">
        <v>580</v>
      </c>
      <c r="C25" s="56" t="s">
        <v>2</v>
      </c>
      <c r="D25" s="60" t="s">
        <v>9</v>
      </c>
      <c r="E25" s="185">
        <f aca="true" t="shared" si="6" ref="E25:M25">INDEX(steel,MATCH(E$8,st_name,0),14)</f>
        <v>8.24</v>
      </c>
      <c r="F25" s="185">
        <f t="shared" si="6"/>
        <v>10.4</v>
      </c>
      <c r="G25" s="185">
        <f t="shared" si="6"/>
        <v>12.41474</v>
      </c>
      <c r="H25" s="185">
        <f t="shared" si="6"/>
        <v>12.49482</v>
      </c>
      <c r="I25" s="185">
        <f t="shared" si="6"/>
        <v>14.67632</v>
      </c>
      <c r="J25" s="185">
        <f t="shared" si="6"/>
        <v>16.78512</v>
      </c>
      <c r="K25" s="185">
        <f t="shared" si="6"/>
        <v>18.60692</v>
      </c>
      <c r="L25" s="185">
        <f t="shared" si="6"/>
        <v>20.45884</v>
      </c>
      <c r="M25" s="185">
        <f t="shared" si="6"/>
        <v>24.02875</v>
      </c>
    </row>
    <row r="26" spans="1:13" s="57" customFormat="1" ht="37.5" customHeight="1">
      <c r="A26" s="55"/>
      <c r="B26" s="241" t="s">
        <v>6</v>
      </c>
      <c r="C26" s="56" t="s">
        <v>2</v>
      </c>
      <c r="D26" s="60" t="s">
        <v>9</v>
      </c>
      <c r="E26" s="185">
        <f aca="true" t="shared" si="7" ref="E26:M26">INDEX(steel,MATCH(E$8,st_name,0),15)</f>
        <v>2.22</v>
      </c>
      <c r="F26" s="185">
        <f t="shared" si="7"/>
        <v>2.79</v>
      </c>
      <c r="G26" s="185">
        <f t="shared" si="7"/>
        <v>3.295352</v>
      </c>
      <c r="H26" s="185">
        <f t="shared" si="7"/>
        <v>4.701654</v>
      </c>
      <c r="I26" s="185">
        <f t="shared" si="7"/>
        <v>3.94771</v>
      </c>
      <c r="J26" s="185">
        <f t="shared" si="7"/>
        <v>4.548048</v>
      </c>
      <c r="K26" s="185">
        <f t="shared" si="7"/>
        <v>4.396154</v>
      </c>
      <c r="L26" s="185">
        <f t="shared" si="7"/>
        <v>4.328863</v>
      </c>
      <c r="M26" s="185">
        <f t="shared" si="7"/>
        <v>4.118773</v>
      </c>
    </row>
    <row r="27" spans="1:13" s="57" customFormat="1" ht="37.5" customHeight="1">
      <c r="A27" s="55"/>
      <c r="B27" s="241" t="s">
        <v>526</v>
      </c>
      <c r="C27" s="56" t="s">
        <v>2</v>
      </c>
      <c r="D27" s="60" t="s">
        <v>527</v>
      </c>
      <c r="E27" s="185">
        <f aca="true" t="shared" si="8" ref="E27:M27">INDEX(steel,MATCH(E$8,st_name,0),16)</f>
        <v>184</v>
      </c>
      <c r="F27" s="185">
        <f t="shared" si="8"/>
        <v>324</v>
      </c>
      <c r="G27" s="185">
        <f t="shared" si="8"/>
        <v>480.67</v>
      </c>
      <c r="H27" s="185">
        <f t="shared" si="8"/>
        <v>768.71</v>
      </c>
      <c r="I27" s="185">
        <f t="shared" si="8"/>
        <v>777.14</v>
      </c>
      <c r="J27" s="185">
        <f t="shared" si="8"/>
        <v>1185</v>
      </c>
      <c r="K27" s="185">
        <f t="shared" si="8"/>
        <v>1488.89</v>
      </c>
      <c r="L27" s="185">
        <f t="shared" si="8"/>
        <v>1912</v>
      </c>
      <c r="M27" s="185">
        <f t="shared" si="8"/>
        <v>2586.67</v>
      </c>
    </row>
    <row r="28" spans="1:13" s="57" customFormat="1" ht="37.5" customHeight="1">
      <c r="A28" s="63" t="s">
        <v>535</v>
      </c>
      <c r="B28" s="242" t="s">
        <v>534</v>
      </c>
      <c r="C28" s="64"/>
      <c r="D28" s="62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s="57" customFormat="1" ht="37.5" customHeight="1">
      <c r="A29" s="55"/>
      <c r="B29" s="241" t="s">
        <v>529</v>
      </c>
      <c r="C29" s="56" t="s">
        <v>2</v>
      </c>
      <c r="D29" s="55" t="s">
        <v>528</v>
      </c>
      <c r="E29" s="185">
        <f aca="true" t="shared" si="9" ref="E29:L29">0.66*E9*E27/1000/100</f>
        <v>2.9145600000000003</v>
      </c>
      <c r="F29" s="185">
        <f>0.66*F9*F27/1000/100</f>
        <v>5.13216</v>
      </c>
      <c r="G29" s="185">
        <f t="shared" si="9"/>
        <v>7.613812800000001</v>
      </c>
      <c r="H29" s="185">
        <f t="shared" si="9"/>
        <v>12.176366400000001</v>
      </c>
      <c r="I29" s="185">
        <f t="shared" si="9"/>
        <v>12.3098976</v>
      </c>
      <c r="J29" s="185">
        <f t="shared" si="9"/>
        <v>18.7704</v>
      </c>
      <c r="K29" s="185">
        <f t="shared" si="9"/>
        <v>23.584017600000003</v>
      </c>
      <c r="L29" s="185">
        <f t="shared" si="9"/>
        <v>30.286080000000002</v>
      </c>
      <c r="M29" s="185">
        <f>0.66*M9*M27/1000/100</f>
        <v>40.9728528</v>
      </c>
    </row>
    <row r="30" spans="1:13" s="57" customFormat="1" ht="37.5" customHeight="1">
      <c r="A30" s="55"/>
      <c r="B30" s="241" t="s">
        <v>531</v>
      </c>
      <c r="C30" s="56" t="s">
        <v>2</v>
      </c>
      <c r="D30" s="55" t="s">
        <v>530</v>
      </c>
      <c r="E30" s="185">
        <f aca="true" t="shared" si="10" ref="E30:M30">8*E29/(E10*E10)</f>
        <v>0.64768</v>
      </c>
      <c r="F30" s="185">
        <f>8*F29/(F10*F10)</f>
        <v>1.14048</v>
      </c>
      <c r="G30" s="185">
        <f t="shared" si="10"/>
        <v>1.6919584</v>
      </c>
      <c r="H30" s="185">
        <f t="shared" si="10"/>
        <v>2.7058592000000004</v>
      </c>
      <c r="I30" s="185">
        <f t="shared" si="10"/>
        <v>2.7355327999999997</v>
      </c>
      <c r="J30" s="185">
        <f t="shared" si="10"/>
        <v>4.1712</v>
      </c>
      <c r="K30" s="185">
        <f t="shared" si="10"/>
        <v>5.240892800000001</v>
      </c>
      <c r="L30" s="185">
        <f t="shared" si="10"/>
        <v>6.73024</v>
      </c>
      <c r="M30" s="185">
        <f t="shared" si="10"/>
        <v>9.1050784</v>
      </c>
    </row>
    <row r="31" spans="1:13" s="57" customFormat="1" ht="37.5" customHeight="1">
      <c r="A31" s="55"/>
      <c r="B31" s="241" t="s">
        <v>532</v>
      </c>
      <c r="C31" s="56" t="s">
        <v>2</v>
      </c>
      <c r="D31" s="55" t="s">
        <v>533</v>
      </c>
      <c r="E31" s="185">
        <f aca="true" t="shared" si="11" ref="E31:L31">E29*4/E10</f>
        <v>1.94304</v>
      </c>
      <c r="F31" s="185">
        <f>F29*4/F10</f>
        <v>3.42144</v>
      </c>
      <c r="G31" s="185">
        <f t="shared" si="11"/>
        <v>5.0758752000000005</v>
      </c>
      <c r="H31" s="185">
        <f t="shared" si="11"/>
        <v>8.1175776</v>
      </c>
      <c r="I31" s="185">
        <f t="shared" si="11"/>
        <v>8.206598399999999</v>
      </c>
      <c r="J31" s="185">
        <f t="shared" si="11"/>
        <v>12.513599999999999</v>
      </c>
      <c r="K31" s="185">
        <f t="shared" si="11"/>
        <v>15.722678400000001</v>
      </c>
      <c r="L31" s="185">
        <f t="shared" si="11"/>
        <v>20.190720000000002</v>
      </c>
      <c r="M31" s="185">
        <f>M29*4/M10</f>
        <v>27.3152352</v>
      </c>
    </row>
    <row r="32" spans="1:13" s="57" customFormat="1" ht="37.5" customHeight="1">
      <c r="A32" s="55"/>
      <c r="B32" s="241" t="s">
        <v>561</v>
      </c>
      <c r="C32" s="56" t="s">
        <v>2</v>
      </c>
      <c r="D32" s="55" t="s">
        <v>533</v>
      </c>
      <c r="E32" s="186">
        <f aca="true" t="shared" si="12" ref="E32:M32">MAX(E31/2,E30*E10/2)</f>
        <v>1.94304</v>
      </c>
      <c r="F32" s="186">
        <f>MAX(F31/2,F30*F10/2)</f>
        <v>3.4214399999999996</v>
      </c>
      <c r="G32" s="186">
        <f t="shared" si="12"/>
        <v>5.0758752000000005</v>
      </c>
      <c r="H32" s="186">
        <f t="shared" si="12"/>
        <v>8.1175776</v>
      </c>
      <c r="I32" s="186">
        <f t="shared" si="12"/>
        <v>8.206598399999999</v>
      </c>
      <c r="J32" s="186">
        <f t="shared" si="12"/>
        <v>12.5136</v>
      </c>
      <c r="K32" s="186">
        <f t="shared" si="12"/>
        <v>15.722678400000003</v>
      </c>
      <c r="L32" s="186">
        <f t="shared" si="12"/>
        <v>20.19072</v>
      </c>
      <c r="M32" s="186">
        <f t="shared" si="12"/>
        <v>27.3152352</v>
      </c>
    </row>
    <row r="33" spans="1:13" s="57" customFormat="1" ht="37.5" customHeight="1">
      <c r="A33" s="55"/>
      <c r="B33" s="243" t="s">
        <v>665</v>
      </c>
      <c r="C33" s="115" t="s">
        <v>2</v>
      </c>
      <c r="D33" s="114" t="s">
        <v>533</v>
      </c>
      <c r="E33" s="187">
        <v>1.9</v>
      </c>
      <c r="F33" s="187">
        <v>3.8</v>
      </c>
      <c r="G33" s="187">
        <v>3.8</v>
      </c>
      <c r="H33" s="187">
        <v>3.2</v>
      </c>
      <c r="I33" s="187">
        <v>5</v>
      </c>
      <c r="J33" s="187">
        <v>7.5</v>
      </c>
      <c r="K33" s="187">
        <v>10</v>
      </c>
      <c r="L33" s="187">
        <v>10</v>
      </c>
      <c r="M33" s="187">
        <v>15</v>
      </c>
    </row>
    <row r="34" spans="1:13" s="57" customFormat="1" ht="37.5" customHeight="1">
      <c r="A34" s="66" t="s">
        <v>540</v>
      </c>
      <c r="B34" s="244" t="s">
        <v>547</v>
      </c>
      <c r="C34" s="67"/>
      <c r="D34" s="6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s="57" customFormat="1" ht="37.5" customHeight="1">
      <c r="A35" s="55"/>
      <c r="B35" s="241" t="s">
        <v>541</v>
      </c>
      <c r="C35" s="56" t="s">
        <v>2</v>
      </c>
      <c r="D35" s="60" t="s">
        <v>9</v>
      </c>
      <c r="E35" s="185">
        <f aca="true" t="shared" si="13" ref="E35:L35">E16+(E14-1)*E15-((E14-0.5)*(E13+0.2))</f>
        <v>6.699999999999999</v>
      </c>
      <c r="F35" s="185">
        <f t="shared" si="13"/>
        <v>10.5</v>
      </c>
      <c r="G35" s="185">
        <f t="shared" si="13"/>
        <v>10.5</v>
      </c>
      <c r="H35" s="185">
        <f t="shared" si="13"/>
        <v>10.5</v>
      </c>
      <c r="I35" s="185">
        <f t="shared" si="13"/>
        <v>20.299999999999997</v>
      </c>
      <c r="J35" s="185">
        <f t="shared" si="13"/>
        <v>18.1</v>
      </c>
      <c r="K35" s="185">
        <f t="shared" si="13"/>
        <v>21.9</v>
      </c>
      <c r="L35" s="185">
        <f t="shared" si="13"/>
        <v>21.9</v>
      </c>
      <c r="M35" s="185">
        <f>M16+(M14-1)*M15-((M14-0.5)*(M13+0.2))</f>
        <v>25.7</v>
      </c>
    </row>
    <row r="36" spans="1:13" s="57" customFormat="1" ht="37.5" customHeight="1">
      <c r="A36" s="55"/>
      <c r="B36" s="241" t="s">
        <v>542</v>
      </c>
      <c r="C36" s="56" t="s">
        <v>2</v>
      </c>
      <c r="D36" s="60" t="s">
        <v>9</v>
      </c>
      <c r="E36" s="185">
        <f aca="true" t="shared" si="14" ref="E36:L36">E16-0.5*(E13+0.2)</f>
        <v>2.9</v>
      </c>
      <c r="F36" s="185">
        <f t="shared" si="14"/>
        <v>2.9</v>
      </c>
      <c r="G36" s="185">
        <f t="shared" si="14"/>
        <v>2.9</v>
      </c>
      <c r="H36" s="185">
        <f t="shared" si="14"/>
        <v>2.9</v>
      </c>
      <c r="I36" s="185">
        <f t="shared" si="14"/>
        <v>2.9</v>
      </c>
      <c r="J36" s="185">
        <f t="shared" si="14"/>
        <v>2.9</v>
      </c>
      <c r="K36" s="185">
        <f t="shared" si="14"/>
        <v>2.9</v>
      </c>
      <c r="L36" s="185">
        <f t="shared" si="14"/>
        <v>2.9</v>
      </c>
      <c r="M36" s="185">
        <f>M16-0.5*(M13+0.2)</f>
        <v>2.9</v>
      </c>
    </row>
    <row r="37" spans="1:13" s="57" customFormat="1" ht="37.5" customHeight="1">
      <c r="A37" s="55"/>
      <c r="B37" s="241" t="s">
        <v>543</v>
      </c>
      <c r="C37" s="56" t="s">
        <v>2</v>
      </c>
      <c r="D37" s="60" t="s">
        <v>533</v>
      </c>
      <c r="E37" s="186">
        <f aca="true" t="shared" si="15" ref="E37:M37">4000*(0.3*E35+0.5*E36)*E17/1000</f>
        <v>13.84</v>
      </c>
      <c r="F37" s="186">
        <f t="shared" si="15"/>
        <v>18.4</v>
      </c>
      <c r="G37" s="186">
        <f t="shared" si="15"/>
        <v>18.4</v>
      </c>
      <c r="H37" s="186">
        <f t="shared" si="15"/>
        <v>18.4</v>
      </c>
      <c r="I37" s="186">
        <f t="shared" si="15"/>
        <v>30.159999999999997</v>
      </c>
      <c r="J37" s="186">
        <f t="shared" si="15"/>
        <v>27.520000000000003</v>
      </c>
      <c r="K37" s="186">
        <f t="shared" si="15"/>
        <v>32.08</v>
      </c>
      <c r="L37" s="186">
        <f t="shared" si="15"/>
        <v>32.08</v>
      </c>
      <c r="M37" s="186">
        <f t="shared" si="15"/>
        <v>36.63999999999999</v>
      </c>
    </row>
    <row r="38" spans="1:13" s="57" customFormat="1" ht="37.5" customHeight="1">
      <c r="A38" s="66" t="s">
        <v>545</v>
      </c>
      <c r="B38" s="244" t="s">
        <v>584</v>
      </c>
      <c r="C38" s="67"/>
      <c r="D38" s="6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s="57" customFormat="1" ht="37.5" customHeight="1">
      <c r="A39" s="55"/>
      <c r="B39" s="241" t="s">
        <v>585</v>
      </c>
      <c r="C39" s="56" t="s">
        <v>2</v>
      </c>
      <c r="D39" s="60" t="s">
        <v>533</v>
      </c>
      <c r="E39" s="186">
        <f aca="true" t="shared" si="16" ref="E39:L39">0.3*4000*E17*(2*E16+(E14-1)*E15-E14*(E13+0.2))/1000</f>
        <v>11.52</v>
      </c>
      <c r="F39" s="186">
        <f t="shared" si="16"/>
        <v>16.08</v>
      </c>
      <c r="G39" s="186">
        <f t="shared" si="16"/>
        <v>16.08</v>
      </c>
      <c r="H39" s="186">
        <f t="shared" si="16"/>
        <v>16.08</v>
      </c>
      <c r="I39" s="186">
        <f t="shared" si="16"/>
        <v>27.84</v>
      </c>
      <c r="J39" s="186">
        <f t="shared" si="16"/>
        <v>25.2</v>
      </c>
      <c r="K39" s="186">
        <f t="shared" si="16"/>
        <v>29.759999999999998</v>
      </c>
      <c r="L39" s="186">
        <f t="shared" si="16"/>
        <v>29.759999999999998</v>
      </c>
      <c r="M39" s="186">
        <f>0.3*4000*M17*(2*M16+(M14-1)*M15-M14*(M13+0.2))/1000</f>
        <v>34.32</v>
      </c>
    </row>
    <row r="40" spans="1:13" s="57" customFormat="1" ht="37.5" customHeight="1">
      <c r="A40" s="55"/>
      <c r="B40" s="241" t="s">
        <v>664</v>
      </c>
      <c r="C40" s="56" t="s">
        <v>2</v>
      </c>
      <c r="D40" s="60" t="s">
        <v>533</v>
      </c>
      <c r="E40" s="186">
        <f>0.4*E9*E17*((E14-1)*E15+2*E16)/1000</f>
        <v>13.44</v>
      </c>
      <c r="F40" s="186">
        <f aca="true" t="shared" si="17" ref="F40:L40">0.4*F9*F17*((F14-1)*F15+2*F16)/1000</f>
        <v>19.2</v>
      </c>
      <c r="G40" s="186">
        <f t="shared" si="17"/>
        <v>19.2</v>
      </c>
      <c r="H40" s="186">
        <f t="shared" si="17"/>
        <v>19.2</v>
      </c>
      <c r="I40" s="186">
        <f t="shared" si="17"/>
        <v>30.72</v>
      </c>
      <c r="J40" s="186">
        <f t="shared" si="17"/>
        <v>30.72</v>
      </c>
      <c r="K40" s="186">
        <f t="shared" si="17"/>
        <v>36.48</v>
      </c>
      <c r="L40" s="186">
        <f t="shared" si="17"/>
        <v>36.48</v>
      </c>
      <c r="M40" s="186">
        <f>0.4*M9*M17*((M14-1)*M15+2*M16)/1000</f>
        <v>42.24</v>
      </c>
    </row>
    <row r="41" spans="1:13" s="57" customFormat="1" ht="37.5" customHeight="1">
      <c r="A41" s="66" t="s">
        <v>583</v>
      </c>
      <c r="B41" s="244" t="s">
        <v>546</v>
      </c>
      <c r="C41" s="68"/>
      <c r="D41" s="68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s="57" customFormat="1" ht="37.5" customHeight="1">
      <c r="A42" s="55"/>
      <c r="B42" s="241" t="s">
        <v>589</v>
      </c>
      <c r="C42" s="56" t="s">
        <v>2</v>
      </c>
      <c r="D42" s="60" t="s">
        <v>533</v>
      </c>
      <c r="E42" s="190">
        <f aca="true" t="shared" si="18" ref="E42:L42">E14*(E13+0.2)*E17*1.2*4000/1000</f>
        <v>21.12</v>
      </c>
      <c r="F42" s="190">
        <f t="shared" si="18"/>
        <v>31.68</v>
      </c>
      <c r="G42" s="190">
        <f t="shared" si="18"/>
        <v>31.68</v>
      </c>
      <c r="H42" s="190">
        <f t="shared" si="18"/>
        <v>31.68</v>
      </c>
      <c r="I42" s="190">
        <f t="shared" si="18"/>
        <v>42.24</v>
      </c>
      <c r="J42" s="190">
        <f t="shared" si="18"/>
        <v>52.8</v>
      </c>
      <c r="K42" s="190">
        <f t="shared" si="18"/>
        <v>63.36</v>
      </c>
      <c r="L42" s="190">
        <f t="shared" si="18"/>
        <v>63.36</v>
      </c>
      <c r="M42" s="190">
        <f>M14*(M13+0.2)*M17*1.2*4000/1000</f>
        <v>73.92</v>
      </c>
    </row>
    <row r="43" spans="1:13" s="57" customFormat="1" ht="37.5" customHeight="1">
      <c r="A43" s="66" t="s">
        <v>552</v>
      </c>
      <c r="B43" s="244" t="s">
        <v>549</v>
      </c>
      <c r="C43" s="68"/>
      <c r="D43" s="68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s="57" customFormat="1" ht="37.5" customHeight="1">
      <c r="A44" s="63"/>
      <c r="B44" s="245" t="s">
        <v>553</v>
      </c>
      <c r="C44" s="62"/>
      <c r="D44" s="62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1:13" s="57" customFormat="1" ht="37.5" customHeight="1">
      <c r="A45" s="55"/>
      <c r="B45" s="246" t="s">
        <v>560</v>
      </c>
      <c r="C45" s="61" t="s">
        <v>2</v>
      </c>
      <c r="D45" s="69" t="s">
        <v>9</v>
      </c>
      <c r="E45" s="181">
        <f aca="true" t="shared" si="19" ref="E45:L45">2*E16+(E14-1)*E15</f>
        <v>14</v>
      </c>
      <c r="F45" s="181">
        <f t="shared" si="19"/>
        <v>20</v>
      </c>
      <c r="G45" s="181">
        <f t="shared" si="19"/>
        <v>20</v>
      </c>
      <c r="H45" s="181">
        <f t="shared" si="19"/>
        <v>20</v>
      </c>
      <c r="I45" s="181">
        <f t="shared" si="19"/>
        <v>32</v>
      </c>
      <c r="J45" s="181">
        <f t="shared" si="19"/>
        <v>32</v>
      </c>
      <c r="K45" s="181">
        <f t="shared" si="19"/>
        <v>38</v>
      </c>
      <c r="L45" s="181">
        <f t="shared" si="19"/>
        <v>38</v>
      </c>
      <c r="M45" s="181">
        <f>2*M16+(M14-1)*M15</f>
        <v>44</v>
      </c>
    </row>
    <row r="46" spans="1:13" s="57" customFormat="1" ht="37.5" customHeight="1">
      <c r="A46" s="55"/>
      <c r="B46" s="246" t="s">
        <v>550</v>
      </c>
      <c r="C46" s="61" t="s">
        <v>2</v>
      </c>
      <c r="D46" s="69" t="s">
        <v>527</v>
      </c>
      <c r="E46" s="181">
        <f aca="true" t="shared" si="20" ref="E46:M46">E17*(E45*E45)/6</f>
        <v>32.666666666666664</v>
      </c>
      <c r="F46" s="181">
        <f t="shared" si="20"/>
        <v>66.66666666666667</v>
      </c>
      <c r="G46" s="181">
        <f t="shared" si="20"/>
        <v>66.66666666666667</v>
      </c>
      <c r="H46" s="181">
        <f t="shared" si="20"/>
        <v>66.66666666666667</v>
      </c>
      <c r="I46" s="181">
        <f t="shared" si="20"/>
        <v>170.66666666666666</v>
      </c>
      <c r="J46" s="181">
        <f t="shared" si="20"/>
        <v>170.66666666666666</v>
      </c>
      <c r="K46" s="181">
        <f t="shared" si="20"/>
        <v>240.66666666666666</v>
      </c>
      <c r="L46" s="181">
        <f t="shared" si="20"/>
        <v>240.66666666666666</v>
      </c>
      <c r="M46" s="181">
        <f t="shared" si="20"/>
        <v>322.6666666666667</v>
      </c>
    </row>
    <row r="47" spans="1:13" s="57" customFormat="1" ht="37.5" customHeight="1">
      <c r="A47" s="55"/>
      <c r="B47" s="246" t="s">
        <v>555</v>
      </c>
      <c r="C47" s="61" t="s">
        <v>2</v>
      </c>
      <c r="D47" s="62" t="s">
        <v>528</v>
      </c>
      <c r="E47" s="181">
        <f aca="true" t="shared" si="21" ref="E47:M47">0.75*E9*E46/1000/100</f>
        <v>0.5879999999999999</v>
      </c>
      <c r="F47" s="181">
        <f t="shared" si="21"/>
        <v>1.2000000000000002</v>
      </c>
      <c r="G47" s="181">
        <f t="shared" si="21"/>
        <v>1.2000000000000002</v>
      </c>
      <c r="H47" s="181">
        <f t="shared" si="21"/>
        <v>1.2000000000000002</v>
      </c>
      <c r="I47" s="181">
        <f t="shared" si="21"/>
        <v>3.072</v>
      </c>
      <c r="J47" s="181">
        <f t="shared" si="21"/>
        <v>3.072</v>
      </c>
      <c r="K47" s="181">
        <f t="shared" si="21"/>
        <v>4.332</v>
      </c>
      <c r="L47" s="181">
        <f t="shared" si="21"/>
        <v>4.332</v>
      </c>
      <c r="M47" s="181">
        <f t="shared" si="21"/>
        <v>5.808</v>
      </c>
    </row>
    <row r="48" spans="1:13" s="57" customFormat="1" ht="37.5" customHeight="1">
      <c r="A48" s="55"/>
      <c r="B48" s="246" t="s">
        <v>551</v>
      </c>
      <c r="C48" s="61" t="s">
        <v>2</v>
      </c>
      <c r="D48" s="62" t="s">
        <v>533</v>
      </c>
      <c r="E48" s="190">
        <f aca="true" t="shared" si="22" ref="E48:M48">E47*100/(E16+2)</f>
        <v>9.799999999999997</v>
      </c>
      <c r="F48" s="190">
        <f t="shared" si="22"/>
        <v>20.000000000000004</v>
      </c>
      <c r="G48" s="190">
        <f t="shared" si="22"/>
        <v>20.000000000000004</v>
      </c>
      <c r="H48" s="190">
        <f t="shared" si="22"/>
        <v>20.000000000000004</v>
      </c>
      <c r="I48" s="190">
        <f t="shared" si="22"/>
        <v>51.199999999999996</v>
      </c>
      <c r="J48" s="190">
        <f t="shared" si="22"/>
        <v>51.199999999999996</v>
      </c>
      <c r="K48" s="190">
        <f t="shared" si="22"/>
        <v>72.2</v>
      </c>
      <c r="L48" s="190">
        <f t="shared" si="22"/>
        <v>72.2</v>
      </c>
      <c r="M48" s="190">
        <f t="shared" si="22"/>
        <v>96.8</v>
      </c>
    </row>
    <row r="49" spans="1:13" s="57" customFormat="1" ht="37.5" customHeight="1">
      <c r="A49" s="55"/>
      <c r="B49" s="245" t="s">
        <v>554</v>
      </c>
      <c r="C49" s="61"/>
      <c r="D49" s="69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 s="57" customFormat="1" ht="37.5" customHeight="1">
      <c r="A50" s="55"/>
      <c r="B50" s="246" t="s">
        <v>556</v>
      </c>
      <c r="C50" s="61" t="s">
        <v>2</v>
      </c>
      <c r="D50" s="62" t="s">
        <v>533</v>
      </c>
      <c r="E50" s="190">
        <f aca="true" t="shared" si="23" ref="E50:L50">0.4*E9*E45*E17/1000</f>
        <v>13.44</v>
      </c>
      <c r="F50" s="190">
        <f t="shared" si="23"/>
        <v>19.2</v>
      </c>
      <c r="G50" s="190">
        <f t="shared" si="23"/>
        <v>19.2</v>
      </c>
      <c r="H50" s="190">
        <f t="shared" si="23"/>
        <v>19.2</v>
      </c>
      <c r="I50" s="190">
        <f t="shared" si="23"/>
        <v>30.72</v>
      </c>
      <c r="J50" s="190">
        <f t="shared" si="23"/>
        <v>30.72</v>
      </c>
      <c r="K50" s="190">
        <f t="shared" si="23"/>
        <v>36.48</v>
      </c>
      <c r="L50" s="190">
        <f t="shared" si="23"/>
        <v>36.48</v>
      </c>
      <c r="M50" s="190">
        <f>0.4*M9*M45*M17/1000</f>
        <v>42.24</v>
      </c>
    </row>
    <row r="51" spans="1:13" s="71" customFormat="1" ht="37.5" customHeight="1">
      <c r="A51" s="66" t="s">
        <v>586</v>
      </c>
      <c r="B51" s="244" t="s">
        <v>590</v>
      </c>
      <c r="C51" s="67"/>
      <c r="D51" s="67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s="71" customFormat="1" ht="37.5" customHeight="1">
      <c r="A52" s="63"/>
      <c r="B52" s="246" t="s">
        <v>674</v>
      </c>
      <c r="C52" s="61" t="s">
        <v>2</v>
      </c>
      <c r="D52" s="62" t="s">
        <v>559</v>
      </c>
      <c r="E52" s="192">
        <f>SQRT((E33*(E16+2+0.5*E11)/(E45*E45/3))^2+(E32/E45/2)^2)</f>
        <v>0.398687759208808</v>
      </c>
      <c r="F52" s="192">
        <f aca="true" t="shared" si="24" ref="F52:M52">SQRT((F33*(F16+2+0.5*F11)/(F45*F45/3))^2+(F32/F45/2)^2)</f>
        <v>0.39414333661245615</v>
      </c>
      <c r="G52" s="192">
        <f t="shared" si="24"/>
        <v>0.4051362494935924</v>
      </c>
      <c r="H52" s="192">
        <f t="shared" si="24"/>
        <v>0.4343275449560085</v>
      </c>
      <c r="I52" s="192">
        <f t="shared" si="24"/>
        <v>0.26715929003987493</v>
      </c>
      <c r="J52" s="192">
        <f t="shared" si="24"/>
        <v>0.40227629439385315</v>
      </c>
      <c r="K52" s="192">
        <f t="shared" si="24"/>
        <v>0.3915285769112245</v>
      </c>
      <c r="L52" s="192">
        <f t="shared" si="24"/>
        <v>0.42552971732618344</v>
      </c>
      <c r="M52" s="192">
        <f t="shared" si="24"/>
        <v>0.4844157646398255</v>
      </c>
    </row>
    <row r="53" spans="1:13" s="57" customFormat="1" ht="37.5" customHeight="1">
      <c r="A53" s="55"/>
      <c r="B53" s="247" t="s">
        <v>557</v>
      </c>
      <c r="C53" s="56" t="s">
        <v>2</v>
      </c>
      <c r="D53" s="55" t="s">
        <v>559</v>
      </c>
      <c r="E53" s="185">
        <f aca="true" t="shared" si="25" ref="E53:L53">0.3*0.707*4900*E18/1000</f>
        <v>0.623574</v>
      </c>
      <c r="F53" s="185">
        <f t="shared" si="25"/>
        <v>0.623574</v>
      </c>
      <c r="G53" s="185">
        <f t="shared" si="25"/>
        <v>0.623574</v>
      </c>
      <c r="H53" s="185">
        <f t="shared" si="25"/>
        <v>0.623574</v>
      </c>
      <c r="I53" s="185">
        <f t="shared" si="25"/>
        <v>0.623574</v>
      </c>
      <c r="J53" s="185">
        <f t="shared" si="25"/>
        <v>0.623574</v>
      </c>
      <c r="K53" s="185">
        <f t="shared" si="25"/>
        <v>0.623574</v>
      </c>
      <c r="L53" s="185">
        <f t="shared" si="25"/>
        <v>0.8314320000000001</v>
      </c>
      <c r="M53" s="185">
        <f>0.3*0.707*4900*M18/1000</f>
        <v>0.8314320000000001</v>
      </c>
    </row>
    <row r="54" spans="1:13" s="57" customFormat="1" ht="37.5" customHeight="1">
      <c r="A54" s="72" t="s">
        <v>587</v>
      </c>
      <c r="B54" s="248" t="s">
        <v>562</v>
      </c>
      <c r="C54" s="74"/>
      <c r="D54" s="74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3" s="57" customFormat="1" ht="37.5" customHeight="1">
      <c r="A55" s="63"/>
      <c r="B55" s="246" t="s">
        <v>563</v>
      </c>
      <c r="C55" s="61" t="s">
        <v>2</v>
      </c>
      <c r="D55" s="62" t="s">
        <v>533</v>
      </c>
      <c r="E55" s="186">
        <f aca="true" t="shared" si="26" ref="E55:L55">0.4*E9*(E20/10)*(E22/10)/1000</f>
        <v>10.56</v>
      </c>
      <c r="F55" s="186">
        <f t="shared" si="26"/>
        <v>14.4</v>
      </c>
      <c r="G55" s="186">
        <f t="shared" si="26"/>
        <v>18.72</v>
      </c>
      <c r="H55" s="186">
        <f t="shared" si="26"/>
        <v>22.5792</v>
      </c>
      <c r="I55" s="186">
        <f t="shared" si="26"/>
        <v>23.52</v>
      </c>
      <c r="J55" s="186">
        <f t="shared" si="26"/>
        <v>30.72</v>
      </c>
      <c r="K55" s="186">
        <f t="shared" si="26"/>
        <v>38.88</v>
      </c>
      <c r="L55" s="186">
        <f t="shared" si="26"/>
        <v>48</v>
      </c>
      <c r="M55" s="186">
        <f>0.4*M9*(M20/10)*(M22/10)/1000</f>
        <v>63.36000000000001</v>
      </c>
    </row>
    <row r="56" spans="1:13" s="57" customFormat="1" ht="37.5" customHeight="1">
      <c r="A56" s="55"/>
      <c r="B56" s="246" t="s">
        <v>564</v>
      </c>
      <c r="C56" s="61" t="s">
        <v>2</v>
      </c>
      <c r="D56" s="62" t="s">
        <v>533</v>
      </c>
      <c r="E56" s="194">
        <f aca="true" t="shared" si="27" ref="E56:L56">0.3*4000*(0.1*E20-E14*(E13+0.2))*(E22/10)/1000</f>
        <v>10.296</v>
      </c>
      <c r="F56" s="194">
        <f t="shared" si="27"/>
        <v>13.248</v>
      </c>
      <c r="G56" s="194">
        <f t="shared" si="27"/>
        <v>18.252</v>
      </c>
      <c r="H56" s="194">
        <f t="shared" si="27"/>
        <v>21.888</v>
      </c>
      <c r="I56" s="194">
        <f t="shared" si="27"/>
        <v>22.008</v>
      </c>
      <c r="J56" s="194">
        <f t="shared" si="27"/>
        <v>27.84</v>
      </c>
      <c r="K56" s="194">
        <f t="shared" si="27"/>
        <v>34.344</v>
      </c>
      <c r="L56" s="194">
        <f t="shared" si="27"/>
        <v>44.16</v>
      </c>
      <c r="M56" s="194">
        <f>0.3*4000*(0.1*M20-M14*(M13+0.2))*(M22/10)/1000</f>
        <v>58.872</v>
      </c>
    </row>
    <row r="57" spans="1:13" s="57" customFormat="1" ht="37.5" customHeight="1">
      <c r="A57" s="75" t="s">
        <v>588</v>
      </c>
      <c r="B57" s="249" t="s">
        <v>565</v>
      </c>
      <c r="C57" s="77"/>
      <c r="D57" s="78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 s="71" customFormat="1" ht="37.5" customHeight="1">
      <c r="A58" s="55"/>
      <c r="B58" s="241" t="s">
        <v>666</v>
      </c>
      <c r="C58" s="61" t="s">
        <v>2</v>
      </c>
      <c r="D58" s="62" t="s">
        <v>566</v>
      </c>
      <c r="E58" s="197">
        <f aca="true" t="shared" si="28" ref="E58:M58">E33/E14</f>
        <v>0.95</v>
      </c>
      <c r="F58" s="197">
        <f t="shared" si="28"/>
        <v>1.2666666666666666</v>
      </c>
      <c r="G58" s="197">
        <f t="shared" si="28"/>
        <v>1.2666666666666666</v>
      </c>
      <c r="H58" s="197">
        <f t="shared" si="28"/>
        <v>1.0666666666666667</v>
      </c>
      <c r="I58" s="197">
        <f t="shared" si="28"/>
        <v>1.25</v>
      </c>
      <c r="J58" s="197">
        <f t="shared" si="28"/>
        <v>1.5</v>
      </c>
      <c r="K58" s="197">
        <f t="shared" si="28"/>
        <v>1.6666666666666667</v>
      </c>
      <c r="L58" s="197">
        <f t="shared" si="28"/>
        <v>1.6666666666666667</v>
      </c>
      <c r="M58" s="197">
        <f t="shared" si="28"/>
        <v>2.142857142857143</v>
      </c>
    </row>
    <row r="59" spans="1:13" s="71" customFormat="1" ht="37.5" customHeight="1">
      <c r="A59" s="55"/>
      <c r="B59" s="241" t="s">
        <v>573</v>
      </c>
      <c r="C59" s="61" t="s">
        <v>2</v>
      </c>
      <c r="D59" s="62" t="s">
        <v>528</v>
      </c>
      <c r="E59" s="197">
        <f>E33*(E16+2+0.5*E11)/100</f>
        <v>0.2565</v>
      </c>
      <c r="F59" s="197">
        <f aca="true" t="shared" si="29" ref="F59:L59">F33*(F16+2+0.5*F11)/100</f>
        <v>0.513</v>
      </c>
      <c r="G59" s="197">
        <f t="shared" si="29"/>
        <v>0.513</v>
      </c>
      <c r="H59" s="197">
        <f t="shared" si="29"/>
        <v>0.512</v>
      </c>
      <c r="I59" s="197">
        <f t="shared" si="29"/>
        <v>0.8</v>
      </c>
      <c r="J59" s="197">
        <f t="shared" si="29"/>
        <v>1.2</v>
      </c>
      <c r="K59" s="197">
        <f t="shared" si="29"/>
        <v>1.6</v>
      </c>
      <c r="L59" s="197">
        <f t="shared" si="29"/>
        <v>1.6</v>
      </c>
      <c r="M59" s="197">
        <f>M33*(M16+2+0.5*M11)/100</f>
        <v>2.4</v>
      </c>
    </row>
    <row r="60" spans="1:13" s="71" customFormat="1" ht="37.5" customHeight="1">
      <c r="A60" s="55"/>
      <c r="B60" s="241" t="s">
        <v>574</v>
      </c>
      <c r="C60" s="61" t="s">
        <v>2</v>
      </c>
      <c r="D60" s="62" t="s">
        <v>566</v>
      </c>
      <c r="E60" s="197">
        <f>E59*'Torsion coeff1 '!B21*100</f>
        <v>4.2749999999999995</v>
      </c>
      <c r="F60" s="197">
        <f>F59*'Torsion coeff1 '!D21*100</f>
        <v>4.2749999999999995</v>
      </c>
      <c r="G60" s="197">
        <f>G59*'Torsion coeff1 '!D21*100</f>
        <v>4.2749999999999995</v>
      </c>
      <c r="H60" s="197">
        <f>H59*'Torsion coeff1 '!D21*100</f>
        <v>4.266666666666667</v>
      </c>
      <c r="I60" s="197">
        <f>I59*'Torsion coeff1 '!F21*100</f>
        <v>4.000000000000001</v>
      </c>
      <c r="J60" s="197">
        <f>J59*'Torsion coeff1 '!H21*100</f>
        <v>4</v>
      </c>
      <c r="K60" s="197">
        <f>K59*'Torsion coeff1 '!J21*100</f>
        <v>3.8095238095238098</v>
      </c>
      <c r="L60" s="197">
        <f>L59*'Torsion coeff1 '!J21*100</f>
        <v>3.8095238095238098</v>
      </c>
      <c r="M60" s="197">
        <f>M59*'Torsion coeff1 '!L21*100</f>
        <v>4.285714285714285</v>
      </c>
    </row>
    <row r="61" spans="1:13" s="57" customFormat="1" ht="37.5" customHeight="1">
      <c r="A61" s="55"/>
      <c r="B61" s="241" t="s">
        <v>572</v>
      </c>
      <c r="C61" s="61" t="s">
        <v>2</v>
      </c>
      <c r="D61" s="62" t="s">
        <v>566</v>
      </c>
      <c r="E61" s="197">
        <v>0</v>
      </c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</row>
    <row r="62" spans="1:13" s="57" customFormat="1" ht="37.5" customHeight="1">
      <c r="A62" s="55"/>
      <c r="B62" s="241" t="s">
        <v>575</v>
      </c>
      <c r="C62" s="61" t="s">
        <v>2</v>
      </c>
      <c r="D62" s="62" t="s">
        <v>566</v>
      </c>
      <c r="E62" s="201">
        <f aca="true" t="shared" si="30" ref="E62:K62">SQRT(E58*E58+E60*E60)</f>
        <v>4.379283617214121</v>
      </c>
      <c r="F62" s="201">
        <f t="shared" si="30"/>
        <v>4.458707149437428</v>
      </c>
      <c r="G62" s="201">
        <f t="shared" si="30"/>
        <v>4.458707149437428</v>
      </c>
      <c r="H62" s="201">
        <f t="shared" si="30"/>
        <v>4.397979333992171</v>
      </c>
      <c r="I62" s="201">
        <f t="shared" si="30"/>
        <v>4.190763653560054</v>
      </c>
      <c r="J62" s="201">
        <f t="shared" si="30"/>
        <v>4.272001872658765</v>
      </c>
      <c r="K62" s="201">
        <f t="shared" si="30"/>
        <v>4.158154570612615</v>
      </c>
      <c r="L62" s="201">
        <f>SQRT(L58*L58+L60*L60)</f>
        <v>4.158154570612615</v>
      </c>
      <c r="M62" s="201">
        <f>SQRT(M58*M58+M60*M60)</f>
        <v>4.791574237499549</v>
      </c>
    </row>
    <row r="63" spans="1:13" s="57" customFormat="1" ht="37.5" customHeight="1">
      <c r="A63" s="55"/>
      <c r="B63" s="241" t="s">
        <v>576</v>
      </c>
      <c r="C63" s="61" t="s">
        <v>2</v>
      </c>
      <c r="D63" s="62" t="s">
        <v>566</v>
      </c>
      <c r="E63" s="197">
        <f aca="true" t="shared" si="31" ref="E63:L63">1.45*(3.14*E13*E13/4)</f>
        <v>4.553</v>
      </c>
      <c r="F63" s="197">
        <f t="shared" si="31"/>
        <v>4.553</v>
      </c>
      <c r="G63" s="197">
        <f t="shared" si="31"/>
        <v>4.553</v>
      </c>
      <c r="H63" s="197">
        <f t="shared" si="31"/>
        <v>4.553</v>
      </c>
      <c r="I63" s="197">
        <f t="shared" si="31"/>
        <v>4.553</v>
      </c>
      <c r="J63" s="197">
        <f t="shared" si="31"/>
        <v>4.553</v>
      </c>
      <c r="K63" s="197">
        <f t="shared" si="31"/>
        <v>4.553</v>
      </c>
      <c r="L63" s="197">
        <f t="shared" si="31"/>
        <v>4.553</v>
      </c>
      <c r="M63" s="197">
        <f>1.45*(3.14*M13*M13/4)</f>
        <v>4.553</v>
      </c>
    </row>
    <row r="64" spans="1:13" s="37" customFormat="1" ht="14.25">
      <c r="A64" s="38"/>
      <c r="B64" s="38"/>
      <c r="C64" s="39"/>
      <c r="D64" s="38"/>
      <c r="E64" s="39"/>
      <c r="F64" s="38"/>
      <c r="G64" s="38"/>
      <c r="H64" s="38"/>
      <c r="I64" s="38"/>
      <c r="J64" s="38"/>
      <c r="K64" s="38"/>
      <c r="L64" s="38"/>
      <c r="M64" s="38"/>
    </row>
    <row r="65" spans="1:13" s="37" customFormat="1" ht="14.25">
      <c r="A65" s="38"/>
      <c r="B65" s="38"/>
      <c r="C65" s="39"/>
      <c r="D65" s="40"/>
      <c r="E65" s="41"/>
      <c r="F65" s="38"/>
      <c r="G65" s="38"/>
      <c r="H65" s="38"/>
      <c r="I65" s="38"/>
      <c r="J65" s="38"/>
      <c r="K65" s="38"/>
      <c r="L65" s="38"/>
      <c r="M65" s="38"/>
    </row>
    <row r="66" spans="1:13" s="37" customFormat="1" ht="14.25">
      <c r="A66" s="38"/>
      <c r="B66" s="38"/>
      <c r="C66" s="38"/>
      <c r="D66" s="38"/>
      <c r="E66" s="39"/>
      <c r="F66" s="38"/>
      <c r="G66" s="38"/>
      <c r="H66" s="38"/>
      <c r="I66" s="38"/>
      <c r="J66" s="38"/>
      <c r="K66" s="38"/>
      <c r="L66" s="38"/>
      <c r="M66" s="38"/>
    </row>
    <row r="67" spans="1:13" s="37" customFormat="1" ht="14.25">
      <c r="A67" s="38"/>
      <c r="B67" s="42"/>
      <c r="C67" s="43"/>
      <c r="D67" s="42"/>
      <c r="E67" s="43"/>
      <c r="F67" s="38"/>
      <c r="G67" s="38"/>
      <c r="H67" s="38"/>
      <c r="I67" s="38"/>
      <c r="J67" s="38"/>
      <c r="K67" s="38"/>
      <c r="L67" s="38"/>
      <c r="M67" s="38"/>
    </row>
    <row r="68" spans="1:13" s="37" customFormat="1" ht="14.25">
      <c r="A68" s="38"/>
      <c r="B68" s="38"/>
      <c r="C68" s="38"/>
      <c r="D68" s="38"/>
      <c r="E68" s="39"/>
      <c r="F68" s="38"/>
      <c r="G68" s="38"/>
      <c r="H68" s="38"/>
      <c r="I68" s="38"/>
      <c r="J68" s="38"/>
      <c r="K68" s="38"/>
      <c r="L68" s="38"/>
      <c r="M68" s="38"/>
    </row>
    <row r="69" spans="1:13" s="37" customFormat="1" ht="14.25">
      <c r="A69" s="38"/>
      <c r="B69" s="38"/>
      <c r="C69" s="38"/>
      <c r="D69" s="38"/>
      <c r="E69" s="39"/>
      <c r="F69" s="38"/>
      <c r="G69" s="38"/>
      <c r="H69" s="38"/>
      <c r="I69" s="38"/>
      <c r="J69" s="38"/>
      <c r="K69" s="38"/>
      <c r="L69" s="38"/>
      <c r="M69" s="38"/>
    </row>
    <row r="70" spans="1:13" s="37" customFormat="1" ht="14.25">
      <c r="A70" s="38"/>
      <c r="B70" s="38"/>
      <c r="C70" s="38"/>
      <c r="D70" s="38"/>
      <c r="E70" s="39"/>
      <c r="F70" s="38"/>
      <c r="G70" s="38"/>
      <c r="H70" s="38"/>
      <c r="I70" s="38"/>
      <c r="J70" s="38"/>
      <c r="K70" s="38"/>
      <c r="L70" s="38"/>
      <c r="M70" s="38"/>
    </row>
    <row r="71" spans="1:13" s="37" customFormat="1" ht="14.25">
      <c r="A71" s="38"/>
      <c r="B71" s="38"/>
      <c r="C71" s="38"/>
      <c r="D71" s="38"/>
      <c r="E71" s="39"/>
      <c r="F71" s="38"/>
      <c r="G71" s="38"/>
      <c r="H71" s="38"/>
      <c r="I71" s="38"/>
      <c r="J71" s="38"/>
      <c r="K71" s="38"/>
      <c r="L71" s="38"/>
      <c r="M71" s="38"/>
    </row>
    <row r="72" spans="1:13" s="37" customFormat="1" ht="14.25">
      <c r="A72" s="38"/>
      <c r="B72" s="38"/>
      <c r="C72" s="38"/>
      <c r="D72" s="38"/>
      <c r="E72" s="39"/>
      <c r="F72" s="38"/>
      <c r="G72" s="38"/>
      <c r="H72" s="38"/>
      <c r="I72" s="38"/>
      <c r="J72" s="38"/>
      <c r="K72" s="38"/>
      <c r="L72" s="38"/>
      <c r="M72" s="38"/>
    </row>
    <row r="73" spans="1:13" s="37" customFormat="1" ht="14.25">
      <c r="A73" s="38"/>
      <c r="B73" s="38"/>
      <c r="C73" s="38"/>
      <c r="D73" s="38"/>
      <c r="E73" s="39"/>
      <c r="F73" s="38"/>
      <c r="G73" s="38"/>
      <c r="H73" s="38"/>
      <c r="I73" s="38"/>
      <c r="J73" s="38"/>
      <c r="K73" s="38"/>
      <c r="L73" s="38"/>
      <c r="M73" s="38"/>
    </row>
    <row r="74" spans="1:13" s="37" customFormat="1" ht="14.25">
      <c r="A74" s="38"/>
      <c r="B74" s="38"/>
      <c r="C74" s="38"/>
      <c r="D74" s="38"/>
      <c r="E74" s="39"/>
      <c r="F74" s="38"/>
      <c r="G74" s="38"/>
      <c r="H74" s="38"/>
      <c r="I74" s="38"/>
      <c r="J74" s="38"/>
      <c r="K74" s="38"/>
      <c r="L74" s="38"/>
      <c r="M74" s="38"/>
    </row>
    <row r="75" spans="1:13" s="37" customFormat="1" ht="14.25">
      <c r="A75" s="38"/>
      <c r="B75" s="38"/>
      <c r="C75" s="38"/>
      <c r="D75" s="38"/>
      <c r="E75" s="39"/>
      <c r="F75" s="38"/>
      <c r="G75" s="38"/>
      <c r="H75" s="38"/>
      <c r="I75" s="38"/>
      <c r="J75" s="38"/>
      <c r="K75" s="38"/>
      <c r="L75" s="38"/>
      <c r="M75" s="38"/>
    </row>
    <row r="76" spans="1:13" s="37" customFormat="1" ht="14.25">
      <c r="A76" s="38"/>
      <c r="B76" s="38"/>
      <c r="C76" s="38"/>
      <c r="D76" s="38"/>
      <c r="E76" s="39"/>
      <c r="F76" s="38"/>
      <c r="G76" s="38"/>
      <c r="H76" s="38"/>
      <c r="I76" s="38"/>
      <c r="J76" s="38"/>
      <c r="K76" s="38"/>
      <c r="L76" s="38"/>
      <c r="M76" s="38"/>
    </row>
    <row r="77" spans="1:13" s="37" customFormat="1" ht="14.25">
      <c r="A77" s="38"/>
      <c r="B77" s="38"/>
      <c r="C77" s="38"/>
      <c r="D77" s="38"/>
      <c r="E77" s="39"/>
      <c r="F77" s="38"/>
      <c r="G77" s="38"/>
      <c r="H77" s="38"/>
      <c r="I77" s="38"/>
      <c r="J77" s="38"/>
      <c r="K77" s="38"/>
      <c r="L77" s="38"/>
      <c r="M77" s="38"/>
    </row>
    <row r="78" spans="1:13" s="37" customFormat="1" ht="14.25">
      <c r="A78" s="38"/>
      <c r="B78" s="38"/>
      <c r="C78" s="38"/>
      <c r="D78" s="38"/>
      <c r="E78" s="39"/>
      <c r="F78" s="38"/>
      <c r="G78" s="38"/>
      <c r="H78" s="38"/>
      <c r="I78" s="38"/>
      <c r="J78" s="38"/>
      <c r="K78" s="38"/>
      <c r="L78" s="38"/>
      <c r="M78" s="38"/>
    </row>
    <row r="79" spans="1:13" s="37" customFormat="1" ht="14.25">
      <c r="A79" s="38"/>
      <c r="B79" s="38"/>
      <c r="C79" s="38"/>
      <c r="D79" s="38"/>
      <c r="E79" s="39"/>
      <c r="F79" s="38"/>
      <c r="G79" s="38"/>
      <c r="H79" s="38"/>
      <c r="I79" s="38"/>
      <c r="J79" s="38"/>
      <c r="K79" s="38"/>
      <c r="L79" s="38"/>
      <c r="M79" s="38"/>
    </row>
    <row r="80" spans="1:13" s="37" customFormat="1" ht="14.25">
      <c r="A80" s="38"/>
      <c r="B80" s="38"/>
      <c r="C80" s="38"/>
      <c r="D80" s="38"/>
      <c r="E80" s="39"/>
      <c r="F80" s="38"/>
      <c r="G80" s="38"/>
      <c r="H80" s="38"/>
      <c r="I80" s="38"/>
      <c r="J80" s="38"/>
      <c r="K80" s="38"/>
      <c r="L80" s="38"/>
      <c r="M80" s="38"/>
    </row>
    <row r="81" spans="1:13" s="37" customFormat="1" ht="14.25">
      <c r="A81" s="38"/>
      <c r="B81" s="38"/>
      <c r="C81" s="38"/>
      <c r="D81" s="38"/>
      <c r="E81" s="39"/>
      <c r="F81" s="38"/>
      <c r="G81" s="38"/>
      <c r="H81" s="38"/>
      <c r="I81" s="38"/>
      <c r="J81" s="38"/>
      <c r="K81" s="38"/>
      <c r="L81" s="38"/>
      <c r="M81" s="38"/>
    </row>
    <row r="82" spans="1:13" s="37" customFormat="1" ht="14.25">
      <c r="A82" s="38"/>
      <c r="B82" s="38"/>
      <c r="C82" s="38"/>
      <c r="D82" s="38"/>
      <c r="E82" s="39"/>
      <c r="F82" s="38"/>
      <c r="G82" s="38"/>
      <c r="H82" s="38"/>
      <c r="I82" s="38"/>
      <c r="J82" s="38"/>
      <c r="K82" s="38"/>
      <c r="L82" s="38"/>
      <c r="M82" s="38"/>
    </row>
    <row r="83" spans="1:13" s="37" customFormat="1" ht="14.25">
      <c r="A83" s="38"/>
      <c r="B83" s="38"/>
      <c r="C83" s="38"/>
      <c r="D83" s="38"/>
      <c r="E83" s="39"/>
      <c r="F83" s="38"/>
      <c r="G83" s="38"/>
      <c r="H83" s="38"/>
      <c r="I83" s="38"/>
      <c r="J83" s="38"/>
      <c r="K83" s="38"/>
      <c r="L83" s="38"/>
      <c r="M83" s="38"/>
    </row>
    <row r="84" s="37" customFormat="1" ht="14.25">
      <c r="E84" s="44"/>
    </row>
    <row r="85" s="37" customFormat="1" ht="14.25">
      <c r="E85" s="44"/>
    </row>
    <row r="86" s="37" customFormat="1" ht="14.25">
      <c r="E86" s="44"/>
    </row>
    <row r="87" s="37" customFormat="1" ht="14.25">
      <c r="E87" s="44"/>
    </row>
    <row r="88" s="37" customFormat="1" ht="14.25">
      <c r="E88" s="44"/>
    </row>
    <row r="89" s="37" customFormat="1" ht="14.25">
      <c r="E89" s="44"/>
    </row>
    <row r="90" s="37" customFormat="1" ht="14.25">
      <c r="E90" s="44"/>
    </row>
    <row r="91" s="37" customFormat="1" ht="14.25">
      <c r="E91" s="44"/>
    </row>
    <row r="92" s="37" customFormat="1" ht="14.25">
      <c r="E92" s="44"/>
    </row>
    <row r="93" s="37" customFormat="1" ht="14.25">
      <c r="E93" s="44"/>
    </row>
    <row r="94" s="37" customFormat="1" ht="14.25">
      <c r="E94" s="44"/>
    </row>
    <row r="95" s="37" customFormat="1" ht="14.25">
      <c r="E95" s="44"/>
    </row>
    <row r="96" s="37" customFormat="1" ht="14.25">
      <c r="E96" s="44"/>
    </row>
    <row r="97" s="37" customFormat="1" ht="14.25">
      <c r="E97" s="44"/>
    </row>
    <row r="98" s="37" customFormat="1" ht="14.25">
      <c r="E98" s="44"/>
    </row>
    <row r="99" s="37" customFormat="1" ht="14.25">
      <c r="E99" s="44"/>
    </row>
    <row r="100" s="37" customFormat="1" ht="14.25">
      <c r="E100" s="44"/>
    </row>
    <row r="101" s="37" customFormat="1" ht="14.25">
      <c r="E101" s="44"/>
    </row>
    <row r="102" s="37" customFormat="1" ht="14.25">
      <c r="E102" s="44"/>
    </row>
    <row r="103" s="37" customFormat="1" ht="14.25">
      <c r="E103" s="44"/>
    </row>
    <row r="104" s="37" customFormat="1" ht="14.25">
      <c r="E104" s="44"/>
    </row>
    <row r="105" s="37" customFormat="1" ht="14.25">
      <c r="E105" s="44"/>
    </row>
    <row r="106" s="37" customFormat="1" ht="14.25">
      <c r="E106" s="44"/>
    </row>
    <row r="107" s="37" customFormat="1" ht="14.25">
      <c r="E107" s="44"/>
    </row>
    <row r="108" s="37" customFormat="1" ht="14.25">
      <c r="E108" s="44"/>
    </row>
    <row r="109" s="37" customFormat="1" ht="14.25">
      <c r="E109" s="44"/>
    </row>
    <row r="110" s="37" customFormat="1" ht="14.25">
      <c r="E110" s="44"/>
    </row>
    <row r="111" s="37" customFormat="1" ht="14.25">
      <c r="E111" s="44"/>
    </row>
    <row r="112" s="37" customFormat="1" ht="14.25">
      <c r="E112" s="44"/>
    </row>
    <row r="113" s="37" customFormat="1" ht="14.25">
      <c r="E113" s="44"/>
    </row>
    <row r="114" s="37" customFormat="1" ht="14.25">
      <c r="E114" s="44"/>
    </row>
    <row r="115" s="37" customFormat="1" ht="14.25">
      <c r="E115" s="44"/>
    </row>
    <row r="116" s="37" customFormat="1" ht="14.25">
      <c r="E116" s="44"/>
    </row>
    <row r="117" s="37" customFormat="1" ht="14.25">
      <c r="E117" s="44"/>
    </row>
    <row r="118" s="37" customFormat="1" ht="14.25">
      <c r="E118" s="44"/>
    </row>
    <row r="119" s="37" customFormat="1" ht="14.25">
      <c r="E119" s="44"/>
    </row>
    <row r="120" s="37" customFormat="1" ht="14.25">
      <c r="E120" s="44"/>
    </row>
    <row r="121" s="37" customFormat="1" ht="14.25">
      <c r="E121" s="44"/>
    </row>
    <row r="122" s="37" customFormat="1" ht="14.25">
      <c r="E122" s="44"/>
    </row>
    <row r="123" s="37" customFormat="1" ht="14.25">
      <c r="E123" s="44"/>
    </row>
  </sheetData>
  <dataValidations count="1">
    <dataValidation type="list" allowBlank="1" showInputMessage="1" showErrorMessage="1" sqref="E8:M8">
      <formula1>st_name</formula1>
    </dataValidation>
  </dataValidations>
  <printOptions/>
  <pageMargins left="0.94" right="0.41" top="0.49" bottom="0.33" header="0.33" footer="0.25"/>
  <pageSetup fitToHeight="1" fitToWidth="1" horizontalDpi="600" verticalDpi="600" orientation="landscape" paperSize="9" scale="2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P125"/>
  <sheetViews>
    <sheetView zoomScale="50" zoomScaleNormal="50" workbookViewId="0" topLeftCell="A44">
      <selection activeCell="E62" sqref="E62"/>
    </sheetView>
  </sheetViews>
  <sheetFormatPr defaultColWidth="9.140625" defaultRowHeight="21.75"/>
  <cols>
    <col min="1" max="1" width="4.7109375" style="6" customWidth="1"/>
    <col min="2" max="2" width="73.140625" style="6" customWidth="1"/>
    <col min="3" max="3" width="4.7109375" style="6" bestFit="1" customWidth="1"/>
    <col min="4" max="4" width="18.57421875" style="6" customWidth="1"/>
    <col min="5" max="5" width="44.7109375" style="7" customWidth="1"/>
    <col min="6" max="8" width="44.7109375" style="6" customWidth="1"/>
    <col min="9" max="9" width="46.57421875" style="6" customWidth="1"/>
    <col min="10" max="15" width="44.7109375" style="6" customWidth="1"/>
    <col min="16" max="16" width="8.7109375" style="6" customWidth="1"/>
    <col min="17" max="17" width="26.28125" style="6" bestFit="1" customWidth="1"/>
    <col min="18" max="18" width="20.8515625" style="6" bestFit="1" customWidth="1"/>
    <col min="19" max="19" width="10.140625" style="6" bestFit="1" customWidth="1"/>
    <col min="20" max="20" width="26.8515625" style="6" bestFit="1" customWidth="1"/>
    <col min="21" max="21" width="20.8515625" style="6" bestFit="1" customWidth="1"/>
    <col min="22" max="22" width="8.7109375" style="6" customWidth="1"/>
    <col min="23" max="23" width="26.8515625" style="6" bestFit="1" customWidth="1"/>
    <col min="24" max="24" width="22.421875" style="6" bestFit="1" customWidth="1"/>
    <col min="25" max="25" width="8.7109375" style="6" customWidth="1"/>
    <col min="26" max="26" width="28.28125" style="6" bestFit="1" customWidth="1"/>
    <col min="27" max="27" width="19.28125" style="6" bestFit="1" customWidth="1"/>
    <col min="28" max="28" width="9.140625" style="6" customWidth="1"/>
    <col min="29" max="29" width="25.140625" style="6" bestFit="1" customWidth="1"/>
    <col min="30" max="30" width="20.28125" style="6" bestFit="1" customWidth="1"/>
    <col min="31" max="31" width="9.140625" style="6" customWidth="1"/>
    <col min="32" max="32" width="26.28125" style="6" bestFit="1" customWidth="1"/>
    <col min="33" max="33" width="20.57421875" style="6" bestFit="1" customWidth="1"/>
    <col min="34" max="34" width="7.7109375" style="6" customWidth="1"/>
    <col min="35" max="35" width="26.57421875" style="6" bestFit="1" customWidth="1"/>
    <col min="36" max="36" width="19.57421875" style="6" bestFit="1" customWidth="1"/>
    <col min="37" max="37" width="7.7109375" style="6" customWidth="1"/>
    <col min="38" max="38" width="25.57421875" style="6" bestFit="1" customWidth="1"/>
    <col min="39" max="39" width="19.57421875" style="6" bestFit="1" customWidth="1"/>
    <col min="40" max="40" width="9.140625" style="6" customWidth="1"/>
    <col min="41" max="41" width="25.57421875" style="6" bestFit="1" customWidth="1"/>
    <col min="42" max="42" width="18.140625" style="6" bestFit="1" customWidth="1"/>
    <col min="43" max="43" width="7.7109375" style="6" customWidth="1"/>
    <col min="44" max="44" width="24.00390625" style="6" bestFit="1" customWidth="1"/>
    <col min="45" max="45" width="19.57421875" style="6" bestFit="1" customWidth="1"/>
    <col min="46" max="46" width="7.7109375" style="6" customWidth="1"/>
    <col min="47" max="47" width="25.57421875" style="6" bestFit="1" customWidth="1"/>
    <col min="48" max="48" width="19.57421875" style="6" bestFit="1" customWidth="1"/>
    <col min="49" max="49" width="9.140625" style="6" customWidth="1"/>
    <col min="50" max="50" width="25.57421875" style="6" bestFit="1" customWidth="1"/>
    <col min="51" max="51" width="19.57421875" style="6" bestFit="1" customWidth="1"/>
    <col min="52" max="52" width="7.7109375" style="6" customWidth="1"/>
    <col min="53" max="53" width="25.57421875" style="6" bestFit="1" customWidth="1"/>
    <col min="54" max="54" width="19.57421875" style="6" bestFit="1" customWidth="1"/>
    <col min="55" max="55" width="7.7109375" style="6" customWidth="1"/>
    <col min="56" max="56" width="25.57421875" style="6" bestFit="1" customWidth="1"/>
    <col min="57" max="57" width="19.57421875" style="6" bestFit="1" customWidth="1"/>
    <col min="58" max="58" width="8.7109375" style="6" customWidth="1"/>
    <col min="59" max="59" width="25.57421875" style="6" bestFit="1" customWidth="1"/>
    <col min="60" max="60" width="19.57421875" style="6" bestFit="1" customWidth="1"/>
    <col min="61" max="61" width="7.7109375" style="6" customWidth="1"/>
    <col min="62" max="62" width="25.57421875" style="6" bestFit="1" customWidth="1"/>
    <col min="63" max="63" width="19.57421875" style="6" bestFit="1" customWidth="1"/>
    <col min="64" max="64" width="8.7109375" style="6" customWidth="1"/>
    <col min="65" max="65" width="25.57421875" style="6" bestFit="1" customWidth="1"/>
    <col min="66" max="66" width="19.57421875" style="6" bestFit="1" customWidth="1"/>
    <col min="67" max="67" width="8.7109375" style="6" customWidth="1"/>
    <col min="68" max="68" width="25.57421875" style="6" bestFit="1" customWidth="1"/>
    <col min="69" max="69" width="20.140625" style="6" bestFit="1" customWidth="1"/>
    <col min="70" max="70" width="10.140625" style="6" bestFit="1" customWidth="1"/>
    <col min="71" max="71" width="26.140625" style="6" bestFit="1" customWidth="1"/>
    <col min="72" max="72" width="20.140625" style="6" bestFit="1" customWidth="1"/>
    <col min="73" max="73" width="8.7109375" style="6" customWidth="1"/>
    <col min="74" max="74" width="26.140625" style="6" bestFit="1" customWidth="1"/>
    <col min="75" max="75" width="21.7109375" style="6" bestFit="1" customWidth="1"/>
    <col min="76" max="76" width="8.7109375" style="6" customWidth="1"/>
    <col min="77" max="77" width="27.57421875" style="6" bestFit="1" customWidth="1"/>
    <col min="78" max="78" width="18.57421875" style="6" bestFit="1" customWidth="1"/>
    <col min="79" max="79" width="7.7109375" style="6" customWidth="1"/>
    <col min="80" max="80" width="24.421875" style="6" bestFit="1" customWidth="1"/>
    <col min="81" max="81" width="19.57421875" style="6" bestFit="1" customWidth="1"/>
    <col min="82" max="82" width="7.7109375" style="6" customWidth="1"/>
    <col min="83" max="83" width="25.57421875" style="6" bestFit="1" customWidth="1"/>
    <col min="84" max="84" width="19.7109375" style="6" bestFit="1" customWidth="1"/>
    <col min="85" max="85" width="7.7109375" style="6" customWidth="1"/>
    <col min="86" max="86" width="25.7109375" style="6" bestFit="1" customWidth="1"/>
    <col min="87" max="87" width="19.7109375" style="6" bestFit="1" customWidth="1"/>
    <col min="88" max="88" width="8.7109375" style="6" customWidth="1"/>
    <col min="89" max="89" width="25.7109375" style="6" bestFit="1" customWidth="1"/>
    <col min="90" max="90" width="19.7109375" style="6" bestFit="1" customWidth="1"/>
    <col min="91" max="91" width="8.7109375" style="6" customWidth="1"/>
    <col min="92" max="92" width="25.7109375" style="6" bestFit="1" customWidth="1"/>
    <col min="93" max="93" width="19.7109375" style="6" bestFit="1" customWidth="1"/>
    <col min="94" max="94" width="8.7109375" style="6" customWidth="1"/>
    <col min="95" max="95" width="25.7109375" style="6" bestFit="1" customWidth="1"/>
    <col min="96" max="96" width="19.7109375" style="6" bestFit="1" customWidth="1"/>
    <col min="97" max="97" width="7.7109375" style="6" customWidth="1"/>
    <col min="98" max="98" width="25.7109375" style="6" bestFit="1" customWidth="1"/>
    <col min="99" max="99" width="19.7109375" style="6" bestFit="1" customWidth="1"/>
    <col min="100" max="100" width="7.7109375" style="6" customWidth="1"/>
    <col min="101" max="101" width="25.7109375" style="6" bestFit="1" customWidth="1"/>
    <col min="102" max="102" width="19.7109375" style="6" bestFit="1" customWidth="1"/>
    <col min="103" max="103" width="8.7109375" style="6" customWidth="1"/>
    <col min="104" max="104" width="25.7109375" style="6" bestFit="1" customWidth="1"/>
    <col min="105" max="105" width="19.7109375" style="6" bestFit="1" customWidth="1"/>
    <col min="106" max="106" width="8.7109375" style="6" customWidth="1"/>
    <col min="107" max="107" width="25.7109375" style="6" bestFit="1" customWidth="1"/>
    <col min="108" max="108" width="19.7109375" style="6" bestFit="1" customWidth="1"/>
    <col min="109" max="109" width="8.7109375" style="6" customWidth="1"/>
    <col min="110" max="110" width="25.7109375" style="6" bestFit="1" customWidth="1"/>
    <col min="111" max="111" width="19.7109375" style="6" bestFit="1" customWidth="1"/>
    <col min="112" max="112" width="8.7109375" style="6" customWidth="1"/>
    <col min="113" max="113" width="25.7109375" style="6" bestFit="1" customWidth="1"/>
    <col min="114" max="114" width="19.7109375" style="6" bestFit="1" customWidth="1"/>
    <col min="115" max="115" width="8.7109375" style="6" customWidth="1"/>
    <col min="116" max="116" width="25.7109375" style="6" bestFit="1" customWidth="1"/>
    <col min="117" max="117" width="19.7109375" style="6" bestFit="1" customWidth="1"/>
    <col min="118" max="118" width="8.7109375" style="6" customWidth="1"/>
    <col min="119" max="119" width="25.7109375" style="6" bestFit="1" customWidth="1"/>
    <col min="120" max="120" width="19.7109375" style="6" bestFit="1" customWidth="1"/>
    <col min="121" max="121" width="8.7109375" style="6" customWidth="1"/>
    <col min="122" max="122" width="25.7109375" style="6" bestFit="1" customWidth="1"/>
    <col min="123" max="123" width="19.7109375" style="6" bestFit="1" customWidth="1"/>
    <col min="124" max="124" width="8.7109375" style="6" customWidth="1"/>
    <col min="125" max="125" width="25.7109375" style="6" bestFit="1" customWidth="1"/>
    <col min="126" max="126" width="19.7109375" style="6" bestFit="1" customWidth="1"/>
    <col min="127" max="127" width="8.7109375" style="6" customWidth="1"/>
    <col min="128" max="128" width="25.7109375" style="6" bestFit="1" customWidth="1"/>
    <col min="129" max="129" width="19.7109375" style="6" bestFit="1" customWidth="1"/>
    <col min="130" max="130" width="8.7109375" style="6" customWidth="1"/>
    <col min="131" max="131" width="25.7109375" style="6" bestFit="1" customWidth="1"/>
    <col min="132" max="132" width="19.28125" style="6" bestFit="1" customWidth="1"/>
    <col min="133" max="133" width="8.7109375" style="6" customWidth="1"/>
    <col min="134" max="134" width="25.140625" style="6" bestFit="1" customWidth="1"/>
    <col min="135" max="135" width="19.7109375" style="6" bestFit="1" customWidth="1"/>
    <col min="136" max="136" width="8.7109375" style="6" customWidth="1"/>
    <col min="137" max="137" width="25.7109375" style="6" bestFit="1" customWidth="1"/>
    <col min="138" max="138" width="17.7109375" style="6" bestFit="1" customWidth="1"/>
    <col min="139" max="139" width="7.7109375" style="6" customWidth="1"/>
    <col min="140" max="140" width="23.57421875" style="6" bestFit="1" customWidth="1"/>
    <col min="141" max="141" width="17.7109375" style="6" bestFit="1" customWidth="1"/>
    <col min="142" max="142" width="7.7109375" style="6" customWidth="1"/>
    <col min="143" max="143" width="23.57421875" style="6" bestFit="1" customWidth="1"/>
    <col min="144" max="144" width="17.7109375" style="6" bestFit="1" customWidth="1"/>
    <col min="145" max="145" width="7.7109375" style="6" customWidth="1"/>
    <col min="146" max="146" width="23.57421875" style="6" bestFit="1" customWidth="1"/>
    <col min="147" max="147" width="17.7109375" style="6" bestFit="1" customWidth="1"/>
    <col min="148" max="148" width="7.7109375" style="6" customWidth="1"/>
    <col min="149" max="149" width="23.57421875" style="6" bestFit="1" customWidth="1"/>
    <col min="150" max="150" width="17.7109375" style="6" bestFit="1" customWidth="1"/>
    <col min="151" max="151" width="7.7109375" style="6" customWidth="1"/>
    <col min="152" max="152" width="23.57421875" style="6" bestFit="1" customWidth="1"/>
    <col min="153" max="153" width="17.7109375" style="6" bestFit="1" customWidth="1"/>
    <col min="154" max="154" width="7.7109375" style="6" customWidth="1"/>
    <col min="155" max="155" width="23.57421875" style="6" bestFit="1" customWidth="1"/>
    <col min="156" max="156" width="17.7109375" style="6" bestFit="1" customWidth="1"/>
    <col min="157" max="157" width="7.7109375" style="6" customWidth="1"/>
    <col min="158" max="158" width="23.57421875" style="6" bestFit="1" customWidth="1"/>
    <col min="159" max="159" width="17.7109375" style="6" bestFit="1" customWidth="1"/>
    <col min="160" max="160" width="7.7109375" style="6" customWidth="1"/>
    <col min="161" max="161" width="23.57421875" style="6" bestFit="1" customWidth="1"/>
    <col min="162" max="162" width="17.7109375" style="6" bestFit="1" customWidth="1"/>
    <col min="163" max="163" width="7.7109375" style="6" customWidth="1"/>
    <col min="164" max="164" width="23.57421875" style="6" bestFit="1" customWidth="1"/>
    <col min="165" max="165" width="17.7109375" style="6" bestFit="1" customWidth="1"/>
    <col min="166" max="166" width="7.7109375" style="6" customWidth="1"/>
    <col min="167" max="167" width="23.57421875" style="6" bestFit="1" customWidth="1"/>
    <col min="168" max="168" width="17.7109375" style="6" bestFit="1" customWidth="1"/>
    <col min="169" max="169" width="7.7109375" style="6" customWidth="1"/>
    <col min="170" max="170" width="23.57421875" style="6" bestFit="1" customWidth="1"/>
    <col min="171" max="171" width="17.7109375" style="6" bestFit="1" customWidth="1"/>
    <col min="172" max="172" width="7.7109375" style="6" customWidth="1"/>
    <col min="173" max="173" width="23.57421875" style="6" bestFit="1" customWidth="1"/>
    <col min="174" max="174" width="17.7109375" style="6" bestFit="1" customWidth="1"/>
    <col min="175" max="175" width="7.7109375" style="6" customWidth="1"/>
    <col min="176" max="176" width="23.57421875" style="6" bestFit="1" customWidth="1"/>
    <col min="177" max="16384" width="23.57421875" style="6" customWidth="1"/>
  </cols>
  <sheetData>
    <row r="1" ht="39" customHeight="1"/>
    <row r="2" spans="1:24" ht="43.5" customHeight="1">
      <c r="A2" s="21"/>
      <c r="B2" s="108" t="s">
        <v>595</v>
      </c>
      <c r="C2" s="21"/>
      <c r="D2" s="21"/>
      <c r="F2" s="21"/>
      <c r="G2" s="21"/>
      <c r="H2" s="21"/>
      <c r="I2" s="21"/>
      <c r="J2" s="21"/>
      <c r="K2" s="5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33" customHeight="1">
      <c r="A3" s="21"/>
      <c r="B3" s="21"/>
      <c r="C3" s="21"/>
      <c r="D3" s="21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8.75" customHeight="1">
      <c r="A4" s="21"/>
      <c r="B4" s="21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172" s="53" customFormat="1" ht="32.25" customHeight="1">
      <c r="A5" s="80" t="s">
        <v>0</v>
      </c>
      <c r="B5" s="81" t="s">
        <v>581</v>
      </c>
      <c r="C5" s="81"/>
      <c r="D5" s="81"/>
      <c r="E5" s="82" t="s">
        <v>168</v>
      </c>
      <c r="F5" s="82" t="s">
        <v>166</v>
      </c>
      <c r="G5" s="82" t="s">
        <v>176</v>
      </c>
      <c r="H5" s="82" t="s">
        <v>184</v>
      </c>
      <c r="I5" s="82" t="s">
        <v>179</v>
      </c>
      <c r="J5" s="82" t="s">
        <v>194</v>
      </c>
      <c r="K5" s="82" t="s">
        <v>203</v>
      </c>
      <c r="L5" s="82" t="s">
        <v>213</v>
      </c>
      <c r="M5" s="82" t="s">
        <v>221</v>
      </c>
      <c r="N5" s="82" t="s">
        <v>227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</row>
    <row r="6" spans="1:172" s="57" customFormat="1" ht="39" customHeight="1">
      <c r="A6" s="55"/>
      <c r="B6" s="232" t="s">
        <v>5</v>
      </c>
      <c r="C6" s="56" t="s">
        <v>2</v>
      </c>
      <c r="D6" s="60" t="s">
        <v>10</v>
      </c>
      <c r="E6" s="178">
        <v>2400</v>
      </c>
      <c r="F6" s="178">
        <v>2400</v>
      </c>
      <c r="G6" s="178">
        <v>2400</v>
      </c>
      <c r="H6" s="178">
        <v>2400</v>
      </c>
      <c r="I6" s="178">
        <v>2400</v>
      </c>
      <c r="J6" s="178">
        <v>2400</v>
      </c>
      <c r="K6" s="178">
        <v>2400</v>
      </c>
      <c r="L6" s="178">
        <v>2400</v>
      </c>
      <c r="M6" s="178">
        <v>2400</v>
      </c>
      <c r="N6" s="178">
        <v>2400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</row>
    <row r="7" spans="1:24" s="57" customFormat="1" ht="39" customHeight="1">
      <c r="A7" s="55"/>
      <c r="B7" s="232" t="s">
        <v>524</v>
      </c>
      <c r="C7" s="56" t="s">
        <v>2</v>
      </c>
      <c r="D7" s="60" t="s">
        <v>11</v>
      </c>
      <c r="E7" s="179">
        <v>6</v>
      </c>
      <c r="F7" s="179">
        <v>6</v>
      </c>
      <c r="G7" s="179">
        <v>6</v>
      </c>
      <c r="H7" s="179">
        <v>6</v>
      </c>
      <c r="I7" s="179">
        <v>6</v>
      </c>
      <c r="J7" s="179">
        <v>6</v>
      </c>
      <c r="K7" s="179">
        <v>6</v>
      </c>
      <c r="L7" s="179">
        <v>6</v>
      </c>
      <c r="M7" s="179">
        <v>6</v>
      </c>
      <c r="N7" s="179">
        <v>6</v>
      </c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57" customFormat="1" ht="39" customHeight="1">
      <c r="A8" s="55"/>
      <c r="B8" s="232" t="s">
        <v>667</v>
      </c>
      <c r="C8" s="56" t="s">
        <v>2</v>
      </c>
      <c r="D8" s="60" t="s">
        <v>9</v>
      </c>
      <c r="E8" s="180">
        <v>15</v>
      </c>
      <c r="F8" s="180">
        <v>15</v>
      </c>
      <c r="G8" s="179">
        <v>15</v>
      </c>
      <c r="H8" s="179">
        <v>15</v>
      </c>
      <c r="I8" s="179">
        <v>20</v>
      </c>
      <c r="J8" s="179">
        <v>20</v>
      </c>
      <c r="K8" s="179">
        <v>20</v>
      </c>
      <c r="L8" s="179">
        <v>20</v>
      </c>
      <c r="M8" s="179">
        <v>20</v>
      </c>
      <c r="N8" s="179">
        <v>20</v>
      </c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57" customFormat="1" ht="39" customHeight="1">
      <c r="A9" s="63" t="s">
        <v>539</v>
      </c>
      <c r="B9" s="233" t="s">
        <v>536</v>
      </c>
      <c r="C9" s="64"/>
      <c r="D9" s="62"/>
      <c r="E9" s="181" t="s">
        <v>538</v>
      </c>
      <c r="F9" s="181" t="s">
        <v>538</v>
      </c>
      <c r="G9" s="181" t="s">
        <v>538</v>
      </c>
      <c r="H9" s="181" t="s">
        <v>538</v>
      </c>
      <c r="I9" s="181" t="s">
        <v>538</v>
      </c>
      <c r="J9" s="181" t="s">
        <v>538</v>
      </c>
      <c r="K9" s="181" t="s">
        <v>538</v>
      </c>
      <c r="L9" s="181" t="s">
        <v>538</v>
      </c>
      <c r="M9" s="181" t="s">
        <v>538</v>
      </c>
      <c r="N9" s="181" t="s">
        <v>538</v>
      </c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s="57" customFormat="1" ht="39" customHeight="1">
      <c r="A10" s="55"/>
      <c r="B10" s="232" t="s">
        <v>537</v>
      </c>
      <c r="C10" s="56" t="s">
        <v>2</v>
      </c>
      <c r="D10" s="65" t="s">
        <v>9</v>
      </c>
      <c r="E10" s="182">
        <v>2</v>
      </c>
      <c r="F10" s="182">
        <v>2</v>
      </c>
      <c r="G10" s="182">
        <v>2</v>
      </c>
      <c r="H10" s="182">
        <v>2</v>
      </c>
      <c r="I10" s="182">
        <v>2</v>
      </c>
      <c r="J10" s="182">
        <v>2</v>
      </c>
      <c r="K10" s="182">
        <v>2</v>
      </c>
      <c r="L10" s="182">
        <v>2</v>
      </c>
      <c r="M10" s="182">
        <v>2</v>
      </c>
      <c r="N10" s="182">
        <v>2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s="57" customFormat="1" ht="39" customHeight="1">
      <c r="A11" s="55"/>
      <c r="B11" s="232" t="s">
        <v>577</v>
      </c>
      <c r="C11" s="56" t="s">
        <v>2</v>
      </c>
      <c r="D11" s="65" t="s">
        <v>9</v>
      </c>
      <c r="E11" s="183">
        <v>2</v>
      </c>
      <c r="F11" s="183">
        <v>2</v>
      </c>
      <c r="G11" s="183">
        <v>3</v>
      </c>
      <c r="H11" s="183">
        <v>3</v>
      </c>
      <c r="I11" s="183">
        <v>3</v>
      </c>
      <c r="J11" s="183">
        <v>4</v>
      </c>
      <c r="K11" s="183">
        <v>5</v>
      </c>
      <c r="L11" s="183">
        <v>6</v>
      </c>
      <c r="M11" s="183">
        <v>6</v>
      </c>
      <c r="N11" s="183">
        <v>7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s="57" customFormat="1" ht="39" customHeight="1">
      <c r="A12" s="55"/>
      <c r="B12" s="232" t="s">
        <v>578</v>
      </c>
      <c r="C12" s="56" t="s">
        <v>2</v>
      </c>
      <c r="D12" s="65" t="s">
        <v>9</v>
      </c>
      <c r="E12" s="182">
        <v>6</v>
      </c>
      <c r="F12" s="182">
        <v>6</v>
      </c>
      <c r="G12" s="182">
        <v>6</v>
      </c>
      <c r="H12" s="182">
        <v>6</v>
      </c>
      <c r="I12" s="182">
        <v>6</v>
      </c>
      <c r="J12" s="182">
        <v>6</v>
      </c>
      <c r="K12" s="182">
        <v>6</v>
      </c>
      <c r="L12" s="182">
        <v>6</v>
      </c>
      <c r="M12" s="182">
        <v>6</v>
      </c>
      <c r="N12" s="182">
        <v>6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s="57" customFormat="1" ht="39" customHeight="1">
      <c r="A13" s="55"/>
      <c r="B13" s="232" t="s">
        <v>579</v>
      </c>
      <c r="C13" s="56" t="s">
        <v>2</v>
      </c>
      <c r="D13" s="65" t="s">
        <v>9</v>
      </c>
      <c r="E13" s="182">
        <v>4</v>
      </c>
      <c r="F13" s="182">
        <v>4</v>
      </c>
      <c r="G13" s="182">
        <v>4</v>
      </c>
      <c r="H13" s="182">
        <v>4</v>
      </c>
      <c r="I13" s="182">
        <v>4</v>
      </c>
      <c r="J13" s="182">
        <v>4</v>
      </c>
      <c r="K13" s="182">
        <v>4</v>
      </c>
      <c r="L13" s="182">
        <v>4</v>
      </c>
      <c r="M13" s="182">
        <v>4</v>
      </c>
      <c r="N13" s="182">
        <v>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57" customFormat="1" ht="39" customHeight="1">
      <c r="A14" s="55"/>
      <c r="B14" s="232" t="s">
        <v>544</v>
      </c>
      <c r="C14" s="56" t="s">
        <v>2</v>
      </c>
      <c r="D14" s="65" t="s">
        <v>9</v>
      </c>
      <c r="E14" s="182">
        <v>1</v>
      </c>
      <c r="F14" s="182">
        <v>1</v>
      </c>
      <c r="G14" s="182">
        <v>1</v>
      </c>
      <c r="H14" s="182">
        <v>1</v>
      </c>
      <c r="I14" s="182">
        <v>1.2</v>
      </c>
      <c r="J14" s="182">
        <v>1.2</v>
      </c>
      <c r="K14" s="182">
        <v>1.2</v>
      </c>
      <c r="L14" s="182">
        <v>1.2</v>
      </c>
      <c r="M14" s="182">
        <v>1.2</v>
      </c>
      <c r="N14" s="182">
        <v>1.2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s="57" customFormat="1" ht="39" customHeight="1">
      <c r="A15" s="55"/>
      <c r="B15" s="232" t="s">
        <v>558</v>
      </c>
      <c r="C15" s="56" t="s">
        <v>2</v>
      </c>
      <c r="D15" s="65" t="s">
        <v>9</v>
      </c>
      <c r="E15" s="182">
        <v>0.8</v>
      </c>
      <c r="F15" s="182">
        <f>E15</f>
        <v>0.8</v>
      </c>
      <c r="G15" s="182">
        <f>F15</f>
        <v>0.8</v>
      </c>
      <c r="H15" s="182">
        <f>G15</f>
        <v>0.8</v>
      </c>
      <c r="I15" s="182">
        <v>0.8</v>
      </c>
      <c r="J15" s="182">
        <v>0.8</v>
      </c>
      <c r="K15" s="182">
        <v>0.8</v>
      </c>
      <c r="L15" s="182">
        <v>0.8</v>
      </c>
      <c r="M15" s="182">
        <v>0.8</v>
      </c>
      <c r="N15" s="182">
        <f>M15</f>
        <v>0.8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172" s="57" customFormat="1" ht="39" customHeight="1">
      <c r="A16" s="63">
        <v>3</v>
      </c>
      <c r="B16" s="233" t="s">
        <v>525</v>
      </c>
      <c r="C16" s="64"/>
      <c r="D16" s="62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</row>
    <row r="17" spans="1:172" s="57" customFormat="1" ht="39" customHeight="1">
      <c r="A17" s="55"/>
      <c r="B17" s="232" t="s">
        <v>1</v>
      </c>
      <c r="C17" s="56" t="s">
        <v>2</v>
      </c>
      <c r="D17" s="60" t="s">
        <v>7</v>
      </c>
      <c r="E17" s="185">
        <f aca="true" t="shared" si="0" ref="E17:N17">INDEX(steel,MATCH(E$5,st_name,0),4)</f>
        <v>200</v>
      </c>
      <c r="F17" s="185">
        <f t="shared" si="0"/>
        <v>194</v>
      </c>
      <c r="G17" s="185">
        <f t="shared" si="0"/>
        <v>250</v>
      </c>
      <c r="H17" s="185">
        <f t="shared" si="0"/>
        <v>300</v>
      </c>
      <c r="I17" s="185">
        <f t="shared" si="0"/>
        <v>294</v>
      </c>
      <c r="J17" s="185">
        <f t="shared" si="0"/>
        <v>350</v>
      </c>
      <c r="K17" s="185">
        <f t="shared" si="0"/>
        <v>400</v>
      </c>
      <c r="L17" s="185">
        <f t="shared" si="0"/>
        <v>450</v>
      </c>
      <c r="M17" s="185">
        <f t="shared" si="0"/>
        <v>500</v>
      </c>
      <c r="N17" s="185">
        <f t="shared" si="0"/>
        <v>600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</row>
    <row r="18" spans="1:172" s="57" customFormat="1" ht="39" customHeight="1">
      <c r="A18" s="55"/>
      <c r="B18" s="232" t="s">
        <v>3</v>
      </c>
      <c r="C18" s="56" t="s">
        <v>2</v>
      </c>
      <c r="D18" s="60" t="s">
        <v>7</v>
      </c>
      <c r="E18" s="185">
        <f aca="true" t="shared" si="1" ref="E18:N18">INDEX(steel,MATCH(E$5,st_name,0),6)</f>
        <v>100</v>
      </c>
      <c r="F18" s="185">
        <f t="shared" si="1"/>
        <v>150</v>
      </c>
      <c r="G18" s="185">
        <f t="shared" si="1"/>
        <v>125</v>
      </c>
      <c r="H18" s="185">
        <f t="shared" si="1"/>
        <v>150</v>
      </c>
      <c r="I18" s="185">
        <f t="shared" si="1"/>
        <v>200</v>
      </c>
      <c r="J18" s="185">
        <f t="shared" si="1"/>
        <v>175</v>
      </c>
      <c r="K18" s="185">
        <f t="shared" si="1"/>
        <v>200</v>
      </c>
      <c r="L18" s="185">
        <f t="shared" si="1"/>
        <v>200</v>
      </c>
      <c r="M18" s="185">
        <f t="shared" si="1"/>
        <v>200</v>
      </c>
      <c r="N18" s="185">
        <f t="shared" si="1"/>
        <v>200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</row>
    <row r="19" spans="1:24" s="57" customFormat="1" ht="39" customHeight="1">
      <c r="A19" s="55"/>
      <c r="B19" s="232" t="s">
        <v>13</v>
      </c>
      <c r="C19" s="56" t="s">
        <v>2</v>
      </c>
      <c r="D19" s="60" t="s">
        <v>7</v>
      </c>
      <c r="E19" s="185">
        <f aca="true" t="shared" si="2" ref="E19:N19">INDEX(steel,MATCH(E$5,st_name,0),9)</f>
        <v>5.5</v>
      </c>
      <c r="F19" s="185">
        <f t="shared" si="2"/>
        <v>6</v>
      </c>
      <c r="G19" s="185">
        <f t="shared" si="2"/>
        <v>6</v>
      </c>
      <c r="H19" s="185">
        <f t="shared" si="2"/>
        <v>6.5</v>
      </c>
      <c r="I19" s="185">
        <f t="shared" si="2"/>
        <v>8</v>
      </c>
      <c r="J19" s="185">
        <f t="shared" si="2"/>
        <v>7</v>
      </c>
      <c r="K19" s="185">
        <f t="shared" si="2"/>
        <v>8</v>
      </c>
      <c r="L19" s="185">
        <f t="shared" si="2"/>
        <v>9</v>
      </c>
      <c r="M19" s="185">
        <f t="shared" si="2"/>
        <v>10</v>
      </c>
      <c r="N19" s="185">
        <f t="shared" si="2"/>
        <v>11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s="57" customFormat="1" ht="39" customHeight="1">
      <c r="A20" s="55"/>
      <c r="B20" s="232" t="s">
        <v>12</v>
      </c>
      <c r="C20" s="56" t="s">
        <v>2</v>
      </c>
      <c r="D20" s="60" t="s">
        <v>7</v>
      </c>
      <c r="E20" s="185">
        <f aca="true" t="shared" si="3" ref="E20:N20">INDEX(steel,MATCH(E$5,st_name,0),10)</f>
        <v>8</v>
      </c>
      <c r="F20" s="185">
        <f t="shared" si="3"/>
        <v>9</v>
      </c>
      <c r="G20" s="185">
        <f t="shared" si="3"/>
        <v>9</v>
      </c>
      <c r="H20" s="185">
        <f t="shared" si="3"/>
        <v>9</v>
      </c>
      <c r="I20" s="185">
        <f t="shared" si="3"/>
        <v>12</v>
      </c>
      <c r="J20" s="185">
        <f t="shared" si="3"/>
        <v>11</v>
      </c>
      <c r="K20" s="185">
        <f t="shared" si="3"/>
        <v>13</v>
      </c>
      <c r="L20" s="185">
        <f t="shared" si="3"/>
        <v>14</v>
      </c>
      <c r="M20" s="185">
        <f t="shared" si="3"/>
        <v>16</v>
      </c>
      <c r="N20" s="185">
        <f t="shared" si="3"/>
        <v>17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s="57" customFormat="1" ht="39" customHeight="1">
      <c r="A21" s="55"/>
      <c r="B21" s="232" t="s">
        <v>4</v>
      </c>
      <c r="C21" s="56" t="s">
        <v>2</v>
      </c>
      <c r="D21" s="60" t="s">
        <v>8</v>
      </c>
      <c r="E21" s="185">
        <f aca="true" t="shared" si="4" ref="E21:N21">INDEX(steel,MATCH(E$5,st_name,0),11)</f>
        <v>27.16</v>
      </c>
      <c r="F21" s="185">
        <f t="shared" si="4"/>
        <v>39.01</v>
      </c>
      <c r="G21" s="185">
        <f t="shared" si="4"/>
        <v>37.66</v>
      </c>
      <c r="H21" s="185">
        <f t="shared" si="4"/>
        <v>46.78</v>
      </c>
      <c r="I21" s="185">
        <f t="shared" si="4"/>
        <v>72.38</v>
      </c>
      <c r="J21" s="185">
        <f t="shared" si="4"/>
        <v>63.14</v>
      </c>
      <c r="K21" s="185">
        <f t="shared" si="4"/>
        <v>84.12</v>
      </c>
      <c r="L21" s="185">
        <f t="shared" si="4"/>
        <v>96.76</v>
      </c>
      <c r="M21" s="185">
        <f t="shared" si="4"/>
        <v>114.2</v>
      </c>
      <c r="N21" s="185">
        <f t="shared" si="4"/>
        <v>134.4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s="57" customFormat="1" ht="39" customHeight="1">
      <c r="A22" s="55"/>
      <c r="B22" s="232" t="s">
        <v>580</v>
      </c>
      <c r="C22" s="56" t="s">
        <v>2</v>
      </c>
      <c r="D22" s="60" t="s">
        <v>9</v>
      </c>
      <c r="E22" s="185">
        <f aca="true" t="shared" si="5" ref="E22:N22">INDEX(steel,MATCH(E$5,st_name,0),14)</f>
        <v>8.24</v>
      </c>
      <c r="F22" s="185">
        <f t="shared" si="5"/>
        <v>8.3</v>
      </c>
      <c r="G22" s="185">
        <f t="shared" si="5"/>
        <v>10.4</v>
      </c>
      <c r="H22" s="185">
        <f t="shared" si="5"/>
        <v>12.41474</v>
      </c>
      <c r="I22" s="185">
        <f t="shared" si="5"/>
        <v>12.49482</v>
      </c>
      <c r="J22" s="185">
        <f t="shared" si="5"/>
        <v>14.67632</v>
      </c>
      <c r="K22" s="185">
        <f t="shared" si="5"/>
        <v>16.78512</v>
      </c>
      <c r="L22" s="185">
        <f t="shared" si="5"/>
        <v>18.60692</v>
      </c>
      <c r="M22" s="185">
        <f t="shared" si="5"/>
        <v>20.45884</v>
      </c>
      <c r="N22" s="185">
        <f t="shared" si="5"/>
        <v>24.02875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s="57" customFormat="1" ht="39" customHeight="1">
      <c r="A23" s="55"/>
      <c r="B23" s="232" t="s">
        <v>6</v>
      </c>
      <c r="C23" s="56" t="s">
        <v>2</v>
      </c>
      <c r="D23" s="60" t="s">
        <v>9</v>
      </c>
      <c r="E23" s="185">
        <f aca="true" t="shared" si="6" ref="E23:N23">INDEX(steel,MATCH(E$5,st_name,0),15)</f>
        <v>2.22</v>
      </c>
      <c r="F23" s="185">
        <f t="shared" si="6"/>
        <v>3.61</v>
      </c>
      <c r="G23" s="185">
        <f t="shared" si="6"/>
        <v>2.79</v>
      </c>
      <c r="H23" s="185">
        <f t="shared" si="6"/>
        <v>3.295352</v>
      </c>
      <c r="I23" s="185">
        <f t="shared" si="6"/>
        <v>4.701654</v>
      </c>
      <c r="J23" s="185">
        <f t="shared" si="6"/>
        <v>3.94771</v>
      </c>
      <c r="K23" s="185">
        <f t="shared" si="6"/>
        <v>4.548048</v>
      </c>
      <c r="L23" s="185">
        <f t="shared" si="6"/>
        <v>4.396154</v>
      </c>
      <c r="M23" s="185">
        <f t="shared" si="6"/>
        <v>4.328863</v>
      </c>
      <c r="N23" s="185">
        <f t="shared" si="6"/>
        <v>4.118773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s="57" customFormat="1" ht="39" customHeight="1">
      <c r="A24" s="55"/>
      <c r="B24" s="232" t="s">
        <v>526</v>
      </c>
      <c r="C24" s="56" t="s">
        <v>2</v>
      </c>
      <c r="D24" s="60" t="s">
        <v>527</v>
      </c>
      <c r="E24" s="185">
        <f aca="true" t="shared" si="7" ref="E24:N24">INDEX(steel,MATCH(E$5,st_name,0),16)</f>
        <v>184</v>
      </c>
      <c r="F24" s="185">
        <f t="shared" si="7"/>
        <v>277.32</v>
      </c>
      <c r="G24" s="185">
        <f t="shared" si="7"/>
        <v>324</v>
      </c>
      <c r="H24" s="185">
        <f t="shared" si="7"/>
        <v>480.67</v>
      </c>
      <c r="I24" s="185">
        <f t="shared" si="7"/>
        <v>768.71</v>
      </c>
      <c r="J24" s="185">
        <f t="shared" si="7"/>
        <v>777.14</v>
      </c>
      <c r="K24" s="185">
        <f t="shared" si="7"/>
        <v>1185</v>
      </c>
      <c r="L24" s="185">
        <f t="shared" si="7"/>
        <v>1488.89</v>
      </c>
      <c r="M24" s="185">
        <f t="shared" si="7"/>
        <v>1912</v>
      </c>
      <c r="N24" s="185">
        <f t="shared" si="7"/>
        <v>2586.67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s="57" customFormat="1" ht="39" customHeight="1">
      <c r="A25" s="63" t="s">
        <v>535</v>
      </c>
      <c r="B25" s="233" t="s">
        <v>534</v>
      </c>
      <c r="C25" s="64"/>
      <c r="D25" s="62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s="57" customFormat="1" ht="39" customHeight="1">
      <c r="A26" s="55"/>
      <c r="B26" s="232" t="s">
        <v>529</v>
      </c>
      <c r="C26" s="56" t="s">
        <v>2</v>
      </c>
      <c r="D26" s="55" t="s">
        <v>528</v>
      </c>
      <c r="E26" s="185">
        <f aca="true" t="shared" si="8" ref="E26:N26">0.66*E6*E24/1000/100</f>
        <v>2.9145600000000003</v>
      </c>
      <c r="F26" s="185">
        <f t="shared" si="8"/>
        <v>4.3927488</v>
      </c>
      <c r="G26" s="185">
        <f t="shared" si="8"/>
        <v>5.13216</v>
      </c>
      <c r="H26" s="185">
        <f>0.66*H6*H24/1000/100</f>
        <v>7.613812800000001</v>
      </c>
      <c r="I26" s="185">
        <f t="shared" si="8"/>
        <v>12.176366400000001</v>
      </c>
      <c r="J26" s="185">
        <f t="shared" si="8"/>
        <v>12.3098976</v>
      </c>
      <c r="K26" s="185">
        <f t="shared" si="8"/>
        <v>18.7704</v>
      </c>
      <c r="L26" s="185">
        <f t="shared" si="8"/>
        <v>23.584017600000003</v>
      </c>
      <c r="M26" s="185">
        <f t="shared" si="8"/>
        <v>30.286080000000002</v>
      </c>
      <c r="N26" s="185">
        <f t="shared" si="8"/>
        <v>40.9728528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s="57" customFormat="1" ht="39" customHeight="1">
      <c r="A27" s="55"/>
      <c r="B27" s="232" t="s">
        <v>531</v>
      </c>
      <c r="C27" s="56" t="s">
        <v>2</v>
      </c>
      <c r="D27" s="55" t="s">
        <v>530</v>
      </c>
      <c r="E27" s="185">
        <f>8*E26/(E7*E7)</f>
        <v>0.64768</v>
      </c>
      <c r="F27" s="185">
        <f>8*F26/(F7*F7)</f>
        <v>0.9761663999999999</v>
      </c>
      <c r="G27" s="185">
        <f>8*G26/(G7*G7)</f>
        <v>1.14048</v>
      </c>
      <c r="H27" s="185">
        <f>8*H26/(H7*H7)</f>
        <v>1.6919584</v>
      </c>
      <c r="I27" s="185">
        <f aca="true" t="shared" si="9" ref="I27:N27">8*I26/(I7*I7)</f>
        <v>2.7058592000000004</v>
      </c>
      <c r="J27" s="185">
        <f t="shared" si="9"/>
        <v>2.7355327999999997</v>
      </c>
      <c r="K27" s="185">
        <f t="shared" si="9"/>
        <v>4.1712</v>
      </c>
      <c r="L27" s="185">
        <f t="shared" si="9"/>
        <v>5.240892800000001</v>
      </c>
      <c r="M27" s="185">
        <f t="shared" si="9"/>
        <v>6.73024</v>
      </c>
      <c r="N27" s="185">
        <f t="shared" si="9"/>
        <v>9.1050784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s="57" customFormat="1" ht="39" customHeight="1">
      <c r="A28" s="55"/>
      <c r="B28" s="232" t="s">
        <v>532</v>
      </c>
      <c r="C28" s="56" t="s">
        <v>2</v>
      </c>
      <c r="D28" s="55" t="s">
        <v>533</v>
      </c>
      <c r="E28" s="185">
        <f aca="true" t="shared" si="10" ref="E28:N28">E26*4/E7</f>
        <v>1.94304</v>
      </c>
      <c r="F28" s="185">
        <f t="shared" si="10"/>
        <v>2.9284991999999996</v>
      </c>
      <c r="G28" s="185">
        <f t="shared" si="10"/>
        <v>3.42144</v>
      </c>
      <c r="H28" s="185">
        <f>H26*4/H7</f>
        <v>5.0758752000000005</v>
      </c>
      <c r="I28" s="185">
        <f t="shared" si="10"/>
        <v>8.1175776</v>
      </c>
      <c r="J28" s="185">
        <f t="shared" si="10"/>
        <v>8.206598399999999</v>
      </c>
      <c r="K28" s="185">
        <f t="shared" si="10"/>
        <v>12.513599999999999</v>
      </c>
      <c r="L28" s="185">
        <f t="shared" si="10"/>
        <v>15.722678400000001</v>
      </c>
      <c r="M28" s="185">
        <f t="shared" si="10"/>
        <v>20.190720000000002</v>
      </c>
      <c r="N28" s="185">
        <f t="shared" si="10"/>
        <v>27.3152352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s="57" customFormat="1" ht="39" customHeight="1">
      <c r="A29" s="55"/>
      <c r="B29" s="232" t="s">
        <v>561</v>
      </c>
      <c r="C29" s="56" t="s">
        <v>2</v>
      </c>
      <c r="D29" s="55" t="s">
        <v>533</v>
      </c>
      <c r="E29" s="186">
        <f aca="true" t="shared" si="11" ref="E29:N29">MAX(E28/2,E27*E7/2)</f>
        <v>1.94304</v>
      </c>
      <c r="F29" s="186">
        <f t="shared" si="11"/>
        <v>2.9284991999999996</v>
      </c>
      <c r="G29" s="186">
        <f t="shared" si="11"/>
        <v>3.4214399999999996</v>
      </c>
      <c r="H29" s="186">
        <f t="shared" si="11"/>
        <v>5.0758752000000005</v>
      </c>
      <c r="I29" s="186">
        <f t="shared" si="11"/>
        <v>8.1175776</v>
      </c>
      <c r="J29" s="186">
        <f t="shared" si="11"/>
        <v>8.206598399999999</v>
      </c>
      <c r="K29" s="186">
        <f t="shared" si="11"/>
        <v>12.5136</v>
      </c>
      <c r="L29" s="186">
        <f t="shared" si="11"/>
        <v>15.722678400000003</v>
      </c>
      <c r="M29" s="186">
        <f t="shared" si="11"/>
        <v>20.19072</v>
      </c>
      <c r="N29" s="186">
        <f t="shared" si="11"/>
        <v>27.3152352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162" customFormat="1" ht="39" customHeight="1">
      <c r="A30" s="114"/>
      <c r="B30" s="234" t="s">
        <v>665</v>
      </c>
      <c r="C30" s="115" t="s">
        <v>2</v>
      </c>
      <c r="D30" s="114" t="s">
        <v>533</v>
      </c>
      <c r="E30" s="187">
        <v>1.94</v>
      </c>
      <c r="F30" s="187">
        <v>2.93</v>
      </c>
      <c r="G30" s="187">
        <v>3.42</v>
      </c>
      <c r="H30" s="187">
        <v>5.08</v>
      </c>
      <c r="I30" s="187">
        <v>6</v>
      </c>
      <c r="J30" s="187">
        <v>8.21</v>
      </c>
      <c r="K30" s="187">
        <v>12.5</v>
      </c>
      <c r="L30" s="187">
        <v>15.7</v>
      </c>
      <c r="M30" s="187">
        <v>18</v>
      </c>
      <c r="N30" s="187">
        <v>22.5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57" customFormat="1" ht="39" customHeight="1">
      <c r="A31" s="66" t="s">
        <v>540</v>
      </c>
      <c r="B31" s="235" t="s">
        <v>547</v>
      </c>
      <c r="C31" s="67"/>
      <c r="D31" s="6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57" customFormat="1" ht="39" customHeight="1">
      <c r="A32" s="55"/>
      <c r="B32" s="232" t="s">
        <v>541</v>
      </c>
      <c r="C32" s="56" t="s">
        <v>2</v>
      </c>
      <c r="D32" s="60" t="s">
        <v>9</v>
      </c>
      <c r="E32" s="185">
        <f aca="true" t="shared" si="12" ref="E32:N32">(E13+(E11-1)*E12-((E11-0.5)*(E10+0.2)))*2</f>
        <v>13.399999999999999</v>
      </c>
      <c r="F32" s="185">
        <f t="shared" si="12"/>
        <v>13.399999999999999</v>
      </c>
      <c r="G32" s="185">
        <f t="shared" si="12"/>
        <v>21</v>
      </c>
      <c r="H32" s="185">
        <f>(H13+(H11-1)*H12-((H11-0.5)*(H10+0.2)))*2</f>
        <v>21</v>
      </c>
      <c r="I32" s="185">
        <f t="shared" si="12"/>
        <v>21</v>
      </c>
      <c r="J32" s="185">
        <f t="shared" si="12"/>
        <v>28.599999999999998</v>
      </c>
      <c r="K32" s="185">
        <f t="shared" si="12"/>
        <v>36.2</v>
      </c>
      <c r="L32" s="185">
        <f t="shared" si="12"/>
        <v>43.8</v>
      </c>
      <c r="M32" s="185">
        <f t="shared" si="12"/>
        <v>43.8</v>
      </c>
      <c r="N32" s="185">
        <f t="shared" si="12"/>
        <v>51.4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57" customFormat="1" ht="39" customHeight="1">
      <c r="A33" s="55"/>
      <c r="B33" s="232" t="s">
        <v>542</v>
      </c>
      <c r="C33" s="56" t="s">
        <v>2</v>
      </c>
      <c r="D33" s="60" t="s">
        <v>9</v>
      </c>
      <c r="E33" s="185">
        <f aca="true" t="shared" si="13" ref="E33:N33">6-(E10+0.2)</f>
        <v>3.8</v>
      </c>
      <c r="F33" s="185">
        <f t="shared" si="13"/>
        <v>3.8</v>
      </c>
      <c r="G33" s="185">
        <f t="shared" si="13"/>
        <v>3.8</v>
      </c>
      <c r="H33" s="185">
        <f>6-(H10+0.2)</f>
        <v>3.8</v>
      </c>
      <c r="I33" s="185">
        <f t="shared" si="13"/>
        <v>3.8</v>
      </c>
      <c r="J33" s="185">
        <f t="shared" si="13"/>
        <v>3.8</v>
      </c>
      <c r="K33" s="185">
        <f t="shared" si="13"/>
        <v>3.8</v>
      </c>
      <c r="L33" s="185">
        <f t="shared" si="13"/>
        <v>3.8</v>
      </c>
      <c r="M33" s="185">
        <f t="shared" si="13"/>
        <v>3.8</v>
      </c>
      <c r="N33" s="185">
        <f t="shared" si="13"/>
        <v>3.8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57" customFormat="1" ht="39" customHeight="1">
      <c r="A34" s="55"/>
      <c r="B34" s="232" t="s">
        <v>543</v>
      </c>
      <c r="C34" s="56" t="s">
        <v>2</v>
      </c>
      <c r="D34" s="60" t="s">
        <v>533</v>
      </c>
      <c r="E34" s="186">
        <f>4000*(0.3*E32+0.5*E33)*E14/1000</f>
        <v>23.68</v>
      </c>
      <c r="F34" s="186">
        <f>4000*(0.3*F32+0.5*F33)*F14/1000</f>
        <v>23.68</v>
      </c>
      <c r="G34" s="186">
        <f>4000*(0.3*G32+0.5*G33)*G14/1000</f>
        <v>32.8</v>
      </c>
      <c r="H34" s="186">
        <f>4000*(0.3*H32+0.5*H33)*H14/1000</f>
        <v>32.8</v>
      </c>
      <c r="I34" s="186">
        <f aca="true" t="shared" si="14" ref="I34:N34">4000*(0.3*I32+0.5*I33)*I14/1000</f>
        <v>39.36</v>
      </c>
      <c r="J34" s="186">
        <f t="shared" si="14"/>
        <v>50.303999999999995</v>
      </c>
      <c r="K34" s="186">
        <f t="shared" si="14"/>
        <v>61.248000000000005</v>
      </c>
      <c r="L34" s="186">
        <f t="shared" si="14"/>
        <v>72.192</v>
      </c>
      <c r="M34" s="186">
        <f t="shared" si="14"/>
        <v>72.192</v>
      </c>
      <c r="N34" s="186">
        <f t="shared" si="14"/>
        <v>83.13599999999998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57" customFormat="1" ht="39" customHeight="1">
      <c r="A35" s="66" t="s">
        <v>545</v>
      </c>
      <c r="B35" s="235" t="s">
        <v>584</v>
      </c>
      <c r="C35" s="67"/>
      <c r="D35" s="6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57" customFormat="1" ht="39" customHeight="1">
      <c r="A36" s="55"/>
      <c r="B36" s="232" t="s">
        <v>585</v>
      </c>
      <c r="C36" s="56" t="s">
        <v>2</v>
      </c>
      <c r="D36" s="60" t="s">
        <v>533</v>
      </c>
      <c r="E36" s="186">
        <f aca="true" t="shared" si="15" ref="E36:N36">2*0.3*4000*E14*(2*E13+(E11-1)*E12-E11*(E10+0.2))/1000</f>
        <v>23.04</v>
      </c>
      <c r="F36" s="186">
        <f t="shared" si="15"/>
        <v>23.04</v>
      </c>
      <c r="G36" s="186">
        <f t="shared" si="15"/>
        <v>32.16</v>
      </c>
      <c r="H36" s="186">
        <f>2*0.3*4000*H14*(2*H13+(H11-1)*H12-H11*(H10+0.2))/1000</f>
        <v>32.16</v>
      </c>
      <c r="I36" s="186">
        <f t="shared" si="15"/>
        <v>38.59199999999999</v>
      </c>
      <c r="J36" s="186">
        <f t="shared" si="15"/>
        <v>49.536</v>
      </c>
      <c r="K36" s="186">
        <f t="shared" si="15"/>
        <v>60.48</v>
      </c>
      <c r="L36" s="186">
        <f t="shared" si="15"/>
        <v>71.42399999999999</v>
      </c>
      <c r="M36" s="186">
        <f t="shared" si="15"/>
        <v>71.42399999999999</v>
      </c>
      <c r="N36" s="186">
        <f t="shared" si="15"/>
        <v>82.368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s="57" customFormat="1" ht="39" customHeight="1">
      <c r="A37" s="55"/>
      <c r="B37" s="232" t="s">
        <v>664</v>
      </c>
      <c r="C37" s="56" t="s">
        <v>2</v>
      </c>
      <c r="D37" s="60" t="s">
        <v>533</v>
      </c>
      <c r="E37" s="186">
        <f>0.4*E6*E14*((E11-1)*E12+2*E13)/1000</f>
        <v>13.44</v>
      </c>
      <c r="F37" s="186">
        <f aca="true" t="shared" si="16" ref="F37:N37">0.4*F6*F14*((F11-1)*F12+2*F13)/1000</f>
        <v>13.44</v>
      </c>
      <c r="G37" s="186">
        <f t="shared" si="16"/>
        <v>19.2</v>
      </c>
      <c r="H37" s="186">
        <f>0.4*H6*H14*((H11-1)*H12+2*H13)/1000</f>
        <v>19.2</v>
      </c>
      <c r="I37" s="186">
        <f t="shared" si="16"/>
        <v>23.04</v>
      </c>
      <c r="J37" s="186">
        <f t="shared" si="16"/>
        <v>29.952</v>
      </c>
      <c r="K37" s="186">
        <f t="shared" si="16"/>
        <v>36.864</v>
      </c>
      <c r="L37" s="186">
        <f t="shared" si="16"/>
        <v>43.776</v>
      </c>
      <c r="M37" s="186">
        <f t="shared" si="16"/>
        <v>43.776</v>
      </c>
      <c r="N37" s="186">
        <f t="shared" si="16"/>
        <v>50.688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s="57" customFormat="1" ht="39" customHeight="1">
      <c r="A38" s="66" t="s">
        <v>583</v>
      </c>
      <c r="B38" s="235" t="s">
        <v>546</v>
      </c>
      <c r="C38" s="68"/>
      <c r="D38" s="68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s="57" customFormat="1" ht="39" customHeight="1">
      <c r="A39" s="55"/>
      <c r="B39" s="232" t="s">
        <v>594</v>
      </c>
      <c r="C39" s="56" t="s">
        <v>2</v>
      </c>
      <c r="D39" s="60" t="s">
        <v>533</v>
      </c>
      <c r="E39" s="190">
        <f aca="true" t="shared" si="17" ref="E39:N39">2*E11*(E10+0.2)*E14*1.2*4000/1000</f>
        <v>42.24</v>
      </c>
      <c r="F39" s="190">
        <f t="shared" si="17"/>
        <v>42.24</v>
      </c>
      <c r="G39" s="190">
        <f t="shared" si="17"/>
        <v>63.36</v>
      </c>
      <c r="H39" s="190">
        <f>2*H11*(H10+0.2)*H14*1.2*4000/1000</f>
        <v>63.36</v>
      </c>
      <c r="I39" s="190">
        <f t="shared" si="17"/>
        <v>76.032</v>
      </c>
      <c r="J39" s="190">
        <f t="shared" si="17"/>
        <v>101.376</v>
      </c>
      <c r="K39" s="190">
        <f t="shared" si="17"/>
        <v>126.71999999999998</v>
      </c>
      <c r="L39" s="190">
        <f t="shared" si="17"/>
        <v>152.064</v>
      </c>
      <c r="M39" s="190">
        <f t="shared" si="17"/>
        <v>152.064</v>
      </c>
      <c r="N39" s="190">
        <f t="shared" si="17"/>
        <v>177.408</v>
      </c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s="57" customFormat="1" ht="39" customHeight="1">
      <c r="A40" s="66" t="s">
        <v>552</v>
      </c>
      <c r="B40" s="235" t="s">
        <v>549</v>
      </c>
      <c r="C40" s="68"/>
      <c r="D40" s="6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s="57" customFormat="1" ht="39" customHeight="1">
      <c r="A41" s="63"/>
      <c r="B41" s="236" t="s">
        <v>553</v>
      </c>
      <c r="C41" s="62"/>
      <c r="D41" s="62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s="57" customFormat="1" ht="39" customHeight="1">
      <c r="A42" s="55"/>
      <c r="B42" s="100" t="s">
        <v>560</v>
      </c>
      <c r="C42" s="61" t="s">
        <v>2</v>
      </c>
      <c r="D42" s="69" t="s">
        <v>9</v>
      </c>
      <c r="E42" s="181">
        <f aca="true" t="shared" si="18" ref="E42:N42">2*E13+(E11-1)*E12</f>
        <v>14</v>
      </c>
      <c r="F42" s="181">
        <f t="shared" si="18"/>
        <v>14</v>
      </c>
      <c r="G42" s="181">
        <f t="shared" si="18"/>
        <v>20</v>
      </c>
      <c r="H42" s="181">
        <f>2*H13+(H11-1)*H12</f>
        <v>20</v>
      </c>
      <c r="I42" s="181">
        <f t="shared" si="18"/>
        <v>20</v>
      </c>
      <c r="J42" s="181">
        <f t="shared" si="18"/>
        <v>26</v>
      </c>
      <c r="K42" s="181">
        <f t="shared" si="18"/>
        <v>32</v>
      </c>
      <c r="L42" s="181">
        <f t="shared" si="18"/>
        <v>38</v>
      </c>
      <c r="M42" s="181">
        <f t="shared" si="18"/>
        <v>38</v>
      </c>
      <c r="N42" s="181">
        <f t="shared" si="18"/>
        <v>44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s="57" customFormat="1" ht="39" customHeight="1">
      <c r="A43" s="55"/>
      <c r="B43" s="100" t="s">
        <v>550</v>
      </c>
      <c r="C43" s="61" t="s">
        <v>2</v>
      </c>
      <c r="D43" s="69" t="s">
        <v>527</v>
      </c>
      <c r="E43" s="181">
        <f>E14*(E42*E42)/6</f>
        <v>32.666666666666664</v>
      </c>
      <c r="F43" s="181">
        <f>F14*(F42*F42)/6</f>
        <v>32.666666666666664</v>
      </c>
      <c r="G43" s="181">
        <f>G14*(G42*G42)/6</f>
        <v>66.66666666666667</v>
      </c>
      <c r="H43" s="181">
        <f>H14*(H42*H42)/6</f>
        <v>66.66666666666667</v>
      </c>
      <c r="I43" s="181">
        <f aca="true" t="shared" si="19" ref="I43:N43">I14*(I42*I42)/6</f>
        <v>80</v>
      </c>
      <c r="J43" s="181">
        <f t="shared" si="19"/>
        <v>135.2</v>
      </c>
      <c r="K43" s="181">
        <f t="shared" si="19"/>
        <v>204.79999999999998</v>
      </c>
      <c r="L43" s="181">
        <f t="shared" si="19"/>
        <v>288.8</v>
      </c>
      <c r="M43" s="181">
        <f t="shared" si="19"/>
        <v>288.8</v>
      </c>
      <c r="N43" s="181">
        <f t="shared" si="19"/>
        <v>387.2</v>
      </c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s="57" customFormat="1" ht="39" customHeight="1">
      <c r="A44" s="55"/>
      <c r="B44" s="100" t="s">
        <v>555</v>
      </c>
      <c r="C44" s="61" t="s">
        <v>2</v>
      </c>
      <c r="D44" s="62" t="s">
        <v>528</v>
      </c>
      <c r="E44" s="181">
        <f>0.75*E6*E43/1000/100</f>
        <v>0.5879999999999999</v>
      </c>
      <c r="F44" s="181">
        <f>0.75*F6*F43/1000/100</f>
        <v>0.5879999999999999</v>
      </c>
      <c r="G44" s="181">
        <f>0.75*G6*G43/1000/100</f>
        <v>1.2000000000000002</v>
      </c>
      <c r="H44" s="181">
        <f>0.75*H6*H43/1000/100</f>
        <v>1.2000000000000002</v>
      </c>
      <c r="I44" s="181">
        <f aca="true" t="shared" si="20" ref="I44:N44">0.75*I6*I43/1000/100</f>
        <v>1.44</v>
      </c>
      <c r="J44" s="181">
        <f t="shared" si="20"/>
        <v>2.4335999999999998</v>
      </c>
      <c r="K44" s="181">
        <f t="shared" si="20"/>
        <v>3.6863999999999995</v>
      </c>
      <c r="L44" s="181">
        <f t="shared" si="20"/>
        <v>5.1984</v>
      </c>
      <c r="M44" s="181">
        <f t="shared" si="20"/>
        <v>5.1984</v>
      </c>
      <c r="N44" s="181">
        <f t="shared" si="20"/>
        <v>6.969600000000001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s="57" customFormat="1" ht="39" customHeight="1">
      <c r="A45" s="55"/>
      <c r="B45" s="100" t="s">
        <v>551</v>
      </c>
      <c r="C45" s="61" t="s">
        <v>2</v>
      </c>
      <c r="D45" s="62" t="s">
        <v>533</v>
      </c>
      <c r="E45" s="190">
        <f>E44*100/(E13+2+3)</f>
        <v>6.533333333333331</v>
      </c>
      <c r="F45" s="190">
        <f>F44*100/(F13+2+3)</f>
        <v>6.533333333333331</v>
      </c>
      <c r="G45" s="190">
        <f aca="true" t="shared" si="21" ref="G45:N45">G44*100/(G13+2+3)</f>
        <v>13.333333333333336</v>
      </c>
      <c r="H45" s="190">
        <f t="shared" si="21"/>
        <v>13.333333333333336</v>
      </c>
      <c r="I45" s="190">
        <f t="shared" si="21"/>
        <v>16</v>
      </c>
      <c r="J45" s="190">
        <f t="shared" si="21"/>
        <v>27.04</v>
      </c>
      <c r="K45" s="190">
        <f t="shared" si="21"/>
        <v>40.959999999999994</v>
      </c>
      <c r="L45" s="190">
        <f t="shared" si="21"/>
        <v>57.760000000000005</v>
      </c>
      <c r="M45" s="190">
        <f t="shared" si="21"/>
        <v>57.760000000000005</v>
      </c>
      <c r="N45" s="190">
        <f t="shared" si="21"/>
        <v>77.44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s="57" customFormat="1" ht="39" customHeight="1">
      <c r="A46" s="55"/>
      <c r="B46" s="236" t="s">
        <v>554</v>
      </c>
      <c r="C46" s="61"/>
      <c r="D46" s="69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s="57" customFormat="1" ht="39" customHeight="1">
      <c r="A47" s="55"/>
      <c r="B47" s="100" t="s">
        <v>556</v>
      </c>
      <c r="C47" s="61" t="s">
        <v>2</v>
      </c>
      <c r="D47" s="62" t="s">
        <v>533</v>
      </c>
      <c r="E47" s="190">
        <f aca="true" t="shared" si="22" ref="E47:N47">0.4*E6*E42*E14/1000</f>
        <v>13.44</v>
      </c>
      <c r="F47" s="190">
        <f t="shared" si="22"/>
        <v>13.44</v>
      </c>
      <c r="G47" s="190">
        <f t="shared" si="22"/>
        <v>19.2</v>
      </c>
      <c r="H47" s="190">
        <f>0.4*H6*H42*H14/1000</f>
        <v>19.2</v>
      </c>
      <c r="I47" s="190">
        <f t="shared" si="22"/>
        <v>23.04</v>
      </c>
      <c r="J47" s="190">
        <f t="shared" si="22"/>
        <v>29.952</v>
      </c>
      <c r="K47" s="190">
        <f t="shared" si="22"/>
        <v>36.864</v>
      </c>
      <c r="L47" s="190">
        <f t="shared" si="22"/>
        <v>43.776</v>
      </c>
      <c r="M47" s="190">
        <f t="shared" si="22"/>
        <v>43.776</v>
      </c>
      <c r="N47" s="190">
        <f t="shared" si="22"/>
        <v>50.688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s="71" customFormat="1" ht="39" customHeight="1">
      <c r="A48" s="66" t="s">
        <v>586</v>
      </c>
      <c r="B48" s="235" t="s">
        <v>590</v>
      </c>
      <c r="C48" s="67"/>
      <c r="D48" s="67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s="71" customFormat="1" ht="39" customHeight="1">
      <c r="A49" s="63"/>
      <c r="B49" s="100" t="s">
        <v>673</v>
      </c>
      <c r="C49" s="61" t="s">
        <v>2</v>
      </c>
      <c r="D49" s="62" t="s">
        <v>559</v>
      </c>
      <c r="E49" s="192">
        <f>SQRT((E30*(E13+2+0.5*E8+0.5*E12)/(E42*E42/3))^2+(E29/E42/2)^2)</f>
        <v>0.49483893287905106</v>
      </c>
      <c r="F49" s="192">
        <f aca="true" t="shared" si="23" ref="F49:N49">SQRT((F30*(F13+2+0.5*F8+0.5*F12)/(F42*F42/3))^2+(F29/F42/2)^2)</f>
        <v>0.747329350593448</v>
      </c>
      <c r="G49" s="192">
        <f t="shared" si="23"/>
        <v>0.4317821301547807</v>
      </c>
      <c r="H49" s="192">
        <f t="shared" si="23"/>
        <v>0.6413295881633206</v>
      </c>
      <c r="I49" s="192">
        <f t="shared" si="23"/>
        <v>0.8787544687269098</v>
      </c>
      <c r="J49" s="192">
        <f t="shared" si="23"/>
        <v>0.7100249258006369</v>
      </c>
      <c r="K49" s="192">
        <f t="shared" si="23"/>
        <v>0.7227508234606934</v>
      </c>
      <c r="L49" s="192">
        <f t="shared" si="23"/>
        <v>0.6533544140179955</v>
      </c>
      <c r="M49" s="192">
        <f t="shared" si="23"/>
        <v>0.7585689131998029</v>
      </c>
      <c r="N49" s="192">
        <f t="shared" si="23"/>
        <v>0.7315642288313013</v>
      </c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57" customFormat="1" ht="39" customHeight="1">
      <c r="A50" s="55"/>
      <c r="B50" s="237" t="s">
        <v>557</v>
      </c>
      <c r="C50" s="56" t="s">
        <v>2</v>
      </c>
      <c r="D50" s="55" t="s">
        <v>559</v>
      </c>
      <c r="E50" s="185">
        <f aca="true" t="shared" si="24" ref="E50:N50">0.3*0.707*4900*E15/1000</f>
        <v>0.8314320000000001</v>
      </c>
      <c r="F50" s="185">
        <f t="shared" si="24"/>
        <v>0.8314320000000001</v>
      </c>
      <c r="G50" s="185">
        <f t="shared" si="24"/>
        <v>0.8314320000000001</v>
      </c>
      <c r="H50" s="185">
        <f>0.3*0.707*4900*H15/1000</f>
        <v>0.8314320000000001</v>
      </c>
      <c r="I50" s="185">
        <f t="shared" si="24"/>
        <v>0.8314320000000001</v>
      </c>
      <c r="J50" s="185">
        <f t="shared" si="24"/>
        <v>0.8314320000000001</v>
      </c>
      <c r="K50" s="185">
        <f t="shared" si="24"/>
        <v>0.8314320000000001</v>
      </c>
      <c r="L50" s="185">
        <f t="shared" si="24"/>
        <v>0.8314320000000001</v>
      </c>
      <c r="M50" s="185">
        <f t="shared" si="24"/>
        <v>0.8314320000000001</v>
      </c>
      <c r="N50" s="185">
        <f t="shared" si="24"/>
        <v>0.8314320000000001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s="57" customFormat="1" ht="39" customHeight="1">
      <c r="A51" s="72" t="s">
        <v>587</v>
      </c>
      <c r="B51" s="238" t="s">
        <v>562</v>
      </c>
      <c r="C51" s="74"/>
      <c r="D51" s="74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s="57" customFormat="1" ht="39" customHeight="1">
      <c r="A52" s="63"/>
      <c r="B52" s="100" t="s">
        <v>563</v>
      </c>
      <c r="C52" s="61" t="s">
        <v>2</v>
      </c>
      <c r="D52" s="62" t="s">
        <v>533</v>
      </c>
      <c r="E52" s="186">
        <f aca="true" t="shared" si="25" ref="E52:N52">0.4*E6*(E17/10)*(E19/10)/1000</f>
        <v>10.56</v>
      </c>
      <c r="F52" s="186">
        <f t="shared" si="25"/>
        <v>11.1744</v>
      </c>
      <c r="G52" s="186">
        <f t="shared" si="25"/>
        <v>14.4</v>
      </c>
      <c r="H52" s="186">
        <f>0.4*H6*(H17/10)*(H19/10)/1000</f>
        <v>18.72</v>
      </c>
      <c r="I52" s="186">
        <f t="shared" si="25"/>
        <v>22.5792</v>
      </c>
      <c r="J52" s="186">
        <f t="shared" si="25"/>
        <v>23.52</v>
      </c>
      <c r="K52" s="186">
        <f t="shared" si="25"/>
        <v>30.72</v>
      </c>
      <c r="L52" s="186">
        <f t="shared" si="25"/>
        <v>38.88</v>
      </c>
      <c r="M52" s="186">
        <f t="shared" si="25"/>
        <v>48</v>
      </c>
      <c r="N52" s="186">
        <f t="shared" si="25"/>
        <v>63.36000000000001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s="57" customFormat="1" ht="39" customHeight="1">
      <c r="A53" s="55"/>
      <c r="B53" s="100" t="s">
        <v>564</v>
      </c>
      <c r="C53" s="61" t="s">
        <v>2</v>
      </c>
      <c r="D53" s="62" t="s">
        <v>533</v>
      </c>
      <c r="E53" s="194">
        <f aca="true" t="shared" si="26" ref="E53:N53">0.3*4000*(0.1*E17-E11*(E10+0.2))*(E19/10)/1000</f>
        <v>10.296</v>
      </c>
      <c r="F53" s="194">
        <f t="shared" si="26"/>
        <v>10.800000000000002</v>
      </c>
      <c r="G53" s="194">
        <f t="shared" si="26"/>
        <v>13.248</v>
      </c>
      <c r="H53" s="194">
        <f>0.3*4000*(0.1*H17-H11*(H10+0.2))*(H19/10)/1000</f>
        <v>18.252</v>
      </c>
      <c r="I53" s="194">
        <f t="shared" si="26"/>
        <v>21.888</v>
      </c>
      <c r="J53" s="194">
        <f t="shared" si="26"/>
        <v>22.008</v>
      </c>
      <c r="K53" s="194">
        <f t="shared" si="26"/>
        <v>27.84</v>
      </c>
      <c r="L53" s="194">
        <f t="shared" si="26"/>
        <v>34.344</v>
      </c>
      <c r="M53" s="194">
        <f t="shared" si="26"/>
        <v>44.16</v>
      </c>
      <c r="N53" s="194">
        <f t="shared" si="26"/>
        <v>58.872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s="79" customFormat="1" ht="39" customHeight="1">
      <c r="A54" s="63"/>
      <c r="B54" s="233"/>
      <c r="C54" s="61"/>
      <c r="D54" s="62"/>
      <c r="E54" s="195"/>
      <c r="F54" s="191"/>
      <c r="G54" s="191"/>
      <c r="H54" s="191"/>
      <c r="I54" s="191"/>
      <c r="J54" s="191"/>
      <c r="K54" s="191"/>
      <c r="L54" s="191"/>
      <c r="M54" s="191"/>
      <c r="N54" s="191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s="57" customFormat="1" ht="39" customHeight="1">
      <c r="A55" s="75" t="s">
        <v>588</v>
      </c>
      <c r="B55" s="239" t="s">
        <v>565</v>
      </c>
      <c r="C55" s="77"/>
      <c r="D55" s="78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s="71" customFormat="1" ht="39" customHeight="1">
      <c r="A56" s="55"/>
      <c r="B56" s="232" t="s">
        <v>670</v>
      </c>
      <c r="C56" s="61" t="s">
        <v>2</v>
      </c>
      <c r="D56" s="62" t="s">
        <v>566</v>
      </c>
      <c r="E56" s="197">
        <f>E30/2/E11</f>
        <v>0.485</v>
      </c>
      <c r="F56" s="197">
        <f aca="true" t="shared" si="27" ref="F56:N56">F30/2/F11</f>
        <v>0.7325</v>
      </c>
      <c r="G56" s="197">
        <f t="shared" si="27"/>
        <v>0.57</v>
      </c>
      <c r="H56" s="197">
        <f t="shared" si="27"/>
        <v>0.8466666666666667</v>
      </c>
      <c r="I56" s="197">
        <f t="shared" si="27"/>
        <v>1</v>
      </c>
      <c r="J56" s="197">
        <f t="shared" si="27"/>
        <v>1.02625</v>
      </c>
      <c r="K56" s="197">
        <f t="shared" si="27"/>
        <v>1.25</v>
      </c>
      <c r="L56" s="197">
        <f t="shared" si="27"/>
        <v>1.3083333333333333</v>
      </c>
      <c r="M56" s="197">
        <f t="shared" si="27"/>
        <v>1.5</v>
      </c>
      <c r="N56" s="197">
        <f t="shared" si="27"/>
        <v>1.6071428571428572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s="71" customFormat="1" ht="39" customHeight="1">
      <c r="A57" s="55"/>
      <c r="B57" s="232" t="s">
        <v>573</v>
      </c>
      <c r="C57" s="61" t="s">
        <v>2</v>
      </c>
      <c r="D57" s="62" t="s">
        <v>528</v>
      </c>
      <c r="E57" s="197">
        <f>E30*(E13+2+0.5*E12+0.5*E8)/100</f>
        <v>0.3201</v>
      </c>
      <c r="F57" s="197">
        <f aca="true" t="shared" si="28" ref="F57:N57">F30*(F13+2+0.5*F12+0.5*F8)/100</f>
        <v>0.48345000000000005</v>
      </c>
      <c r="G57" s="197">
        <f t="shared" si="28"/>
        <v>0.5643</v>
      </c>
      <c r="H57" s="197">
        <f t="shared" si="28"/>
        <v>0.8382000000000001</v>
      </c>
      <c r="I57" s="197">
        <f>I30*(I13+2+0.5*I12+0.5*I8)/100</f>
        <v>1.14</v>
      </c>
      <c r="J57" s="197">
        <f t="shared" si="28"/>
        <v>1.5599</v>
      </c>
      <c r="K57" s="197">
        <f t="shared" si="28"/>
        <v>2.375</v>
      </c>
      <c r="L57" s="197">
        <f>L30*(L13+2+0.5*L12+0.5*L8)/100</f>
        <v>2.983</v>
      </c>
      <c r="M57" s="197">
        <f t="shared" si="28"/>
        <v>3.42</v>
      </c>
      <c r="N57" s="197">
        <f t="shared" si="28"/>
        <v>4.275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s="71" customFormat="1" ht="39" customHeight="1">
      <c r="A58" s="55"/>
      <c r="B58" s="232" t="s">
        <v>574</v>
      </c>
      <c r="C58" s="61" t="s">
        <v>2</v>
      </c>
      <c r="D58" s="62" t="s">
        <v>566</v>
      </c>
      <c r="E58" s="197">
        <f>E57*'Torsion coeff2'!B20*100</f>
        <v>1.3337499999999998</v>
      </c>
      <c r="F58" s="197">
        <f>F57*'Torsion coeff2'!B20*100</f>
        <v>2.0143750000000002</v>
      </c>
      <c r="G58" s="197">
        <f>G57*'Torsion coeff2'!D20*100</f>
        <v>1.71</v>
      </c>
      <c r="H58" s="197">
        <f>H57*'Torsion coeff2'!D20*100</f>
        <v>2.54</v>
      </c>
      <c r="I58" s="197">
        <f>I57*'Torsion coeff2'!D20*100</f>
        <v>3.4545454545454546</v>
      </c>
      <c r="J58" s="197">
        <f>J57*'Torsion coeff2'!F20*100</f>
        <v>3.249791666666667</v>
      </c>
      <c r="K58" s="197">
        <f>K57*'Torsion coeff2'!H20*100</f>
        <v>3.5185185185185186</v>
      </c>
      <c r="L58" s="197">
        <f>L57*'Torsion coeff2'!J20*100</f>
        <v>3.270833333333333</v>
      </c>
      <c r="M58" s="197">
        <f>M57*'Torsion coeff2'!J20*100</f>
        <v>3.75</v>
      </c>
      <c r="N58" s="197">
        <f>N57*'Torsion coeff2'!L20*100</f>
        <v>3.5924369747899165</v>
      </c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s="57" customFormat="1" ht="39" customHeight="1">
      <c r="A59" s="55"/>
      <c r="B59" s="232" t="s">
        <v>572</v>
      </c>
      <c r="C59" s="61" t="s">
        <v>2</v>
      </c>
      <c r="D59" s="62" t="s">
        <v>566</v>
      </c>
      <c r="E59" s="197">
        <f>E57*'Torsion coeff2'!B21*100</f>
        <v>1.3337499999999998</v>
      </c>
      <c r="F59" s="197">
        <f>F57*'Torsion coeff2'!B21*100</f>
        <v>2.0143750000000002</v>
      </c>
      <c r="G59" s="197">
        <f>G57*'Torsion coeff2'!D21*100</f>
        <v>0.855</v>
      </c>
      <c r="H59" s="197">
        <f>H57*'Torsion coeff2'!D21*100</f>
        <v>1.27</v>
      </c>
      <c r="I59" s="197">
        <f>I57*'Torsion coeff2'!D21*100</f>
        <v>1.7272727272727273</v>
      </c>
      <c r="J59" s="197">
        <f>J57*'Torsion coeff2'!F21*100</f>
        <v>1.0832638888888888</v>
      </c>
      <c r="K59" s="197">
        <f>K57*'Torsion coeff2'!H21*100</f>
        <v>0.8796296296296297</v>
      </c>
      <c r="L59" s="197">
        <f>L57*'Torsion coeff2'!J21*100</f>
        <v>0.6541666666666666</v>
      </c>
      <c r="M59" s="197">
        <f>M57*'Torsion coeff2'!J21*100</f>
        <v>0.75</v>
      </c>
      <c r="N59" s="197">
        <f>N57*'Torsion coeff2'!L21*100</f>
        <v>0.5987394957983194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s="57" customFormat="1" ht="39" customHeight="1">
      <c r="A60" s="55"/>
      <c r="B60" s="234" t="s">
        <v>575</v>
      </c>
      <c r="C60" s="176" t="s">
        <v>2</v>
      </c>
      <c r="D60" s="177" t="s">
        <v>566</v>
      </c>
      <c r="E60" s="198">
        <f>SQRT((E56+E59)^2+E58*E58)</f>
        <v>2.2553803725757655</v>
      </c>
      <c r="F60" s="198">
        <f aca="true" t="shared" si="29" ref="F60:N60">SQRT((F56+F59)^2+F58*F58)</f>
        <v>3.406321902910822</v>
      </c>
      <c r="G60" s="198">
        <f t="shared" si="29"/>
        <v>2.2259211576333966</v>
      </c>
      <c r="H60" s="198">
        <f>SQRT((H56+H59)^2+H58*H58)</f>
        <v>3.3063390294671504</v>
      </c>
      <c r="I60" s="198">
        <f>SQRT((I56+I59)^2+I58*I58)</f>
        <v>4.401352158876438</v>
      </c>
      <c r="J60" s="198">
        <f t="shared" si="29"/>
        <v>3.874428309331744</v>
      </c>
      <c r="K60" s="198">
        <f t="shared" si="29"/>
        <v>4.112820798983853</v>
      </c>
      <c r="L60" s="198">
        <f t="shared" si="29"/>
        <v>3.814414364544634</v>
      </c>
      <c r="M60" s="198">
        <f t="shared" si="29"/>
        <v>4.373213921133975</v>
      </c>
      <c r="N60" s="198">
        <f t="shared" si="29"/>
        <v>4.2156281113085665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s="57" customFormat="1" ht="39" customHeight="1">
      <c r="A61" s="55"/>
      <c r="B61" s="232" t="s">
        <v>576</v>
      </c>
      <c r="C61" s="61" t="s">
        <v>2</v>
      </c>
      <c r="D61" s="62" t="s">
        <v>566</v>
      </c>
      <c r="E61" s="197">
        <f aca="true" t="shared" si="30" ref="E61:N61">1.45*(3.14*E10*E10/4)</f>
        <v>4.553</v>
      </c>
      <c r="F61" s="197">
        <f t="shared" si="30"/>
        <v>4.553</v>
      </c>
      <c r="G61" s="197">
        <f t="shared" si="30"/>
        <v>4.553</v>
      </c>
      <c r="H61" s="197">
        <f>1.45*(3.14*H10*H10/4)</f>
        <v>4.553</v>
      </c>
      <c r="I61" s="197">
        <f t="shared" si="30"/>
        <v>4.553</v>
      </c>
      <c r="J61" s="197">
        <f t="shared" si="30"/>
        <v>4.553</v>
      </c>
      <c r="K61" s="197">
        <f t="shared" si="30"/>
        <v>4.553</v>
      </c>
      <c r="L61" s="197">
        <f t="shared" si="30"/>
        <v>4.553</v>
      </c>
      <c r="M61" s="197">
        <f t="shared" si="30"/>
        <v>4.553</v>
      </c>
      <c r="N61" s="197">
        <f t="shared" si="30"/>
        <v>4.553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s="37" customFormat="1" ht="41.25" customHeight="1">
      <c r="A62" s="38"/>
      <c r="B62" s="38"/>
      <c r="C62" s="39"/>
      <c r="D62" s="38"/>
      <c r="E62" s="39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s="37" customFormat="1" ht="41.25" customHeight="1">
      <c r="A63" s="38"/>
      <c r="B63" s="38"/>
      <c r="C63" s="39"/>
      <c r="D63" s="40"/>
      <c r="E63" s="41"/>
      <c r="F63" s="38"/>
      <c r="G63" s="38"/>
      <c r="H63" s="38"/>
      <c r="I63" s="163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37" customFormat="1" ht="41.25" customHeight="1">
      <c r="A64" s="38"/>
      <c r="B64" s="38"/>
      <c r="C64" s="38"/>
      <c r="D64" s="38"/>
      <c r="E64" s="39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37" customFormat="1" ht="41.25" customHeight="1">
      <c r="A65" s="38"/>
      <c r="B65" s="38"/>
      <c r="C65" s="38"/>
      <c r="D65" s="38"/>
      <c r="E65" s="39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37" customFormat="1" ht="41.25" customHeight="1">
      <c r="A66" s="38"/>
      <c r="B66" s="38"/>
      <c r="C66" s="38"/>
      <c r="D66" s="38"/>
      <c r="E66" s="39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s="37" customFormat="1" ht="41.25" customHeight="1">
      <c r="A67" s="38"/>
      <c r="B67" s="38"/>
      <c r="C67" s="38"/>
      <c r="D67" s="38"/>
      <c r="E67" s="39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s="37" customFormat="1" ht="41.25" customHeight="1">
      <c r="A68" s="38"/>
      <c r="B68" s="38"/>
      <c r="C68" s="38"/>
      <c r="D68" s="38"/>
      <c r="E68" s="3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s="37" customFormat="1" ht="41.25" customHeight="1">
      <c r="A69" s="38"/>
      <c r="B69" s="38"/>
      <c r="C69" s="38"/>
      <c r="D69" s="38"/>
      <c r="E69" s="39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s="37" customFormat="1" ht="41.25" customHeight="1">
      <c r="A70" s="38"/>
      <c r="B70" s="38"/>
      <c r="C70" s="38"/>
      <c r="D70" s="38"/>
      <c r="E70" s="39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s="37" customFormat="1" ht="41.25" customHeight="1">
      <c r="A71" s="38"/>
      <c r="B71" s="42"/>
      <c r="C71" s="43"/>
      <c r="D71" s="42"/>
      <c r="E71" s="43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37" customFormat="1" ht="41.25" customHeight="1">
      <c r="A72" s="38"/>
      <c r="B72" s="38"/>
      <c r="C72" s="38"/>
      <c r="D72" s="38"/>
      <c r="E72" s="39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37" customFormat="1" ht="41.25" customHeight="1">
      <c r="A73" s="38"/>
      <c r="B73" s="38"/>
      <c r="C73" s="38"/>
      <c r="D73" s="38"/>
      <c r="E73" s="3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37" customFormat="1" ht="41.25" customHeight="1">
      <c r="A74" s="38"/>
      <c r="B74" s="38"/>
      <c r="C74" s="38"/>
      <c r="D74" s="38"/>
      <c r="E74" s="39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s="37" customFormat="1" ht="41.25" customHeight="1">
      <c r="A75" s="38"/>
      <c r="B75" s="38"/>
      <c r="C75" s="38"/>
      <c r="D75" s="38"/>
      <c r="E75" s="39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s="37" customFormat="1" ht="41.25" customHeight="1">
      <c r="A76" s="38"/>
      <c r="B76" s="38"/>
      <c r="C76" s="38"/>
      <c r="D76" s="38"/>
      <c r="E76" s="39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s="37" customFormat="1" ht="41.25" customHeight="1">
      <c r="A77" s="38"/>
      <c r="B77" s="38"/>
      <c r="C77" s="38"/>
      <c r="D77" s="38"/>
      <c r="E77" s="39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5" s="37" customFormat="1" ht="41.25" customHeight="1">
      <c r="A78" s="38"/>
      <c r="B78" s="38"/>
      <c r="C78" s="38"/>
      <c r="D78" s="38"/>
      <c r="E78" s="39"/>
    </row>
    <row r="79" spans="1:5" s="37" customFormat="1" ht="41.25" customHeight="1">
      <c r="A79" s="38"/>
      <c r="B79" s="38"/>
      <c r="C79" s="38"/>
      <c r="D79" s="38"/>
      <c r="E79" s="39"/>
    </row>
    <row r="80" spans="1:5" s="37" customFormat="1" ht="41.25" customHeight="1">
      <c r="A80" s="38"/>
      <c r="B80" s="38"/>
      <c r="C80" s="38"/>
      <c r="D80" s="38"/>
      <c r="E80" s="39"/>
    </row>
    <row r="81" spans="1:5" s="37" customFormat="1" ht="41.25" customHeight="1">
      <c r="A81" s="38"/>
      <c r="B81" s="38"/>
      <c r="C81" s="38"/>
      <c r="D81" s="38"/>
      <c r="E81" s="39"/>
    </row>
    <row r="82" spans="1:5" s="37" customFormat="1" ht="41.25" customHeight="1">
      <c r="A82" s="38"/>
      <c r="B82" s="38"/>
      <c r="C82" s="38"/>
      <c r="D82" s="38"/>
      <c r="E82" s="39"/>
    </row>
    <row r="83" spans="1:5" s="37" customFormat="1" ht="14.25">
      <c r="A83" s="38"/>
      <c r="B83" s="38"/>
      <c r="C83" s="38"/>
      <c r="D83" s="38"/>
      <c r="E83" s="39"/>
    </row>
    <row r="84" spans="1:5" s="37" customFormat="1" ht="14.25">
      <c r="A84" s="38"/>
      <c r="B84" s="38"/>
      <c r="C84" s="38"/>
      <c r="D84" s="38"/>
      <c r="E84" s="39"/>
    </row>
    <row r="85" spans="1:5" s="37" customFormat="1" ht="14.25">
      <c r="A85" s="38"/>
      <c r="B85" s="38"/>
      <c r="C85" s="38"/>
      <c r="D85" s="38"/>
      <c r="E85" s="39"/>
    </row>
    <row r="86" s="37" customFormat="1" ht="14.25">
      <c r="E86" s="44"/>
    </row>
    <row r="87" s="37" customFormat="1" ht="14.25">
      <c r="E87" s="44"/>
    </row>
    <row r="88" s="37" customFormat="1" ht="14.25">
      <c r="E88" s="44"/>
    </row>
    <row r="89" s="37" customFormat="1" ht="14.25">
      <c r="E89" s="44"/>
    </row>
    <row r="90" s="37" customFormat="1" ht="14.25">
      <c r="E90" s="44"/>
    </row>
    <row r="91" s="37" customFormat="1" ht="14.25">
      <c r="E91" s="44"/>
    </row>
    <row r="92" s="37" customFormat="1" ht="14.25">
      <c r="E92" s="44"/>
    </row>
    <row r="93" s="37" customFormat="1" ht="14.25">
      <c r="E93" s="44"/>
    </row>
    <row r="94" s="37" customFormat="1" ht="14.25">
      <c r="E94" s="44"/>
    </row>
    <row r="95" s="37" customFormat="1" ht="14.25">
      <c r="E95" s="44"/>
    </row>
    <row r="96" s="37" customFormat="1" ht="14.25">
      <c r="E96" s="44"/>
    </row>
    <row r="97" s="37" customFormat="1" ht="14.25">
      <c r="E97" s="44"/>
    </row>
    <row r="98" s="37" customFormat="1" ht="14.25">
      <c r="E98" s="44"/>
    </row>
    <row r="99" s="37" customFormat="1" ht="14.25">
      <c r="E99" s="44"/>
    </row>
    <row r="100" s="37" customFormat="1" ht="14.25">
      <c r="E100" s="44"/>
    </row>
    <row r="101" s="37" customFormat="1" ht="14.25">
      <c r="E101" s="44"/>
    </row>
    <row r="102" s="37" customFormat="1" ht="14.25">
      <c r="E102" s="44"/>
    </row>
    <row r="103" s="37" customFormat="1" ht="14.25">
      <c r="E103" s="44"/>
    </row>
    <row r="104" s="37" customFormat="1" ht="14.25">
      <c r="E104" s="44"/>
    </row>
    <row r="105" s="37" customFormat="1" ht="14.25">
      <c r="E105" s="44"/>
    </row>
    <row r="106" s="37" customFormat="1" ht="14.25">
      <c r="E106" s="44"/>
    </row>
    <row r="107" s="37" customFormat="1" ht="14.25">
      <c r="E107" s="44"/>
    </row>
    <row r="108" s="37" customFormat="1" ht="14.25">
      <c r="E108" s="44"/>
    </row>
    <row r="109" s="37" customFormat="1" ht="14.25">
      <c r="E109" s="44"/>
    </row>
    <row r="110" s="37" customFormat="1" ht="14.25">
      <c r="E110" s="44"/>
    </row>
    <row r="111" s="37" customFormat="1" ht="14.25">
      <c r="E111" s="44"/>
    </row>
    <row r="112" s="37" customFormat="1" ht="14.25">
      <c r="E112" s="44"/>
    </row>
    <row r="113" s="37" customFormat="1" ht="14.25">
      <c r="E113" s="44"/>
    </row>
    <row r="114" s="37" customFormat="1" ht="14.25">
      <c r="E114" s="44"/>
    </row>
    <row r="115" s="37" customFormat="1" ht="14.25">
      <c r="E115" s="44"/>
    </row>
    <row r="116" s="37" customFormat="1" ht="14.25">
      <c r="E116" s="44"/>
    </row>
    <row r="117" s="37" customFormat="1" ht="14.25">
      <c r="E117" s="44"/>
    </row>
    <row r="118" s="37" customFormat="1" ht="14.25">
      <c r="E118" s="44"/>
    </row>
    <row r="119" s="37" customFormat="1" ht="14.25">
      <c r="E119" s="44"/>
    </row>
    <row r="120" s="37" customFormat="1" ht="14.25">
      <c r="E120" s="44"/>
    </row>
    <row r="121" s="37" customFormat="1" ht="14.25">
      <c r="E121" s="44"/>
    </row>
    <row r="122" s="37" customFormat="1" ht="14.25">
      <c r="E122" s="44"/>
    </row>
    <row r="123" s="37" customFormat="1" ht="14.25">
      <c r="E123" s="44"/>
    </row>
    <row r="124" s="37" customFormat="1" ht="14.25">
      <c r="E124" s="44"/>
    </row>
    <row r="125" s="37" customFormat="1" ht="14.25">
      <c r="E125" s="44"/>
    </row>
  </sheetData>
  <dataValidations count="1">
    <dataValidation type="list" allowBlank="1" showInputMessage="1" showErrorMessage="1" sqref="E5:N5">
      <formula1>st_name</formula1>
    </dataValidation>
  </dataValidations>
  <printOptions/>
  <pageMargins left="0.94" right="0.41" top="0.47" bottom="0.33" header="0.33" footer="0.25"/>
  <pageSetup fitToHeight="1" fitToWidth="1" horizontalDpi="600" verticalDpi="600" orientation="landscape" paperSize="9" scale="2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P124"/>
  <sheetViews>
    <sheetView zoomScale="25" zoomScaleNormal="25" workbookViewId="0" topLeftCell="A1">
      <selection activeCell="F15" sqref="F15"/>
    </sheetView>
  </sheetViews>
  <sheetFormatPr defaultColWidth="9.140625" defaultRowHeight="21.75"/>
  <cols>
    <col min="1" max="1" width="9.421875" style="6" customWidth="1"/>
    <col min="2" max="2" width="106.421875" style="6" customWidth="1"/>
    <col min="3" max="3" width="10.140625" style="6" customWidth="1"/>
    <col min="4" max="4" width="20.28125" style="6" customWidth="1"/>
    <col min="5" max="5" width="52.00390625" style="7" customWidth="1"/>
    <col min="6" max="14" width="52.00390625" style="89" customWidth="1"/>
    <col min="15" max="15" width="20.28125" style="6" bestFit="1" customWidth="1"/>
    <col min="16" max="16" width="8.7109375" style="6" customWidth="1"/>
    <col min="17" max="17" width="26.28125" style="6" customWidth="1"/>
    <col min="18" max="18" width="20.8515625" style="6" bestFit="1" customWidth="1"/>
    <col min="19" max="19" width="10.140625" style="6" bestFit="1" customWidth="1"/>
    <col min="20" max="20" width="26.8515625" style="6" bestFit="1" customWidth="1"/>
    <col min="21" max="21" width="20.8515625" style="6" bestFit="1" customWidth="1"/>
    <col min="22" max="22" width="8.7109375" style="6" customWidth="1"/>
    <col min="23" max="23" width="26.8515625" style="6" bestFit="1" customWidth="1"/>
    <col min="24" max="24" width="22.421875" style="6" bestFit="1" customWidth="1"/>
    <col min="25" max="25" width="8.7109375" style="6" customWidth="1"/>
    <col min="26" max="26" width="28.28125" style="6" bestFit="1" customWidth="1"/>
    <col min="27" max="27" width="19.28125" style="6" bestFit="1" customWidth="1"/>
    <col min="28" max="28" width="9.140625" style="6" customWidth="1"/>
    <col min="29" max="29" width="25.140625" style="6" bestFit="1" customWidth="1"/>
    <col min="30" max="30" width="20.28125" style="6" bestFit="1" customWidth="1"/>
    <col min="31" max="31" width="9.140625" style="6" customWidth="1"/>
    <col min="32" max="32" width="26.28125" style="6" bestFit="1" customWidth="1"/>
    <col min="33" max="33" width="20.57421875" style="6" bestFit="1" customWidth="1"/>
    <col min="34" max="34" width="7.7109375" style="6" customWidth="1"/>
    <col min="35" max="35" width="26.57421875" style="6" bestFit="1" customWidth="1"/>
    <col min="36" max="36" width="19.57421875" style="6" bestFit="1" customWidth="1"/>
    <col min="37" max="37" width="7.7109375" style="6" customWidth="1"/>
    <col min="38" max="38" width="25.57421875" style="6" bestFit="1" customWidth="1"/>
    <col min="39" max="39" width="19.57421875" style="6" bestFit="1" customWidth="1"/>
    <col min="40" max="40" width="9.140625" style="6" customWidth="1"/>
    <col min="41" max="41" width="25.57421875" style="6" bestFit="1" customWidth="1"/>
    <col min="42" max="42" width="18.140625" style="6" bestFit="1" customWidth="1"/>
    <col min="43" max="43" width="7.7109375" style="6" customWidth="1"/>
    <col min="44" max="44" width="24.00390625" style="6" bestFit="1" customWidth="1"/>
    <col min="45" max="45" width="19.57421875" style="6" bestFit="1" customWidth="1"/>
    <col min="46" max="46" width="7.7109375" style="6" customWidth="1"/>
    <col min="47" max="47" width="25.57421875" style="6" bestFit="1" customWidth="1"/>
    <col min="48" max="48" width="19.57421875" style="6" bestFit="1" customWidth="1"/>
    <col min="49" max="49" width="9.140625" style="6" customWidth="1"/>
    <col min="50" max="50" width="25.57421875" style="6" bestFit="1" customWidth="1"/>
    <col min="51" max="51" width="19.57421875" style="6" bestFit="1" customWidth="1"/>
    <col min="52" max="52" width="7.7109375" style="6" customWidth="1"/>
    <col min="53" max="53" width="25.57421875" style="6" bestFit="1" customWidth="1"/>
    <col min="54" max="54" width="19.57421875" style="6" bestFit="1" customWidth="1"/>
    <col min="55" max="55" width="7.7109375" style="6" customWidth="1"/>
    <col min="56" max="56" width="25.57421875" style="6" bestFit="1" customWidth="1"/>
    <col min="57" max="57" width="19.57421875" style="6" bestFit="1" customWidth="1"/>
    <col min="58" max="58" width="8.7109375" style="6" customWidth="1"/>
    <col min="59" max="59" width="25.57421875" style="6" bestFit="1" customWidth="1"/>
    <col min="60" max="60" width="19.57421875" style="6" bestFit="1" customWidth="1"/>
    <col min="61" max="61" width="7.7109375" style="6" customWidth="1"/>
    <col min="62" max="62" width="25.57421875" style="6" bestFit="1" customWidth="1"/>
    <col min="63" max="63" width="19.57421875" style="6" bestFit="1" customWidth="1"/>
    <col min="64" max="64" width="8.7109375" style="6" customWidth="1"/>
    <col min="65" max="65" width="25.57421875" style="6" bestFit="1" customWidth="1"/>
    <col min="66" max="66" width="19.57421875" style="6" bestFit="1" customWidth="1"/>
    <col min="67" max="67" width="8.7109375" style="6" customWidth="1"/>
    <col min="68" max="68" width="25.57421875" style="6" bestFit="1" customWidth="1"/>
    <col min="69" max="69" width="20.140625" style="6" bestFit="1" customWidth="1"/>
    <col min="70" max="70" width="10.140625" style="6" bestFit="1" customWidth="1"/>
    <col min="71" max="71" width="26.140625" style="6" bestFit="1" customWidth="1"/>
    <col min="72" max="72" width="20.140625" style="6" bestFit="1" customWidth="1"/>
    <col min="73" max="73" width="8.7109375" style="6" customWidth="1"/>
    <col min="74" max="74" width="26.140625" style="6" bestFit="1" customWidth="1"/>
    <col min="75" max="75" width="21.7109375" style="6" bestFit="1" customWidth="1"/>
    <col min="76" max="76" width="8.7109375" style="6" customWidth="1"/>
    <col min="77" max="77" width="27.57421875" style="6" bestFit="1" customWidth="1"/>
    <col min="78" max="78" width="18.57421875" style="6" bestFit="1" customWidth="1"/>
    <col min="79" max="79" width="7.7109375" style="6" customWidth="1"/>
    <col min="80" max="80" width="24.421875" style="6" bestFit="1" customWidth="1"/>
    <col min="81" max="81" width="19.57421875" style="6" bestFit="1" customWidth="1"/>
    <col min="82" max="82" width="7.7109375" style="6" customWidth="1"/>
    <col min="83" max="83" width="25.57421875" style="6" bestFit="1" customWidth="1"/>
    <col min="84" max="84" width="19.7109375" style="6" bestFit="1" customWidth="1"/>
    <col min="85" max="85" width="7.7109375" style="6" customWidth="1"/>
    <col min="86" max="86" width="25.7109375" style="6" bestFit="1" customWidth="1"/>
    <col min="87" max="87" width="19.7109375" style="6" bestFit="1" customWidth="1"/>
    <col min="88" max="88" width="8.7109375" style="6" customWidth="1"/>
    <col min="89" max="89" width="25.7109375" style="6" bestFit="1" customWidth="1"/>
    <col min="90" max="90" width="19.7109375" style="6" bestFit="1" customWidth="1"/>
    <col min="91" max="91" width="8.7109375" style="6" customWidth="1"/>
    <col min="92" max="92" width="25.7109375" style="6" bestFit="1" customWidth="1"/>
    <col min="93" max="93" width="19.7109375" style="6" bestFit="1" customWidth="1"/>
    <col min="94" max="94" width="8.7109375" style="6" customWidth="1"/>
    <col min="95" max="95" width="25.7109375" style="6" bestFit="1" customWidth="1"/>
    <col min="96" max="96" width="19.7109375" style="6" bestFit="1" customWidth="1"/>
    <col min="97" max="97" width="7.7109375" style="6" customWidth="1"/>
    <col min="98" max="98" width="25.7109375" style="6" bestFit="1" customWidth="1"/>
    <col min="99" max="99" width="19.7109375" style="6" bestFit="1" customWidth="1"/>
    <col min="100" max="100" width="7.7109375" style="6" customWidth="1"/>
    <col min="101" max="101" width="25.7109375" style="6" bestFit="1" customWidth="1"/>
    <col min="102" max="102" width="19.7109375" style="6" bestFit="1" customWidth="1"/>
    <col min="103" max="103" width="8.7109375" style="6" customWidth="1"/>
    <col min="104" max="104" width="25.7109375" style="6" bestFit="1" customWidth="1"/>
    <col min="105" max="105" width="19.7109375" style="6" bestFit="1" customWidth="1"/>
    <col min="106" max="106" width="8.7109375" style="6" customWidth="1"/>
    <col min="107" max="107" width="25.7109375" style="6" bestFit="1" customWidth="1"/>
    <col min="108" max="108" width="19.7109375" style="6" bestFit="1" customWidth="1"/>
    <col min="109" max="109" width="8.7109375" style="6" customWidth="1"/>
    <col min="110" max="110" width="25.7109375" style="6" bestFit="1" customWidth="1"/>
    <col min="111" max="111" width="19.7109375" style="6" bestFit="1" customWidth="1"/>
    <col min="112" max="112" width="8.7109375" style="6" customWidth="1"/>
    <col min="113" max="113" width="25.7109375" style="6" bestFit="1" customWidth="1"/>
    <col min="114" max="114" width="19.7109375" style="6" bestFit="1" customWidth="1"/>
    <col min="115" max="115" width="8.7109375" style="6" customWidth="1"/>
    <col min="116" max="116" width="25.7109375" style="6" bestFit="1" customWidth="1"/>
    <col min="117" max="117" width="19.7109375" style="6" bestFit="1" customWidth="1"/>
    <col min="118" max="118" width="8.7109375" style="6" customWidth="1"/>
    <col min="119" max="119" width="25.7109375" style="6" bestFit="1" customWidth="1"/>
    <col min="120" max="120" width="19.7109375" style="6" bestFit="1" customWidth="1"/>
    <col min="121" max="121" width="8.7109375" style="6" customWidth="1"/>
    <col min="122" max="122" width="25.7109375" style="6" bestFit="1" customWidth="1"/>
    <col min="123" max="123" width="19.7109375" style="6" bestFit="1" customWidth="1"/>
    <col min="124" max="124" width="8.7109375" style="6" customWidth="1"/>
    <col min="125" max="125" width="25.7109375" style="6" bestFit="1" customWidth="1"/>
    <col min="126" max="126" width="19.7109375" style="6" bestFit="1" customWidth="1"/>
    <col min="127" max="127" width="8.7109375" style="6" customWidth="1"/>
    <col min="128" max="128" width="25.7109375" style="6" bestFit="1" customWidth="1"/>
    <col min="129" max="129" width="19.7109375" style="6" bestFit="1" customWidth="1"/>
    <col min="130" max="130" width="8.7109375" style="6" customWidth="1"/>
    <col min="131" max="131" width="25.7109375" style="6" bestFit="1" customWidth="1"/>
    <col min="132" max="132" width="19.28125" style="6" bestFit="1" customWidth="1"/>
    <col min="133" max="133" width="8.7109375" style="6" customWidth="1"/>
    <col min="134" max="134" width="25.140625" style="6" bestFit="1" customWidth="1"/>
    <col min="135" max="135" width="19.7109375" style="6" bestFit="1" customWidth="1"/>
    <col min="136" max="136" width="8.7109375" style="6" customWidth="1"/>
    <col min="137" max="137" width="25.7109375" style="6" bestFit="1" customWidth="1"/>
    <col min="138" max="138" width="17.7109375" style="6" bestFit="1" customWidth="1"/>
    <col min="139" max="139" width="7.7109375" style="6" customWidth="1"/>
    <col min="140" max="140" width="23.57421875" style="6" bestFit="1" customWidth="1"/>
    <col min="141" max="141" width="17.7109375" style="6" bestFit="1" customWidth="1"/>
    <col min="142" max="142" width="7.7109375" style="6" customWidth="1"/>
    <col min="143" max="143" width="23.57421875" style="6" bestFit="1" customWidth="1"/>
    <col min="144" max="144" width="17.7109375" style="6" bestFit="1" customWidth="1"/>
    <col min="145" max="145" width="7.7109375" style="6" customWidth="1"/>
    <col min="146" max="146" width="23.57421875" style="6" bestFit="1" customWidth="1"/>
    <col min="147" max="147" width="17.7109375" style="6" bestFit="1" customWidth="1"/>
    <col min="148" max="148" width="7.7109375" style="6" customWidth="1"/>
    <col min="149" max="149" width="23.57421875" style="6" bestFit="1" customWidth="1"/>
    <col min="150" max="150" width="17.7109375" style="6" bestFit="1" customWidth="1"/>
    <col min="151" max="151" width="7.7109375" style="6" customWidth="1"/>
    <col min="152" max="152" width="23.57421875" style="6" bestFit="1" customWidth="1"/>
    <col min="153" max="153" width="17.7109375" style="6" bestFit="1" customWidth="1"/>
    <col min="154" max="154" width="7.7109375" style="6" customWidth="1"/>
    <col min="155" max="155" width="23.57421875" style="6" bestFit="1" customWidth="1"/>
    <col min="156" max="156" width="17.7109375" style="6" bestFit="1" customWidth="1"/>
    <col min="157" max="157" width="7.7109375" style="6" customWidth="1"/>
    <col min="158" max="158" width="23.57421875" style="6" bestFit="1" customWidth="1"/>
    <col min="159" max="159" width="17.7109375" style="6" bestFit="1" customWidth="1"/>
    <col min="160" max="160" width="7.7109375" style="6" customWidth="1"/>
    <col min="161" max="161" width="23.57421875" style="6" bestFit="1" customWidth="1"/>
    <col min="162" max="162" width="17.7109375" style="6" bestFit="1" customWidth="1"/>
    <col min="163" max="163" width="7.7109375" style="6" customWidth="1"/>
    <col min="164" max="164" width="23.57421875" style="6" bestFit="1" customWidth="1"/>
    <col min="165" max="165" width="17.7109375" style="6" bestFit="1" customWidth="1"/>
    <col min="166" max="166" width="7.7109375" style="6" customWidth="1"/>
    <col min="167" max="167" width="23.57421875" style="6" bestFit="1" customWidth="1"/>
    <col min="168" max="168" width="17.7109375" style="6" bestFit="1" customWidth="1"/>
    <col min="169" max="169" width="7.7109375" style="6" customWidth="1"/>
    <col min="170" max="170" width="23.57421875" style="6" bestFit="1" customWidth="1"/>
    <col min="171" max="171" width="17.7109375" style="6" bestFit="1" customWidth="1"/>
    <col min="172" max="172" width="7.7109375" style="6" customWidth="1"/>
    <col min="173" max="173" width="23.57421875" style="6" bestFit="1" customWidth="1"/>
    <col min="174" max="174" width="17.7109375" style="6" bestFit="1" customWidth="1"/>
    <col min="175" max="175" width="7.7109375" style="6" customWidth="1"/>
    <col min="176" max="176" width="23.57421875" style="6" bestFit="1" customWidth="1"/>
    <col min="177" max="16384" width="23.57421875" style="6" customWidth="1"/>
  </cols>
  <sheetData>
    <row r="1" ht="34.5" customHeight="1"/>
    <row r="2" spans="1:20" ht="41.25" customHeight="1">
      <c r="A2" s="21"/>
      <c r="B2" s="107" t="s">
        <v>596</v>
      </c>
      <c r="C2" s="21"/>
      <c r="D2" s="21"/>
      <c r="F2" s="86"/>
      <c r="G2" s="86"/>
      <c r="H2" s="86"/>
      <c r="I2" s="86"/>
      <c r="J2" s="86"/>
      <c r="K2" s="86"/>
      <c r="L2" s="86"/>
      <c r="M2" s="86"/>
      <c r="N2" s="86"/>
      <c r="O2" s="21"/>
      <c r="P2" s="21"/>
      <c r="Q2" s="21"/>
      <c r="R2" s="21"/>
      <c r="S2" s="21"/>
      <c r="T2" s="21"/>
    </row>
    <row r="3" spans="1:20" ht="34.5" customHeight="1">
      <c r="A3" s="21"/>
      <c r="B3" s="21"/>
      <c r="C3" s="21"/>
      <c r="D3" s="21"/>
      <c r="E3" s="22"/>
      <c r="F3" s="86"/>
      <c r="G3" s="86"/>
      <c r="H3" s="86"/>
      <c r="I3" s="86"/>
      <c r="J3" s="86"/>
      <c r="K3" s="86"/>
      <c r="L3" s="86"/>
      <c r="M3" s="86"/>
      <c r="N3" s="86"/>
      <c r="O3" s="21"/>
      <c r="P3" s="21"/>
      <c r="Q3" s="21"/>
      <c r="R3" s="21"/>
      <c r="S3" s="21"/>
      <c r="T3" s="21"/>
    </row>
    <row r="4" spans="1:172" s="85" customFormat="1" ht="36.75" customHeight="1">
      <c r="A4" s="80" t="s">
        <v>0</v>
      </c>
      <c r="B4" s="222" t="s">
        <v>581</v>
      </c>
      <c r="C4" s="81"/>
      <c r="D4" s="81"/>
      <c r="E4" s="82" t="s">
        <v>168</v>
      </c>
      <c r="F4" s="82" t="s">
        <v>166</v>
      </c>
      <c r="G4" s="82" t="s">
        <v>176</v>
      </c>
      <c r="H4" s="82" t="s">
        <v>184</v>
      </c>
      <c r="I4" s="82" t="s">
        <v>179</v>
      </c>
      <c r="J4" s="82" t="s">
        <v>194</v>
      </c>
      <c r="K4" s="82" t="s">
        <v>203</v>
      </c>
      <c r="L4" s="82" t="s">
        <v>213</v>
      </c>
      <c r="M4" s="82" t="s">
        <v>221</v>
      </c>
      <c r="N4" s="82" t="s">
        <v>227</v>
      </c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57" customFormat="1" ht="42.75" customHeight="1">
      <c r="A5" s="142"/>
      <c r="B5" s="223" t="s">
        <v>5</v>
      </c>
      <c r="C5" s="148" t="s">
        <v>2</v>
      </c>
      <c r="D5" s="149" t="s">
        <v>10</v>
      </c>
      <c r="E5" s="202">
        <v>2400</v>
      </c>
      <c r="F5" s="202">
        <v>2400</v>
      </c>
      <c r="G5" s="202">
        <v>2400</v>
      </c>
      <c r="H5" s="202">
        <v>2400</v>
      </c>
      <c r="I5" s="202">
        <v>2400</v>
      </c>
      <c r="J5" s="202">
        <v>2400</v>
      </c>
      <c r="K5" s="202">
        <v>2400</v>
      </c>
      <c r="L5" s="202">
        <v>2400</v>
      </c>
      <c r="M5" s="202">
        <v>2400</v>
      </c>
      <c r="N5" s="202">
        <v>2400</v>
      </c>
      <c r="O5" s="58"/>
      <c r="P5" s="58"/>
      <c r="Q5" s="58"/>
      <c r="R5" s="58"/>
      <c r="S5" s="58"/>
      <c r="T5" s="58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</row>
    <row r="6" spans="1:20" s="57" customFormat="1" ht="42.75" customHeight="1">
      <c r="A6" s="142"/>
      <c r="B6" s="223" t="s">
        <v>524</v>
      </c>
      <c r="C6" s="148" t="s">
        <v>2</v>
      </c>
      <c r="D6" s="149" t="s">
        <v>11</v>
      </c>
      <c r="E6" s="203">
        <v>6</v>
      </c>
      <c r="F6" s="203">
        <v>6</v>
      </c>
      <c r="G6" s="203">
        <v>6</v>
      </c>
      <c r="H6" s="203">
        <v>6</v>
      </c>
      <c r="I6" s="203">
        <v>6</v>
      </c>
      <c r="J6" s="203">
        <v>6</v>
      </c>
      <c r="K6" s="203">
        <v>6</v>
      </c>
      <c r="L6" s="203">
        <v>6</v>
      </c>
      <c r="M6" s="203">
        <v>6</v>
      </c>
      <c r="N6" s="203">
        <v>6</v>
      </c>
      <c r="O6" s="55"/>
      <c r="P6" s="55"/>
      <c r="Q6" s="55"/>
      <c r="R6" s="55"/>
      <c r="S6" s="55"/>
      <c r="T6" s="55"/>
    </row>
    <row r="7" spans="1:20" s="57" customFormat="1" ht="42.75" customHeight="1">
      <c r="A7" s="142"/>
      <c r="B7" s="223" t="s">
        <v>667</v>
      </c>
      <c r="C7" s="148" t="s">
        <v>2</v>
      </c>
      <c r="D7" s="154" t="s">
        <v>9</v>
      </c>
      <c r="E7" s="203">
        <v>15</v>
      </c>
      <c r="F7" s="203">
        <v>15</v>
      </c>
      <c r="G7" s="203">
        <v>15</v>
      </c>
      <c r="H7" s="203">
        <v>15</v>
      </c>
      <c r="I7" s="203">
        <v>20</v>
      </c>
      <c r="J7" s="203">
        <v>20</v>
      </c>
      <c r="K7" s="203">
        <v>20</v>
      </c>
      <c r="L7" s="203">
        <v>20</v>
      </c>
      <c r="M7" s="203">
        <v>20</v>
      </c>
      <c r="N7" s="203">
        <v>20</v>
      </c>
      <c r="O7" s="55"/>
      <c r="P7" s="55"/>
      <c r="Q7" s="55"/>
      <c r="R7" s="55"/>
      <c r="S7" s="55"/>
      <c r="T7" s="55"/>
    </row>
    <row r="8" spans="1:20" s="57" customFormat="1" ht="42.75" customHeight="1">
      <c r="A8" s="142"/>
      <c r="B8" s="223" t="s">
        <v>598</v>
      </c>
      <c r="C8" s="150" t="s">
        <v>2</v>
      </c>
      <c r="D8" s="151" t="s">
        <v>533</v>
      </c>
      <c r="E8" s="204">
        <v>3</v>
      </c>
      <c r="F8" s="204">
        <v>3</v>
      </c>
      <c r="G8" s="204">
        <v>5</v>
      </c>
      <c r="H8" s="204">
        <v>5</v>
      </c>
      <c r="I8" s="204">
        <v>5</v>
      </c>
      <c r="J8" s="204">
        <v>5</v>
      </c>
      <c r="K8" s="204">
        <v>10</v>
      </c>
      <c r="L8" s="204">
        <v>20</v>
      </c>
      <c r="M8" s="204">
        <v>8</v>
      </c>
      <c r="N8" s="204">
        <v>10</v>
      </c>
      <c r="O8" s="55"/>
      <c r="P8" s="55"/>
      <c r="Q8" s="55"/>
      <c r="R8" s="55"/>
      <c r="S8" s="55"/>
      <c r="T8" s="55"/>
    </row>
    <row r="9" spans="1:20" s="57" customFormat="1" ht="42.75" customHeight="1">
      <c r="A9" s="143" t="s">
        <v>539</v>
      </c>
      <c r="B9" s="224" t="s">
        <v>536</v>
      </c>
      <c r="C9" s="152"/>
      <c r="D9" s="151"/>
      <c r="E9" s="205" t="s">
        <v>538</v>
      </c>
      <c r="F9" s="205" t="s">
        <v>538</v>
      </c>
      <c r="G9" s="205" t="s">
        <v>538</v>
      </c>
      <c r="H9" s="205" t="s">
        <v>538</v>
      </c>
      <c r="I9" s="205" t="s">
        <v>538</v>
      </c>
      <c r="J9" s="205" t="s">
        <v>538</v>
      </c>
      <c r="K9" s="205" t="s">
        <v>538</v>
      </c>
      <c r="L9" s="205" t="s">
        <v>538</v>
      </c>
      <c r="M9" s="205" t="s">
        <v>538</v>
      </c>
      <c r="N9" s="205" t="s">
        <v>538</v>
      </c>
      <c r="O9" s="55"/>
      <c r="P9" s="55"/>
      <c r="Q9" s="55"/>
      <c r="R9" s="55"/>
      <c r="S9" s="55"/>
      <c r="T9" s="55"/>
    </row>
    <row r="10" spans="1:20" s="57" customFormat="1" ht="42.75" customHeight="1">
      <c r="A10" s="142"/>
      <c r="B10" s="223" t="s">
        <v>537</v>
      </c>
      <c r="C10" s="148" t="s">
        <v>2</v>
      </c>
      <c r="D10" s="154" t="s">
        <v>9</v>
      </c>
      <c r="E10" s="206">
        <v>2</v>
      </c>
      <c r="F10" s="206">
        <v>2</v>
      </c>
      <c r="G10" s="206">
        <v>2</v>
      </c>
      <c r="H10" s="206">
        <v>2</v>
      </c>
      <c r="I10" s="206">
        <v>2</v>
      </c>
      <c r="J10" s="206">
        <v>2</v>
      </c>
      <c r="K10" s="206">
        <v>2</v>
      </c>
      <c r="L10" s="206">
        <v>2</v>
      </c>
      <c r="M10" s="206">
        <v>2</v>
      </c>
      <c r="N10" s="206">
        <v>2</v>
      </c>
      <c r="O10" s="55"/>
      <c r="P10" s="55"/>
      <c r="Q10" s="55"/>
      <c r="R10" s="55"/>
      <c r="S10" s="55"/>
      <c r="T10" s="55"/>
    </row>
    <row r="11" spans="1:20" s="57" customFormat="1" ht="42.75" customHeight="1">
      <c r="A11" s="142"/>
      <c r="B11" s="223" t="s">
        <v>577</v>
      </c>
      <c r="C11" s="148" t="s">
        <v>2</v>
      </c>
      <c r="D11" s="154" t="s">
        <v>9</v>
      </c>
      <c r="E11" s="207">
        <v>2</v>
      </c>
      <c r="F11" s="207">
        <v>2</v>
      </c>
      <c r="G11" s="207">
        <v>3</v>
      </c>
      <c r="H11" s="207">
        <v>3</v>
      </c>
      <c r="I11" s="207">
        <v>3</v>
      </c>
      <c r="J11" s="207">
        <v>4</v>
      </c>
      <c r="K11" s="207">
        <v>5</v>
      </c>
      <c r="L11" s="207">
        <v>6</v>
      </c>
      <c r="M11" s="207">
        <v>6</v>
      </c>
      <c r="N11" s="207">
        <v>7</v>
      </c>
      <c r="O11" s="55"/>
      <c r="P11" s="55"/>
      <c r="Q11" s="55"/>
      <c r="R11" s="55"/>
      <c r="S11" s="55"/>
      <c r="T11" s="55"/>
    </row>
    <row r="12" spans="1:20" s="57" customFormat="1" ht="42.75" customHeight="1">
      <c r="A12" s="142"/>
      <c r="B12" s="223" t="s">
        <v>578</v>
      </c>
      <c r="C12" s="148" t="s">
        <v>2</v>
      </c>
      <c r="D12" s="154" t="s">
        <v>9</v>
      </c>
      <c r="E12" s="206">
        <v>6</v>
      </c>
      <c r="F12" s="206">
        <v>6</v>
      </c>
      <c r="G12" s="206">
        <v>6</v>
      </c>
      <c r="H12" s="206">
        <v>6</v>
      </c>
      <c r="I12" s="206">
        <v>6</v>
      </c>
      <c r="J12" s="206">
        <v>6</v>
      </c>
      <c r="K12" s="206">
        <v>6</v>
      </c>
      <c r="L12" s="206">
        <v>6</v>
      </c>
      <c r="M12" s="206">
        <v>6</v>
      </c>
      <c r="N12" s="206">
        <v>6</v>
      </c>
      <c r="O12" s="55"/>
      <c r="P12" s="55"/>
      <c r="Q12" s="55"/>
      <c r="R12" s="55"/>
      <c r="S12" s="55"/>
      <c r="T12" s="55"/>
    </row>
    <row r="13" spans="1:20" s="57" customFormat="1" ht="42.75" customHeight="1">
      <c r="A13" s="142"/>
      <c r="B13" s="223" t="s">
        <v>579</v>
      </c>
      <c r="C13" s="148" t="s">
        <v>2</v>
      </c>
      <c r="D13" s="154" t="s">
        <v>9</v>
      </c>
      <c r="E13" s="206">
        <v>4</v>
      </c>
      <c r="F13" s="206">
        <v>4</v>
      </c>
      <c r="G13" s="206">
        <v>4</v>
      </c>
      <c r="H13" s="206">
        <v>4</v>
      </c>
      <c r="I13" s="206">
        <v>4</v>
      </c>
      <c r="J13" s="206">
        <v>4</v>
      </c>
      <c r="K13" s="206">
        <v>4</v>
      </c>
      <c r="L13" s="206">
        <v>4</v>
      </c>
      <c r="M13" s="206">
        <v>4</v>
      </c>
      <c r="N13" s="206">
        <v>4</v>
      </c>
      <c r="O13" s="55"/>
      <c r="P13" s="55"/>
      <c r="Q13" s="55"/>
      <c r="R13" s="55"/>
      <c r="S13" s="55"/>
      <c r="T13" s="55"/>
    </row>
    <row r="14" spans="1:20" s="57" customFormat="1" ht="42.75" customHeight="1">
      <c r="A14" s="142"/>
      <c r="B14" s="223" t="s">
        <v>544</v>
      </c>
      <c r="C14" s="148" t="s">
        <v>2</v>
      </c>
      <c r="D14" s="154" t="s">
        <v>9</v>
      </c>
      <c r="E14" s="206">
        <v>1</v>
      </c>
      <c r="F14" s="206">
        <v>1</v>
      </c>
      <c r="G14" s="206">
        <v>1</v>
      </c>
      <c r="H14" s="206">
        <v>1</v>
      </c>
      <c r="I14" s="206">
        <v>1.2</v>
      </c>
      <c r="J14" s="206">
        <v>1.2</v>
      </c>
      <c r="K14" s="206">
        <f>J14</f>
        <v>1.2</v>
      </c>
      <c r="L14" s="206">
        <f>K14</f>
        <v>1.2</v>
      </c>
      <c r="M14" s="206">
        <v>1.6</v>
      </c>
      <c r="N14" s="206">
        <v>1.6</v>
      </c>
      <c r="O14" s="55"/>
      <c r="P14" s="55"/>
      <c r="Q14" s="55"/>
      <c r="R14" s="55"/>
      <c r="S14" s="55"/>
      <c r="T14" s="55"/>
    </row>
    <row r="15" spans="1:20" s="57" customFormat="1" ht="42.75" customHeight="1">
      <c r="A15" s="142"/>
      <c r="B15" s="223" t="s">
        <v>558</v>
      </c>
      <c r="C15" s="148" t="s">
        <v>2</v>
      </c>
      <c r="D15" s="154" t="s">
        <v>9</v>
      </c>
      <c r="E15" s="206">
        <v>0.8</v>
      </c>
      <c r="F15" s="206">
        <v>0.8</v>
      </c>
      <c r="G15" s="206">
        <v>0.8</v>
      </c>
      <c r="H15" s="206">
        <v>0.8</v>
      </c>
      <c r="I15" s="206">
        <v>1</v>
      </c>
      <c r="J15" s="206">
        <v>1</v>
      </c>
      <c r="K15" s="206">
        <v>1</v>
      </c>
      <c r="L15" s="206">
        <v>1</v>
      </c>
      <c r="M15" s="206">
        <v>1</v>
      </c>
      <c r="N15" s="206">
        <v>1</v>
      </c>
      <c r="O15" s="55"/>
      <c r="P15" s="55"/>
      <c r="Q15" s="55"/>
      <c r="R15" s="55"/>
      <c r="S15" s="55"/>
      <c r="T15" s="55"/>
    </row>
    <row r="16" spans="1:172" s="57" customFormat="1" ht="42.75" customHeight="1">
      <c r="A16" s="143">
        <v>3</v>
      </c>
      <c r="B16" s="224" t="s">
        <v>525</v>
      </c>
      <c r="C16" s="152"/>
      <c r="D16" s="151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58"/>
      <c r="P16" s="58"/>
      <c r="Q16" s="58"/>
      <c r="R16" s="58"/>
      <c r="S16" s="58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</row>
    <row r="17" spans="1:172" s="57" customFormat="1" ht="42.75" customHeight="1">
      <c r="A17" s="142"/>
      <c r="B17" s="223" t="s">
        <v>1</v>
      </c>
      <c r="C17" s="148" t="s">
        <v>2</v>
      </c>
      <c r="D17" s="149" t="s">
        <v>7</v>
      </c>
      <c r="E17" s="209">
        <f aca="true" t="shared" si="0" ref="E17:N17">INDEX(steel,MATCH(E$4,st_name,0),4)</f>
        <v>200</v>
      </c>
      <c r="F17" s="209">
        <f t="shared" si="0"/>
        <v>194</v>
      </c>
      <c r="G17" s="209">
        <f t="shared" si="0"/>
        <v>250</v>
      </c>
      <c r="H17" s="209">
        <f t="shared" si="0"/>
        <v>300</v>
      </c>
      <c r="I17" s="209">
        <f t="shared" si="0"/>
        <v>294</v>
      </c>
      <c r="J17" s="209">
        <f t="shared" si="0"/>
        <v>350</v>
      </c>
      <c r="K17" s="209">
        <f t="shared" si="0"/>
        <v>400</v>
      </c>
      <c r="L17" s="209">
        <f t="shared" si="0"/>
        <v>450</v>
      </c>
      <c r="M17" s="209">
        <f t="shared" si="0"/>
        <v>500</v>
      </c>
      <c r="N17" s="209">
        <f t="shared" si="0"/>
        <v>600</v>
      </c>
      <c r="O17" s="58"/>
      <c r="P17" s="58"/>
      <c r="Q17" s="58"/>
      <c r="R17" s="58"/>
      <c r="S17" s="5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</row>
    <row r="18" spans="1:172" s="57" customFormat="1" ht="42.75" customHeight="1">
      <c r="A18" s="142"/>
      <c r="B18" s="223" t="s">
        <v>3</v>
      </c>
      <c r="C18" s="148" t="s">
        <v>2</v>
      </c>
      <c r="D18" s="149" t="s">
        <v>7</v>
      </c>
      <c r="E18" s="209">
        <f aca="true" t="shared" si="1" ref="E18:N18">INDEX(steel,MATCH(E$4,st_name,0),6)</f>
        <v>100</v>
      </c>
      <c r="F18" s="209">
        <f t="shared" si="1"/>
        <v>150</v>
      </c>
      <c r="G18" s="209">
        <f t="shared" si="1"/>
        <v>125</v>
      </c>
      <c r="H18" s="209">
        <f t="shared" si="1"/>
        <v>150</v>
      </c>
      <c r="I18" s="209">
        <f t="shared" si="1"/>
        <v>200</v>
      </c>
      <c r="J18" s="209">
        <f t="shared" si="1"/>
        <v>175</v>
      </c>
      <c r="K18" s="209">
        <f t="shared" si="1"/>
        <v>200</v>
      </c>
      <c r="L18" s="209">
        <f t="shared" si="1"/>
        <v>200</v>
      </c>
      <c r="M18" s="209">
        <f t="shared" si="1"/>
        <v>200</v>
      </c>
      <c r="N18" s="209">
        <f t="shared" si="1"/>
        <v>200</v>
      </c>
      <c r="O18" s="58"/>
      <c r="P18" s="58"/>
      <c r="Q18" s="58"/>
      <c r="R18" s="58"/>
      <c r="S18" s="58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</row>
    <row r="19" spans="1:20" s="57" customFormat="1" ht="42.75" customHeight="1">
      <c r="A19" s="142"/>
      <c r="B19" s="223" t="s">
        <v>13</v>
      </c>
      <c r="C19" s="148" t="s">
        <v>2</v>
      </c>
      <c r="D19" s="149" t="s">
        <v>7</v>
      </c>
      <c r="E19" s="209">
        <f aca="true" t="shared" si="2" ref="E19:N19">INDEX(steel,MATCH(E$4,st_name,0),9)</f>
        <v>5.5</v>
      </c>
      <c r="F19" s="209">
        <f t="shared" si="2"/>
        <v>6</v>
      </c>
      <c r="G19" s="209">
        <f t="shared" si="2"/>
        <v>6</v>
      </c>
      <c r="H19" s="209">
        <f t="shared" si="2"/>
        <v>6.5</v>
      </c>
      <c r="I19" s="209">
        <f t="shared" si="2"/>
        <v>8</v>
      </c>
      <c r="J19" s="209">
        <f t="shared" si="2"/>
        <v>7</v>
      </c>
      <c r="K19" s="209">
        <f t="shared" si="2"/>
        <v>8</v>
      </c>
      <c r="L19" s="209">
        <f t="shared" si="2"/>
        <v>9</v>
      </c>
      <c r="M19" s="209">
        <f t="shared" si="2"/>
        <v>10</v>
      </c>
      <c r="N19" s="209">
        <f t="shared" si="2"/>
        <v>11</v>
      </c>
      <c r="O19" s="55"/>
      <c r="P19" s="55"/>
      <c r="Q19" s="55"/>
      <c r="R19" s="55"/>
      <c r="S19" s="55"/>
      <c r="T19" s="55"/>
    </row>
    <row r="20" spans="1:20" s="57" customFormat="1" ht="42.75" customHeight="1">
      <c r="A20" s="142"/>
      <c r="B20" s="223" t="s">
        <v>12</v>
      </c>
      <c r="C20" s="148" t="s">
        <v>2</v>
      </c>
      <c r="D20" s="149" t="s">
        <v>7</v>
      </c>
      <c r="E20" s="209">
        <f aca="true" t="shared" si="3" ref="E20:N20">INDEX(steel,MATCH(E$4,st_name,0),10)</f>
        <v>8</v>
      </c>
      <c r="F20" s="209">
        <f t="shared" si="3"/>
        <v>9</v>
      </c>
      <c r="G20" s="209">
        <f t="shared" si="3"/>
        <v>9</v>
      </c>
      <c r="H20" s="209">
        <f t="shared" si="3"/>
        <v>9</v>
      </c>
      <c r="I20" s="209">
        <f t="shared" si="3"/>
        <v>12</v>
      </c>
      <c r="J20" s="209">
        <f t="shared" si="3"/>
        <v>11</v>
      </c>
      <c r="K20" s="209">
        <f t="shared" si="3"/>
        <v>13</v>
      </c>
      <c r="L20" s="209">
        <f t="shared" si="3"/>
        <v>14</v>
      </c>
      <c r="M20" s="209">
        <f t="shared" si="3"/>
        <v>16</v>
      </c>
      <c r="N20" s="209">
        <f t="shared" si="3"/>
        <v>17</v>
      </c>
      <c r="O20" s="55"/>
      <c r="P20" s="55"/>
      <c r="Q20" s="55"/>
      <c r="R20" s="55"/>
      <c r="S20" s="55"/>
      <c r="T20" s="55"/>
    </row>
    <row r="21" spans="1:20" s="57" customFormat="1" ht="42.75" customHeight="1">
      <c r="A21" s="142"/>
      <c r="B21" s="223" t="s">
        <v>4</v>
      </c>
      <c r="C21" s="148" t="s">
        <v>2</v>
      </c>
      <c r="D21" s="149" t="s">
        <v>8</v>
      </c>
      <c r="E21" s="209">
        <f aca="true" t="shared" si="4" ref="E21:N21">INDEX(steel,MATCH(E$4,st_name,0),11)</f>
        <v>27.16</v>
      </c>
      <c r="F21" s="209">
        <f t="shared" si="4"/>
        <v>39.01</v>
      </c>
      <c r="G21" s="209">
        <f t="shared" si="4"/>
        <v>37.66</v>
      </c>
      <c r="H21" s="209">
        <f t="shared" si="4"/>
        <v>46.78</v>
      </c>
      <c r="I21" s="209">
        <f t="shared" si="4"/>
        <v>72.38</v>
      </c>
      <c r="J21" s="209">
        <f t="shared" si="4"/>
        <v>63.14</v>
      </c>
      <c r="K21" s="209">
        <f t="shared" si="4"/>
        <v>84.12</v>
      </c>
      <c r="L21" s="209">
        <f t="shared" si="4"/>
        <v>96.76</v>
      </c>
      <c r="M21" s="209">
        <f t="shared" si="4"/>
        <v>114.2</v>
      </c>
      <c r="N21" s="209">
        <f t="shared" si="4"/>
        <v>134.4</v>
      </c>
      <c r="O21" s="55"/>
      <c r="P21" s="55"/>
      <c r="Q21" s="55"/>
      <c r="R21" s="55"/>
      <c r="S21" s="55"/>
      <c r="T21" s="55"/>
    </row>
    <row r="22" spans="1:20" s="57" customFormat="1" ht="42.75" customHeight="1">
      <c r="A22" s="142"/>
      <c r="B22" s="223" t="s">
        <v>580</v>
      </c>
      <c r="C22" s="148" t="s">
        <v>2</v>
      </c>
      <c r="D22" s="149" t="s">
        <v>9</v>
      </c>
      <c r="E22" s="209">
        <f aca="true" t="shared" si="5" ref="E22:N22">INDEX(steel,MATCH(E$4,st_name,0),14)</f>
        <v>8.24</v>
      </c>
      <c r="F22" s="209">
        <f t="shared" si="5"/>
        <v>8.3</v>
      </c>
      <c r="G22" s="209">
        <f t="shared" si="5"/>
        <v>10.4</v>
      </c>
      <c r="H22" s="209">
        <f t="shared" si="5"/>
        <v>12.41474</v>
      </c>
      <c r="I22" s="209">
        <f t="shared" si="5"/>
        <v>12.49482</v>
      </c>
      <c r="J22" s="209">
        <f t="shared" si="5"/>
        <v>14.67632</v>
      </c>
      <c r="K22" s="209">
        <f t="shared" si="5"/>
        <v>16.78512</v>
      </c>
      <c r="L22" s="209">
        <f t="shared" si="5"/>
        <v>18.60692</v>
      </c>
      <c r="M22" s="209">
        <f t="shared" si="5"/>
        <v>20.45884</v>
      </c>
      <c r="N22" s="209">
        <f t="shared" si="5"/>
        <v>24.02875</v>
      </c>
      <c r="O22" s="55"/>
      <c r="P22" s="55"/>
      <c r="Q22" s="55"/>
      <c r="R22" s="55"/>
      <c r="S22" s="55"/>
      <c r="T22" s="55"/>
    </row>
    <row r="23" spans="1:20" s="57" customFormat="1" ht="42.75" customHeight="1">
      <c r="A23" s="142"/>
      <c r="B23" s="223" t="s">
        <v>6</v>
      </c>
      <c r="C23" s="148" t="s">
        <v>2</v>
      </c>
      <c r="D23" s="149" t="s">
        <v>9</v>
      </c>
      <c r="E23" s="209">
        <f aca="true" t="shared" si="6" ref="E23:N23">INDEX(steel,MATCH(E$4,st_name,0),15)</f>
        <v>2.22</v>
      </c>
      <c r="F23" s="209">
        <f t="shared" si="6"/>
        <v>3.61</v>
      </c>
      <c r="G23" s="209">
        <f t="shared" si="6"/>
        <v>2.79</v>
      </c>
      <c r="H23" s="209">
        <f t="shared" si="6"/>
        <v>3.295352</v>
      </c>
      <c r="I23" s="209">
        <f t="shared" si="6"/>
        <v>4.701654</v>
      </c>
      <c r="J23" s="209">
        <f t="shared" si="6"/>
        <v>3.94771</v>
      </c>
      <c r="K23" s="209">
        <f t="shared" si="6"/>
        <v>4.548048</v>
      </c>
      <c r="L23" s="209">
        <f t="shared" si="6"/>
        <v>4.396154</v>
      </c>
      <c r="M23" s="209">
        <f t="shared" si="6"/>
        <v>4.328863</v>
      </c>
      <c r="N23" s="209">
        <f t="shared" si="6"/>
        <v>4.118773</v>
      </c>
      <c r="O23" s="55"/>
      <c r="P23" s="55"/>
      <c r="Q23" s="55"/>
      <c r="R23" s="55"/>
      <c r="S23" s="55"/>
      <c r="T23" s="55"/>
    </row>
    <row r="24" spans="1:20" s="57" customFormat="1" ht="42.75" customHeight="1">
      <c r="A24" s="142"/>
      <c r="B24" s="223" t="s">
        <v>526</v>
      </c>
      <c r="C24" s="148" t="s">
        <v>2</v>
      </c>
      <c r="D24" s="149" t="s">
        <v>527</v>
      </c>
      <c r="E24" s="209">
        <f aca="true" t="shared" si="7" ref="E24:N24">INDEX(steel,MATCH(E$4,st_name,0),16)</f>
        <v>184</v>
      </c>
      <c r="F24" s="209">
        <f t="shared" si="7"/>
        <v>277.32</v>
      </c>
      <c r="G24" s="209">
        <f t="shared" si="7"/>
        <v>324</v>
      </c>
      <c r="H24" s="209">
        <f t="shared" si="7"/>
        <v>480.67</v>
      </c>
      <c r="I24" s="209">
        <f t="shared" si="7"/>
        <v>768.71</v>
      </c>
      <c r="J24" s="209">
        <f t="shared" si="7"/>
        <v>777.14</v>
      </c>
      <c r="K24" s="209">
        <f t="shared" si="7"/>
        <v>1185</v>
      </c>
      <c r="L24" s="209">
        <f t="shared" si="7"/>
        <v>1488.89</v>
      </c>
      <c r="M24" s="209">
        <f t="shared" si="7"/>
        <v>1912</v>
      </c>
      <c r="N24" s="209">
        <f t="shared" si="7"/>
        <v>2586.67</v>
      </c>
      <c r="O24" s="55"/>
      <c r="P24" s="55"/>
      <c r="Q24" s="55"/>
      <c r="R24" s="55"/>
      <c r="S24" s="55"/>
      <c r="T24" s="55"/>
    </row>
    <row r="25" spans="1:20" s="57" customFormat="1" ht="42.75" customHeight="1">
      <c r="A25" s="143" t="s">
        <v>535</v>
      </c>
      <c r="B25" s="224" t="s">
        <v>534</v>
      </c>
      <c r="C25" s="152"/>
      <c r="D25" s="151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55"/>
      <c r="P25" s="55"/>
      <c r="Q25" s="55"/>
      <c r="R25" s="55"/>
      <c r="S25" s="55"/>
      <c r="T25" s="55"/>
    </row>
    <row r="26" spans="1:20" s="57" customFormat="1" ht="42.75" customHeight="1">
      <c r="A26" s="142"/>
      <c r="B26" s="223" t="s">
        <v>529</v>
      </c>
      <c r="C26" s="148" t="s">
        <v>2</v>
      </c>
      <c r="D26" s="147" t="s">
        <v>528</v>
      </c>
      <c r="E26" s="209">
        <f aca="true" t="shared" si="8" ref="E26:N26">0.66*E5*E24/1000/100</f>
        <v>2.9145600000000003</v>
      </c>
      <c r="F26" s="209">
        <f t="shared" si="8"/>
        <v>4.3927488</v>
      </c>
      <c r="G26" s="209">
        <f t="shared" si="8"/>
        <v>5.13216</v>
      </c>
      <c r="H26" s="209">
        <f>0.66*H5*H24/1000/100</f>
        <v>7.613812800000001</v>
      </c>
      <c r="I26" s="209">
        <f t="shared" si="8"/>
        <v>12.176366400000001</v>
      </c>
      <c r="J26" s="209">
        <f t="shared" si="8"/>
        <v>12.3098976</v>
      </c>
      <c r="K26" s="209">
        <f t="shared" si="8"/>
        <v>18.7704</v>
      </c>
      <c r="L26" s="209">
        <f t="shared" si="8"/>
        <v>23.584017600000003</v>
      </c>
      <c r="M26" s="209">
        <f t="shared" si="8"/>
        <v>30.286080000000002</v>
      </c>
      <c r="N26" s="209">
        <f t="shared" si="8"/>
        <v>40.9728528</v>
      </c>
      <c r="O26" s="55"/>
      <c r="P26" s="55"/>
      <c r="Q26" s="55"/>
      <c r="R26" s="55"/>
      <c r="S26" s="55"/>
      <c r="T26" s="55"/>
    </row>
    <row r="27" spans="1:20" s="57" customFormat="1" ht="42.75" customHeight="1">
      <c r="A27" s="142"/>
      <c r="B27" s="223" t="s">
        <v>531</v>
      </c>
      <c r="C27" s="148" t="s">
        <v>2</v>
      </c>
      <c r="D27" s="147" t="s">
        <v>530</v>
      </c>
      <c r="E27" s="209">
        <f aca="true" t="shared" si="9" ref="E27:N27">8*E26/(E6*E6)</f>
        <v>0.64768</v>
      </c>
      <c r="F27" s="209">
        <f t="shared" si="9"/>
        <v>0.9761663999999999</v>
      </c>
      <c r="G27" s="209">
        <f t="shared" si="9"/>
        <v>1.14048</v>
      </c>
      <c r="H27" s="209">
        <f t="shared" si="9"/>
        <v>1.6919584</v>
      </c>
      <c r="I27" s="209">
        <f t="shared" si="9"/>
        <v>2.7058592000000004</v>
      </c>
      <c r="J27" s="209">
        <f t="shared" si="9"/>
        <v>2.7355327999999997</v>
      </c>
      <c r="K27" s="209">
        <f t="shared" si="9"/>
        <v>4.1712</v>
      </c>
      <c r="L27" s="209">
        <f t="shared" si="9"/>
        <v>5.240892800000001</v>
      </c>
      <c r="M27" s="209">
        <f t="shared" si="9"/>
        <v>6.73024</v>
      </c>
      <c r="N27" s="209">
        <f t="shared" si="9"/>
        <v>9.1050784</v>
      </c>
      <c r="O27" s="55"/>
      <c r="P27" s="55"/>
      <c r="Q27" s="55"/>
      <c r="R27" s="55"/>
      <c r="S27" s="55"/>
      <c r="T27" s="55"/>
    </row>
    <row r="28" spans="1:20" s="57" customFormat="1" ht="42.75" customHeight="1">
      <c r="A28" s="142"/>
      <c r="B28" s="223" t="s">
        <v>532</v>
      </c>
      <c r="C28" s="148" t="s">
        <v>2</v>
      </c>
      <c r="D28" s="147" t="s">
        <v>533</v>
      </c>
      <c r="E28" s="209">
        <f aca="true" t="shared" si="10" ref="E28:N28">E26*4/E6</f>
        <v>1.94304</v>
      </c>
      <c r="F28" s="209">
        <f t="shared" si="10"/>
        <v>2.9284991999999996</v>
      </c>
      <c r="G28" s="209">
        <f t="shared" si="10"/>
        <v>3.42144</v>
      </c>
      <c r="H28" s="209">
        <f>H26*4/H6</f>
        <v>5.0758752000000005</v>
      </c>
      <c r="I28" s="209">
        <f t="shared" si="10"/>
        <v>8.1175776</v>
      </c>
      <c r="J28" s="209">
        <f t="shared" si="10"/>
        <v>8.206598399999999</v>
      </c>
      <c r="K28" s="209">
        <f t="shared" si="10"/>
        <v>12.513599999999999</v>
      </c>
      <c r="L28" s="209">
        <f t="shared" si="10"/>
        <v>15.722678400000001</v>
      </c>
      <c r="M28" s="209">
        <f t="shared" si="10"/>
        <v>20.190720000000002</v>
      </c>
      <c r="N28" s="209">
        <f t="shared" si="10"/>
        <v>27.3152352</v>
      </c>
      <c r="O28" s="55"/>
      <c r="P28" s="55"/>
      <c r="Q28" s="55"/>
      <c r="R28" s="55"/>
      <c r="S28" s="55"/>
      <c r="T28" s="55"/>
    </row>
    <row r="29" spans="1:20" s="57" customFormat="1" ht="42.75" customHeight="1">
      <c r="A29" s="142"/>
      <c r="B29" s="223" t="s">
        <v>561</v>
      </c>
      <c r="C29" s="169" t="s">
        <v>2</v>
      </c>
      <c r="D29" s="168" t="s">
        <v>533</v>
      </c>
      <c r="E29" s="209">
        <f aca="true" t="shared" si="11" ref="E29:N29">MAX(E28/2,E27*E6/2)</f>
        <v>1.94304</v>
      </c>
      <c r="F29" s="209">
        <f t="shared" si="11"/>
        <v>2.9284991999999996</v>
      </c>
      <c r="G29" s="209">
        <f t="shared" si="11"/>
        <v>3.4214399999999996</v>
      </c>
      <c r="H29" s="209">
        <f t="shared" si="11"/>
        <v>5.0758752000000005</v>
      </c>
      <c r="I29" s="209">
        <f t="shared" si="11"/>
        <v>8.1175776</v>
      </c>
      <c r="J29" s="209">
        <f t="shared" si="11"/>
        <v>8.206598399999999</v>
      </c>
      <c r="K29" s="209">
        <f t="shared" si="11"/>
        <v>12.5136</v>
      </c>
      <c r="L29" s="209">
        <f t="shared" si="11"/>
        <v>15.722678400000003</v>
      </c>
      <c r="M29" s="209">
        <f t="shared" si="11"/>
        <v>20.19072</v>
      </c>
      <c r="N29" s="209">
        <f t="shared" si="11"/>
        <v>27.3152352</v>
      </c>
      <c r="O29" s="55"/>
      <c r="P29" s="55"/>
      <c r="Q29" s="55"/>
      <c r="R29" s="55"/>
      <c r="S29" s="55"/>
      <c r="T29" s="55"/>
    </row>
    <row r="30" spans="1:20" s="171" customFormat="1" ht="42.75" customHeight="1">
      <c r="A30" s="170"/>
      <c r="B30" s="225" t="s">
        <v>665</v>
      </c>
      <c r="C30" s="167" t="s">
        <v>2</v>
      </c>
      <c r="D30" s="166" t="s">
        <v>533</v>
      </c>
      <c r="E30" s="211">
        <v>1.94</v>
      </c>
      <c r="F30" s="212">
        <v>2.93</v>
      </c>
      <c r="G30" s="212">
        <v>3.42</v>
      </c>
      <c r="H30" s="212">
        <v>5</v>
      </c>
      <c r="I30" s="212">
        <v>5</v>
      </c>
      <c r="J30" s="212">
        <v>8</v>
      </c>
      <c r="K30" s="212">
        <v>10</v>
      </c>
      <c r="L30" s="212">
        <v>10</v>
      </c>
      <c r="M30" s="212">
        <v>15</v>
      </c>
      <c r="N30" s="212">
        <v>18</v>
      </c>
      <c r="O30" s="170"/>
      <c r="P30" s="170"/>
      <c r="Q30" s="170"/>
      <c r="R30" s="170"/>
      <c r="S30" s="170"/>
      <c r="T30" s="170"/>
    </row>
    <row r="31" spans="1:20" s="57" customFormat="1" ht="42.75" customHeight="1">
      <c r="A31" s="144" t="s">
        <v>540</v>
      </c>
      <c r="B31" s="226" t="s">
        <v>547</v>
      </c>
      <c r="C31" s="155"/>
      <c r="D31" s="156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55"/>
      <c r="P31" s="55"/>
      <c r="Q31" s="55"/>
      <c r="R31" s="55"/>
      <c r="S31" s="55"/>
      <c r="T31" s="55"/>
    </row>
    <row r="32" spans="1:20" s="57" customFormat="1" ht="42.75" customHeight="1">
      <c r="A32" s="142"/>
      <c r="B32" s="223" t="s">
        <v>541</v>
      </c>
      <c r="C32" s="148" t="s">
        <v>2</v>
      </c>
      <c r="D32" s="149" t="s">
        <v>9</v>
      </c>
      <c r="E32" s="209">
        <f aca="true" t="shared" si="12" ref="E32:N32">(E13+(E11-1)*E12-((E11-0.5)*(E10+0.2)))*2</f>
        <v>13.399999999999999</v>
      </c>
      <c r="F32" s="209">
        <f t="shared" si="12"/>
        <v>13.399999999999999</v>
      </c>
      <c r="G32" s="209">
        <f t="shared" si="12"/>
        <v>21</v>
      </c>
      <c r="H32" s="209">
        <f>(H13+(H11-1)*H12-((H11-0.5)*(H10+0.2)))*2</f>
        <v>21</v>
      </c>
      <c r="I32" s="209">
        <f t="shared" si="12"/>
        <v>21</v>
      </c>
      <c r="J32" s="209">
        <f t="shared" si="12"/>
        <v>28.599999999999998</v>
      </c>
      <c r="K32" s="209">
        <f t="shared" si="12"/>
        <v>36.2</v>
      </c>
      <c r="L32" s="209">
        <f t="shared" si="12"/>
        <v>43.8</v>
      </c>
      <c r="M32" s="209">
        <f t="shared" si="12"/>
        <v>43.8</v>
      </c>
      <c r="N32" s="209">
        <f t="shared" si="12"/>
        <v>51.4</v>
      </c>
      <c r="O32" s="55"/>
      <c r="P32" s="55"/>
      <c r="Q32" s="55"/>
      <c r="R32" s="55"/>
      <c r="S32" s="55"/>
      <c r="T32" s="55"/>
    </row>
    <row r="33" spans="1:20" s="57" customFormat="1" ht="42.75" customHeight="1">
      <c r="A33" s="142"/>
      <c r="B33" s="223" t="s">
        <v>542</v>
      </c>
      <c r="C33" s="148" t="s">
        <v>2</v>
      </c>
      <c r="D33" s="149" t="s">
        <v>9</v>
      </c>
      <c r="E33" s="209">
        <f aca="true" t="shared" si="13" ref="E33:N33">6-(E10+0.2)</f>
        <v>3.8</v>
      </c>
      <c r="F33" s="209">
        <f t="shared" si="13"/>
        <v>3.8</v>
      </c>
      <c r="G33" s="209">
        <f t="shared" si="13"/>
        <v>3.8</v>
      </c>
      <c r="H33" s="209">
        <f>6-(H10+0.2)</f>
        <v>3.8</v>
      </c>
      <c r="I33" s="209">
        <f t="shared" si="13"/>
        <v>3.8</v>
      </c>
      <c r="J33" s="209">
        <f t="shared" si="13"/>
        <v>3.8</v>
      </c>
      <c r="K33" s="209">
        <f t="shared" si="13"/>
        <v>3.8</v>
      </c>
      <c r="L33" s="209">
        <f t="shared" si="13"/>
        <v>3.8</v>
      </c>
      <c r="M33" s="209">
        <f t="shared" si="13"/>
        <v>3.8</v>
      </c>
      <c r="N33" s="209">
        <f t="shared" si="13"/>
        <v>3.8</v>
      </c>
      <c r="O33" s="55"/>
      <c r="P33" s="55"/>
      <c r="Q33" s="55"/>
      <c r="R33" s="55"/>
      <c r="S33" s="55"/>
      <c r="T33" s="55"/>
    </row>
    <row r="34" spans="1:20" s="57" customFormat="1" ht="42.75" customHeight="1">
      <c r="A34" s="142"/>
      <c r="B34" s="223" t="s">
        <v>543</v>
      </c>
      <c r="C34" s="148" t="s">
        <v>2</v>
      </c>
      <c r="D34" s="149" t="s">
        <v>533</v>
      </c>
      <c r="E34" s="214">
        <f aca="true" t="shared" si="14" ref="E34:N34">4000*(0.3*E32+0.5*E33)*E14/1000</f>
        <v>23.68</v>
      </c>
      <c r="F34" s="214">
        <f t="shared" si="14"/>
        <v>23.68</v>
      </c>
      <c r="G34" s="214">
        <f t="shared" si="14"/>
        <v>32.8</v>
      </c>
      <c r="H34" s="214">
        <f t="shared" si="14"/>
        <v>32.8</v>
      </c>
      <c r="I34" s="214">
        <f t="shared" si="14"/>
        <v>39.36</v>
      </c>
      <c r="J34" s="214">
        <f t="shared" si="14"/>
        <v>50.303999999999995</v>
      </c>
      <c r="K34" s="214">
        <f t="shared" si="14"/>
        <v>61.248000000000005</v>
      </c>
      <c r="L34" s="214">
        <f t="shared" si="14"/>
        <v>72.192</v>
      </c>
      <c r="M34" s="214">
        <f t="shared" si="14"/>
        <v>96.256</v>
      </c>
      <c r="N34" s="214">
        <f t="shared" si="14"/>
        <v>110.84799999999998</v>
      </c>
      <c r="O34" s="55"/>
      <c r="P34" s="55"/>
      <c r="Q34" s="55"/>
      <c r="R34" s="55"/>
      <c r="S34" s="55"/>
      <c r="T34" s="55"/>
    </row>
    <row r="35" spans="1:20" s="57" customFormat="1" ht="42.75" customHeight="1">
      <c r="A35" s="144" t="s">
        <v>545</v>
      </c>
      <c r="B35" s="226" t="s">
        <v>584</v>
      </c>
      <c r="C35" s="155"/>
      <c r="D35" s="156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55"/>
      <c r="P35" s="55"/>
      <c r="Q35" s="55"/>
      <c r="R35" s="55"/>
      <c r="S35" s="55"/>
      <c r="T35" s="55"/>
    </row>
    <row r="36" spans="1:20" s="57" customFormat="1" ht="42.75" customHeight="1">
      <c r="A36" s="142"/>
      <c r="B36" s="223" t="s">
        <v>585</v>
      </c>
      <c r="C36" s="148" t="s">
        <v>2</v>
      </c>
      <c r="D36" s="149" t="s">
        <v>533</v>
      </c>
      <c r="E36" s="214">
        <f aca="true" t="shared" si="15" ref="E36:N36">2*0.3*4000*E14*(2*E13+(E11-1)*E12-E11*(E10+0.2))/1000</f>
        <v>23.04</v>
      </c>
      <c r="F36" s="214">
        <f t="shared" si="15"/>
        <v>23.04</v>
      </c>
      <c r="G36" s="214">
        <f t="shared" si="15"/>
        <v>32.16</v>
      </c>
      <c r="H36" s="214">
        <f>2*0.3*4000*H14*(2*H13+(H11-1)*H12-H11*(H10+0.2))/1000</f>
        <v>32.16</v>
      </c>
      <c r="I36" s="214">
        <f t="shared" si="15"/>
        <v>38.59199999999999</v>
      </c>
      <c r="J36" s="214">
        <f t="shared" si="15"/>
        <v>49.536</v>
      </c>
      <c r="K36" s="214">
        <f t="shared" si="15"/>
        <v>60.48</v>
      </c>
      <c r="L36" s="214">
        <f t="shared" si="15"/>
        <v>71.42399999999999</v>
      </c>
      <c r="M36" s="214">
        <f t="shared" si="15"/>
        <v>95.23199999999999</v>
      </c>
      <c r="N36" s="214">
        <f t="shared" si="15"/>
        <v>109.82399999999998</v>
      </c>
      <c r="O36" s="55"/>
      <c r="P36" s="55"/>
      <c r="Q36" s="55"/>
      <c r="R36" s="55"/>
      <c r="S36" s="55"/>
      <c r="T36" s="55"/>
    </row>
    <row r="37" spans="1:20" s="57" customFormat="1" ht="42.75" customHeight="1">
      <c r="A37" s="144" t="s">
        <v>548</v>
      </c>
      <c r="B37" s="226" t="s">
        <v>599</v>
      </c>
      <c r="C37" s="155"/>
      <c r="D37" s="156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55"/>
      <c r="P37" s="55"/>
      <c r="Q37" s="55"/>
      <c r="R37" s="55"/>
      <c r="S37" s="55"/>
      <c r="T37" s="55"/>
    </row>
    <row r="38" spans="1:20" s="57" customFormat="1" ht="42.75" customHeight="1">
      <c r="A38" s="142"/>
      <c r="B38" s="223" t="s">
        <v>600</v>
      </c>
      <c r="C38" s="148" t="s">
        <v>2</v>
      </c>
      <c r="D38" s="149" t="s">
        <v>533</v>
      </c>
      <c r="E38" s="214">
        <f>0.5*4000*E14*(E43-E11*(E10+0.2))/1000</f>
        <v>19.2</v>
      </c>
      <c r="F38" s="214">
        <f aca="true" t="shared" si="16" ref="F38:N38">0.5*4000*F14*(F43-F11*(F10+0.2))/1000</f>
        <v>19.2</v>
      </c>
      <c r="G38" s="214">
        <f t="shared" si="16"/>
        <v>26.799999999999997</v>
      </c>
      <c r="H38" s="214">
        <f>0.5*4000*H14*(H43-H11*(H10+0.2))/1000</f>
        <v>26.799999999999997</v>
      </c>
      <c r="I38" s="214">
        <f t="shared" si="16"/>
        <v>32.16</v>
      </c>
      <c r="J38" s="214">
        <f t="shared" si="16"/>
        <v>41.28</v>
      </c>
      <c r="K38" s="214">
        <f t="shared" si="16"/>
        <v>50.4</v>
      </c>
      <c r="L38" s="214">
        <f t="shared" si="16"/>
        <v>59.519999999999996</v>
      </c>
      <c r="M38" s="214">
        <f t="shared" si="16"/>
        <v>79.35999999999999</v>
      </c>
      <c r="N38" s="214">
        <f t="shared" si="16"/>
        <v>91.52</v>
      </c>
      <c r="O38" s="55"/>
      <c r="P38" s="55"/>
      <c r="Q38" s="55"/>
      <c r="R38" s="55"/>
      <c r="S38" s="55"/>
      <c r="T38" s="55"/>
    </row>
    <row r="39" spans="1:20" s="57" customFormat="1" ht="42.75" customHeight="1">
      <c r="A39" s="144" t="s">
        <v>603</v>
      </c>
      <c r="B39" s="226" t="s">
        <v>546</v>
      </c>
      <c r="C39" s="156"/>
      <c r="D39" s="156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55"/>
      <c r="P39" s="55"/>
      <c r="Q39" s="55"/>
      <c r="R39" s="55"/>
      <c r="S39" s="55"/>
      <c r="T39" s="55"/>
    </row>
    <row r="40" spans="1:20" s="57" customFormat="1" ht="42.75" customHeight="1">
      <c r="A40" s="142"/>
      <c r="B40" s="223" t="s">
        <v>594</v>
      </c>
      <c r="C40" s="148" t="s">
        <v>2</v>
      </c>
      <c r="D40" s="149" t="s">
        <v>533</v>
      </c>
      <c r="E40" s="216">
        <f aca="true" t="shared" si="17" ref="E40:N40">2*E11*(E10+0.2)*E14*1.2*4000/1000</f>
        <v>42.24</v>
      </c>
      <c r="F40" s="216">
        <f t="shared" si="17"/>
        <v>42.24</v>
      </c>
      <c r="G40" s="216">
        <f t="shared" si="17"/>
        <v>63.36</v>
      </c>
      <c r="H40" s="216">
        <f>2*H11*(H10+0.2)*H14*1.2*4000/1000</f>
        <v>63.36</v>
      </c>
      <c r="I40" s="216">
        <f t="shared" si="17"/>
        <v>76.032</v>
      </c>
      <c r="J40" s="216">
        <f t="shared" si="17"/>
        <v>101.376</v>
      </c>
      <c r="K40" s="216">
        <f t="shared" si="17"/>
        <v>126.71999999999998</v>
      </c>
      <c r="L40" s="216">
        <f t="shared" si="17"/>
        <v>152.064</v>
      </c>
      <c r="M40" s="216">
        <f t="shared" si="17"/>
        <v>202.75200000000004</v>
      </c>
      <c r="N40" s="216">
        <f t="shared" si="17"/>
        <v>236.54400000000004</v>
      </c>
      <c r="O40" s="55"/>
      <c r="P40" s="55"/>
      <c r="Q40" s="55"/>
      <c r="R40" s="55"/>
      <c r="S40" s="55"/>
      <c r="T40" s="55"/>
    </row>
    <row r="41" spans="1:20" s="57" customFormat="1" ht="42.75" customHeight="1">
      <c r="A41" s="144" t="s">
        <v>586</v>
      </c>
      <c r="B41" s="226" t="s">
        <v>549</v>
      </c>
      <c r="C41" s="156"/>
      <c r="D41" s="156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55"/>
      <c r="P41" s="55"/>
      <c r="Q41" s="55"/>
      <c r="R41" s="55"/>
      <c r="S41" s="55"/>
      <c r="T41" s="55"/>
    </row>
    <row r="42" spans="1:20" s="57" customFormat="1" ht="42.75" customHeight="1">
      <c r="A42" s="143"/>
      <c r="B42" s="227" t="s">
        <v>553</v>
      </c>
      <c r="C42" s="151"/>
      <c r="D42" s="151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55"/>
      <c r="P42" s="55"/>
      <c r="Q42" s="55"/>
      <c r="R42" s="55"/>
      <c r="S42" s="55"/>
      <c r="T42" s="55"/>
    </row>
    <row r="43" spans="1:20" s="57" customFormat="1" ht="42.75" customHeight="1">
      <c r="A43" s="142"/>
      <c r="B43" s="228" t="s">
        <v>560</v>
      </c>
      <c r="C43" s="150" t="s">
        <v>2</v>
      </c>
      <c r="D43" s="157" t="s">
        <v>9</v>
      </c>
      <c r="E43" s="210">
        <f aca="true" t="shared" si="18" ref="E43:N43">2*E13+(E11-1)*E12</f>
        <v>14</v>
      </c>
      <c r="F43" s="210">
        <f t="shared" si="18"/>
        <v>14</v>
      </c>
      <c r="G43" s="210">
        <f t="shared" si="18"/>
        <v>20</v>
      </c>
      <c r="H43" s="210">
        <f>2*H13+(H11-1)*H12</f>
        <v>20</v>
      </c>
      <c r="I43" s="210">
        <f t="shared" si="18"/>
        <v>20</v>
      </c>
      <c r="J43" s="210">
        <f t="shared" si="18"/>
        <v>26</v>
      </c>
      <c r="K43" s="210">
        <f t="shared" si="18"/>
        <v>32</v>
      </c>
      <c r="L43" s="210">
        <f t="shared" si="18"/>
        <v>38</v>
      </c>
      <c r="M43" s="210">
        <f t="shared" si="18"/>
        <v>38</v>
      </c>
      <c r="N43" s="210">
        <f t="shared" si="18"/>
        <v>44</v>
      </c>
      <c r="O43" s="55"/>
      <c r="P43" s="55"/>
      <c r="Q43" s="55"/>
      <c r="R43" s="55"/>
      <c r="S43" s="55"/>
      <c r="T43" s="55"/>
    </row>
    <row r="44" spans="1:20" s="57" customFormat="1" ht="42.75" customHeight="1">
      <c r="A44" s="142"/>
      <c r="B44" s="228" t="s">
        <v>550</v>
      </c>
      <c r="C44" s="150" t="s">
        <v>2</v>
      </c>
      <c r="D44" s="157" t="s">
        <v>527</v>
      </c>
      <c r="E44" s="210">
        <f aca="true" t="shared" si="19" ref="E44:N44">E14*(E43*E43)/6</f>
        <v>32.666666666666664</v>
      </c>
      <c r="F44" s="210">
        <f t="shared" si="19"/>
        <v>32.666666666666664</v>
      </c>
      <c r="G44" s="210">
        <f t="shared" si="19"/>
        <v>66.66666666666667</v>
      </c>
      <c r="H44" s="210">
        <f t="shared" si="19"/>
        <v>66.66666666666667</v>
      </c>
      <c r="I44" s="210">
        <f t="shared" si="19"/>
        <v>80</v>
      </c>
      <c r="J44" s="210">
        <f t="shared" si="19"/>
        <v>135.2</v>
      </c>
      <c r="K44" s="210">
        <f t="shared" si="19"/>
        <v>204.79999999999998</v>
      </c>
      <c r="L44" s="210">
        <f t="shared" si="19"/>
        <v>288.8</v>
      </c>
      <c r="M44" s="210">
        <f t="shared" si="19"/>
        <v>385.06666666666666</v>
      </c>
      <c r="N44" s="210">
        <f t="shared" si="19"/>
        <v>516.2666666666668</v>
      </c>
      <c r="O44" s="55"/>
      <c r="P44" s="55"/>
      <c r="Q44" s="55"/>
      <c r="R44" s="55"/>
      <c r="S44" s="55"/>
      <c r="T44" s="55"/>
    </row>
    <row r="45" spans="1:20" s="57" customFormat="1" ht="42.75" customHeight="1">
      <c r="A45" s="142"/>
      <c r="B45" s="228" t="s">
        <v>555</v>
      </c>
      <c r="C45" s="150" t="s">
        <v>2</v>
      </c>
      <c r="D45" s="151" t="s">
        <v>528</v>
      </c>
      <c r="E45" s="210">
        <f aca="true" t="shared" si="20" ref="E45:N45">0.75*E5*E44/1000/100</f>
        <v>0.5879999999999999</v>
      </c>
      <c r="F45" s="210">
        <f t="shared" si="20"/>
        <v>0.5879999999999999</v>
      </c>
      <c r="G45" s="210">
        <f t="shared" si="20"/>
        <v>1.2000000000000002</v>
      </c>
      <c r="H45" s="210">
        <f t="shared" si="20"/>
        <v>1.2000000000000002</v>
      </c>
      <c r="I45" s="210">
        <f t="shared" si="20"/>
        <v>1.44</v>
      </c>
      <c r="J45" s="210">
        <f t="shared" si="20"/>
        <v>2.4335999999999998</v>
      </c>
      <c r="K45" s="210">
        <f t="shared" si="20"/>
        <v>3.6863999999999995</v>
      </c>
      <c r="L45" s="210">
        <f t="shared" si="20"/>
        <v>5.1984</v>
      </c>
      <c r="M45" s="210">
        <f t="shared" si="20"/>
        <v>6.9312000000000005</v>
      </c>
      <c r="N45" s="210">
        <f t="shared" si="20"/>
        <v>9.292800000000002</v>
      </c>
      <c r="O45" s="55"/>
      <c r="P45" s="55"/>
      <c r="Q45" s="55"/>
      <c r="R45" s="55"/>
      <c r="S45" s="55"/>
      <c r="T45" s="55"/>
    </row>
    <row r="46" spans="1:20" s="57" customFormat="1" ht="42.75" customHeight="1">
      <c r="A46" s="142"/>
      <c r="B46" s="228" t="s">
        <v>551</v>
      </c>
      <c r="C46" s="150" t="s">
        <v>2</v>
      </c>
      <c r="D46" s="151" t="s">
        <v>533</v>
      </c>
      <c r="E46" s="216">
        <f aca="true" t="shared" si="21" ref="E46:N46">E45*100/(E13+2+3)</f>
        <v>6.533333333333331</v>
      </c>
      <c r="F46" s="216">
        <f t="shared" si="21"/>
        <v>6.533333333333331</v>
      </c>
      <c r="G46" s="216">
        <f t="shared" si="21"/>
        <v>13.333333333333336</v>
      </c>
      <c r="H46" s="216">
        <f t="shared" si="21"/>
        <v>13.333333333333336</v>
      </c>
      <c r="I46" s="216">
        <f t="shared" si="21"/>
        <v>16</v>
      </c>
      <c r="J46" s="216">
        <f t="shared" si="21"/>
        <v>27.04</v>
      </c>
      <c r="K46" s="216">
        <f t="shared" si="21"/>
        <v>40.959999999999994</v>
      </c>
      <c r="L46" s="216">
        <f t="shared" si="21"/>
        <v>57.760000000000005</v>
      </c>
      <c r="M46" s="216">
        <f t="shared" si="21"/>
        <v>77.01333333333334</v>
      </c>
      <c r="N46" s="216">
        <f t="shared" si="21"/>
        <v>103.25333333333336</v>
      </c>
      <c r="O46" s="55"/>
      <c r="P46" s="55"/>
      <c r="Q46" s="55"/>
      <c r="R46" s="55"/>
      <c r="S46" s="55"/>
      <c r="T46" s="55"/>
    </row>
    <row r="47" spans="1:20" s="57" customFormat="1" ht="42.75" customHeight="1">
      <c r="A47" s="142"/>
      <c r="B47" s="227" t="s">
        <v>554</v>
      </c>
      <c r="C47" s="150"/>
      <c r="D47" s="157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55"/>
      <c r="P47" s="55"/>
      <c r="Q47" s="55"/>
      <c r="R47" s="55"/>
      <c r="S47" s="55"/>
      <c r="T47" s="55"/>
    </row>
    <row r="48" spans="1:20" s="57" customFormat="1" ht="42.75" customHeight="1">
      <c r="A48" s="142"/>
      <c r="B48" s="228" t="s">
        <v>556</v>
      </c>
      <c r="C48" s="150" t="s">
        <v>2</v>
      </c>
      <c r="D48" s="151" t="s">
        <v>533</v>
      </c>
      <c r="E48" s="216">
        <f aca="true" t="shared" si="22" ref="E48:N48">0.4*E5*E43*E14/1000</f>
        <v>13.44</v>
      </c>
      <c r="F48" s="216">
        <f t="shared" si="22"/>
        <v>13.44</v>
      </c>
      <c r="G48" s="216">
        <f t="shared" si="22"/>
        <v>19.2</v>
      </c>
      <c r="H48" s="216">
        <f>0.4*H5*H43*H14/1000</f>
        <v>19.2</v>
      </c>
      <c r="I48" s="216">
        <f t="shared" si="22"/>
        <v>23.04</v>
      </c>
      <c r="J48" s="216">
        <f t="shared" si="22"/>
        <v>29.952</v>
      </c>
      <c r="K48" s="216">
        <f t="shared" si="22"/>
        <v>36.864</v>
      </c>
      <c r="L48" s="216">
        <f t="shared" si="22"/>
        <v>43.776</v>
      </c>
      <c r="M48" s="216">
        <f t="shared" si="22"/>
        <v>58.368</v>
      </c>
      <c r="N48" s="216">
        <f t="shared" si="22"/>
        <v>67.584</v>
      </c>
      <c r="O48" s="55"/>
      <c r="P48" s="55"/>
      <c r="Q48" s="55"/>
      <c r="R48" s="55"/>
      <c r="S48" s="55"/>
      <c r="T48" s="55"/>
    </row>
    <row r="49" spans="1:20" s="71" customFormat="1" ht="42.75" customHeight="1">
      <c r="A49" s="144" t="s">
        <v>587</v>
      </c>
      <c r="B49" s="155" t="s">
        <v>590</v>
      </c>
      <c r="C49" s="155"/>
      <c r="D49" s="15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70"/>
      <c r="P49" s="70"/>
      <c r="Q49" s="70"/>
      <c r="R49" s="70"/>
      <c r="S49" s="70"/>
      <c r="T49" s="70"/>
    </row>
    <row r="50" spans="1:20" s="175" customFormat="1" ht="42.75" customHeight="1">
      <c r="A50" s="172"/>
      <c r="B50" s="173" t="s">
        <v>672</v>
      </c>
      <c r="C50" s="153" t="s">
        <v>2</v>
      </c>
      <c r="D50" s="173" t="s">
        <v>559</v>
      </c>
      <c r="E50" s="217">
        <f>SQRT((E30*(E13+0.5*E12+0.5*E7+2)/(E43*E43/3)+E8/E43/2)^2+(E29/E43/2)^2)</f>
        <v>0.6011108287038308</v>
      </c>
      <c r="F50" s="217">
        <f aca="true" t="shared" si="23" ref="F50:N50">SQRT((F30*(F13+0.5*F12+0.5*F7+2)/(F43*F43/3)+F8/F43/2)^2+(F29/F43/2)^2)</f>
        <v>0.8535494784687556</v>
      </c>
      <c r="G50" s="217">
        <f t="shared" si="23"/>
        <v>0.5548576915939798</v>
      </c>
      <c r="H50" s="217">
        <f t="shared" si="23"/>
        <v>0.7544977671628553</v>
      </c>
      <c r="I50" s="217">
        <f t="shared" si="23"/>
        <v>0.8617370053023796</v>
      </c>
      <c r="J50" s="217">
        <f t="shared" si="23"/>
        <v>0.7867025455640319</v>
      </c>
      <c r="K50" s="217">
        <f t="shared" si="23"/>
        <v>0.7392178764328489</v>
      </c>
      <c r="L50" s="217">
        <f t="shared" si="23"/>
        <v>0.689654784380372</v>
      </c>
      <c r="M50" s="217">
        <f t="shared" si="23"/>
        <v>0.74625857805804</v>
      </c>
      <c r="N50" s="217">
        <f t="shared" si="23"/>
        <v>0.7145369028502525</v>
      </c>
      <c r="O50" s="174"/>
      <c r="P50" s="174"/>
      <c r="Q50" s="174"/>
      <c r="R50" s="174"/>
      <c r="S50" s="174"/>
      <c r="T50" s="174"/>
    </row>
    <row r="51" spans="1:20" s="57" customFormat="1" ht="42.75" customHeight="1">
      <c r="A51" s="142"/>
      <c r="B51" s="229" t="s">
        <v>557</v>
      </c>
      <c r="C51" s="148" t="s">
        <v>2</v>
      </c>
      <c r="D51" s="147" t="s">
        <v>559</v>
      </c>
      <c r="E51" s="209">
        <f aca="true" t="shared" si="24" ref="E51:N51">0.3*0.707*4900*E15/1000</f>
        <v>0.8314320000000001</v>
      </c>
      <c r="F51" s="209">
        <f t="shared" si="24"/>
        <v>0.8314320000000001</v>
      </c>
      <c r="G51" s="209">
        <f t="shared" si="24"/>
        <v>0.8314320000000001</v>
      </c>
      <c r="H51" s="209">
        <f>0.3*0.707*4900*H15/1000</f>
        <v>0.8314320000000001</v>
      </c>
      <c r="I51" s="209">
        <f t="shared" si="24"/>
        <v>1.03929</v>
      </c>
      <c r="J51" s="209">
        <f t="shared" si="24"/>
        <v>1.03929</v>
      </c>
      <c r="K51" s="209">
        <f t="shared" si="24"/>
        <v>1.03929</v>
      </c>
      <c r="L51" s="209">
        <f t="shared" si="24"/>
        <v>1.03929</v>
      </c>
      <c r="M51" s="209">
        <f t="shared" si="24"/>
        <v>1.03929</v>
      </c>
      <c r="N51" s="209">
        <f t="shared" si="24"/>
        <v>1.03929</v>
      </c>
      <c r="O51" s="55"/>
      <c r="P51" s="55"/>
      <c r="Q51" s="55"/>
      <c r="R51" s="55"/>
      <c r="S51" s="55"/>
      <c r="T51" s="55"/>
    </row>
    <row r="52" spans="1:20" s="57" customFormat="1" ht="42.75" customHeight="1">
      <c r="A52" s="145" t="s">
        <v>588</v>
      </c>
      <c r="B52" s="230" t="s">
        <v>562</v>
      </c>
      <c r="C52" s="158"/>
      <c r="D52" s="15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55"/>
      <c r="P52" s="55"/>
      <c r="Q52" s="55"/>
      <c r="R52" s="55"/>
      <c r="S52" s="55"/>
      <c r="T52" s="55"/>
    </row>
    <row r="53" spans="1:20" s="57" customFormat="1" ht="42.75" customHeight="1">
      <c r="A53" s="143"/>
      <c r="B53" s="228" t="s">
        <v>604</v>
      </c>
      <c r="C53" s="150" t="s">
        <v>2</v>
      </c>
      <c r="D53" s="151" t="s">
        <v>533</v>
      </c>
      <c r="E53" s="214">
        <f aca="true" t="shared" si="25" ref="E53:N53">0.4*E5*(E17/10)*(E19/10)/1000</f>
        <v>10.56</v>
      </c>
      <c r="F53" s="214">
        <f t="shared" si="25"/>
        <v>11.1744</v>
      </c>
      <c r="G53" s="214">
        <f t="shared" si="25"/>
        <v>14.4</v>
      </c>
      <c r="H53" s="214">
        <f>0.4*H5*(H17/10)*(H19/10)/1000</f>
        <v>18.72</v>
      </c>
      <c r="I53" s="214">
        <f t="shared" si="25"/>
        <v>22.5792</v>
      </c>
      <c r="J53" s="214">
        <f t="shared" si="25"/>
        <v>23.52</v>
      </c>
      <c r="K53" s="214">
        <f t="shared" si="25"/>
        <v>30.72</v>
      </c>
      <c r="L53" s="214">
        <f t="shared" si="25"/>
        <v>38.88</v>
      </c>
      <c r="M53" s="214">
        <f t="shared" si="25"/>
        <v>48</v>
      </c>
      <c r="N53" s="214">
        <f t="shared" si="25"/>
        <v>63.36000000000001</v>
      </c>
      <c r="O53" s="55"/>
      <c r="P53" s="55"/>
      <c r="Q53" s="55"/>
      <c r="R53" s="55"/>
      <c r="S53" s="55"/>
      <c r="T53" s="55"/>
    </row>
    <row r="54" spans="1:20" s="57" customFormat="1" ht="42.75" customHeight="1">
      <c r="A54" s="142"/>
      <c r="B54" s="228" t="s">
        <v>605</v>
      </c>
      <c r="C54" s="150" t="s">
        <v>2</v>
      </c>
      <c r="D54" s="151" t="s">
        <v>533</v>
      </c>
      <c r="E54" s="214">
        <f aca="true" t="shared" si="26" ref="E54:N54">0.3*4000*(0.1*E17-E11*(E10+0.2))*(E19/10)/1000</f>
        <v>10.296</v>
      </c>
      <c r="F54" s="214">
        <f t="shared" si="26"/>
        <v>10.800000000000002</v>
      </c>
      <c r="G54" s="214">
        <f t="shared" si="26"/>
        <v>13.248</v>
      </c>
      <c r="H54" s="214">
        <f>0.3*4000*(0.1*H17-H11*(H10+0.2))*(H19/10)/1000</f>
        <v>18.252</v>
      </c>
      <c r="I54" s="214">
        <f t="shared" si="26"/>
        <v>21.888</v>
      </c>
      <c r="J54" s="214">
        <f t="shared" si="26"/>
        <v>22.008</v>
      </c>
      <c r="K54" s="214">
        <f t="shared" si="26"/>
        <v>27.84</v>
      </c>
      <c r="L54" s="214">
        <f t="shared" si="26"/>
        <v>34.344</v>
      </c>
      <c r="M54" s="214">
        <f t="shared" si="26"/>
        <v>44.16</v>
      </c>
      <c r="N54" s="214">
        <f t="shared" si="26"/>
        <v>58.872</v>
      </c>
      <c r="O54" s="55"/>
      <c r="P54" s="55"/>
      <c r="Q54" s="55"/>
      <c r="R54" s="55"/>
      <c r="S54" s="55"/>
      <c r="T54" s="55"/>
    </row>
    <row r="55" spans="1:20" s="57" customFormat="1" ht="42.75" customHeight="1">
      <c r="A55" s="145" t="s">
        <v>601</v>
      </c>
      <c r="B55" s="230" t="s">
        <v>606</v>
      </c>
      <c r="C55" s="158"/>
      <c r="D55" s="15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55"/>
      <c r="P55" s="55"/>
      <c r="Q55" s="55"/>
      <c r="R55" s="55"/>
      <c r="S55" s="55"/>
      <c r="T55" s="55"/>
    </row>
    <row r="56" spans="1:20" s="57" customFormat="1" ht="42.75" customHeight="1">
      <c r="A56" s="142"/>
      <c r="B56" s="228" t="s">
        <v>602</v>
      </c>
      <c r="C56" s="150" t="s">
        <v>2</v>
      </c>
      <c r="D56" s="151" t="s">
        <v>533</v>
      </c>
      <c r="E56" s="214">
        <f>0.5*4000*(E19/10)*((E17/10)-E11*(E10+0.2))/1000</f>
        <v>17.16</v>
      </c>
      <c r="F56" s="214">
        <f aca="true" t="shared" si="27" ref="F56:N56">0.5*4000*(F19/10)*((F17/10)-F11*(F10+0.2))/1000</f>
        <v>17.999999999999996</v>
      </c>
      <c r="G56" s="214">
        <f t="shared" si="27"/>
        <v>22.08</v>
      </c>
      <c r="H56" s="214">
        <f>0.5*4000*(H19/10)*((H17/10)-H11*(H10+0.2))/1000</f>
        <v>30.419999999999995</v>
      </c>
      <c r="I56" s="214">
        <f t="shared" si="27"/>
        <v>36.47999999999999</v>
      </c>
      <c r="J56" s="214">
        <f t="shared" si="27"/>
        <v>36.68</v>
      </c>
      <c r="K56" s="214">
        <f t="shared" si="27"/>
        <v>46.4</v>
      </c>
      <c r="L56" s="214">
        <f t="shared" si="27"/>
        <v>57.239999999999995</v>
      </c>
      <c r="M56" s="214">
        <f t="shared" si="27"/>
        <v>73.6</v>
      </c>
      <c r="N56" s="214">
        <f t="shared" si="27"/>
        <v>98.11999999999999</v>
      </c>
      <c r="O56" s="55"/>
      <c r="P56" s="55"/>
      <c r="Q56" s="55"/>
      <c r="R56" s="55"/>
      <c r="S56" s="55"/>
      <c r="T56" s="55"/>
    </row>
    <row r="57" spans="1:20" s="57" customFormat="1" ht="42.75" customHeight="1">
      <c r="A57" s="146" t="s">
        <v>607</v>
      </c>
      <c r="B57" s="231" t="s">
        <v>565</v>
      </c>
      <c r="C57" s="159"/>
      <c r="D57" s="160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55"/>
      <c r="P57" s="55"/>
      <c r="Q57" s="55"/>
      <c r="R57" s="55"/>
      <c r="S57" s="55"/>
      <c r="T57" s="55"/>
    </row>
    <row r="58" spans="1:20" s="71" customFormat="1" ht="42.75" customHeight="1">
      <c r="A58" s="142"/>
      <c r="B58" s="223" t="s">
        <v>670</v>
      </c>
      <c r="C58" s="150" t="s">
        <v>2</v>
      </c>
      <c r="D58" s="151" t="s">
        <v>566</v>
      </c>
      <c r="E58" s="209">
        <f>E30/2/E11</f>
        <v>0.485</v>
      </c>
      <c r="F58" s="209">
        <f aca="true" t="shared" si="28" ref="F58:N58">F30/2/F11</f>
        <v>0.7325</v>
      </c>
      <c r="G58" s="209">
        <f t="shared" si="28"/>
        <v>0.57</v>
      </c>
      <c r="H58" s="209">
        <f t="shared" si="28"/>
        <v>0.8333333333333334</v>
      </c>
      <c r="I58" s="209">
        <f t="shared" si="28"/>
        <v>0.8333333333333334</v>
      </c>
      <c r="J58" s="209">
        <f t="shared" si="28"/>
        <v>1</v>
      </c>
      <c r="K58" s="209">
        <f t="shared" si="28"/>
        <v>1</v>
      </c>
      <c r="L58" s="209">
        <f t="shared" si="28"/>
        <v>0.8333333333333334</v>
      </c>
      <c r="M58" s="209">
        <f t="shared" si="28"/>
        <v>1.25</v>
      </c>
      <c r="N58" s="209">
        <f t="shared" si="28"/>
        <v>1.2857142857142858</v>
      </c>
      <c r="O58" s="70"/>
      <c r="P58" s="70"/>
      <c r="Q58" s="70"/>
      <c r="R58" s="70"/>
      <c r="S58" s="70"/>
      <c r="T58" s="70"/>
    </row>
    <row r="59" spans="1:20" s="71" customFormat="1" ht="42.75" customHeight="1">
      <c r="A59" s="142"/>
      <c r="B59" s="223" t="s">
        <v>597</v>
      </c>
      <c r="C59" s="150" t="s">
        <v>2</v>
      </c>
      <c r="D59" s="151" t="s">
        <v>566</v>
      </c>
      <c r="E59" s="209">
        <f>E8/2/E11</f>
        <v>0.75</v>
      </c>
      <c r="F59" s="209">
        <f aca="true" t="shared" si="29" ref="F59:M59">F8/2/F11</f>
        <v>0.75</v>
      </c>
      <c r="G59" s="209">
        <f t="shared" si="29"/>
        <v>0.8333333333333334</v>
      </c>
      <c r="H59" s="209">
        <f>H8/2/H11</f>
        <v>0.8333333333333334</v>
      </c>
      <c r="I59" s="209">
        <f t="shared" si="29"/>
        <v>0.8333333333333334</v>
      </c>
      <c r="J59" s="209">
        <f t="shared" si="29"/>
        <v>0.625</v>
      </c>
      <c r="K59" s="209">
        <f t="shared" si="29"/>
        <v>1</v>
      </c>
      <c r="L59" s="209">
        <f t="shared" si="29"/>
        <v>1.6666666666666667</v>
      </c>
      <c r="M59" s="209">
        <f t="shared" si="29"/>
        <v>0.6666666666666666</v>
      </c>
      <c r="N59" s="209">
        <f>N8/2/N11</f>
        <v>0.7142857142857143</v>
      </c>
      <c r="O59" s="70"/>
      <c r="P59" s="70"/>
      <c r="Q59" s="70"/>
      <c r="R59" s="70"/>
      <c r="S59" s="70"/>
      <c r="T59" s="70"/>
    </row>
    <row r="60" spans="1:20" s="71" customFormat="1" ht="42.75" customHeight="1">
      <c r="A60" s="142"/>
      <c r="B60" s="223" t="s">
        <v>671</v>
      </c>
      <c r="C60" s="150" t="s">
        <v>2</v>
      </c>
      <c r="D60" s="151" t="s">
        <v>528</v>
      </c>
      <c r="E60" s="209">
        <f>E30*(E13+2+0.5*E12+0.5*E7)/100</f>
        <v>0.3201</v>
      </c>
      <c r="F60" s="209">
        <f aca="true" t="shared" si="30" ref="F60:N60">F30*(F13+2+0.5*F12+0.5*F7)/100</f>
        <v>0.48345000000000005</v>
      </c>
      <c r="G60" s="209">
        <f t="shared" si="30"/>
        <v>0.5643</v>
      </c>
      <c r="H60" s="209">
        <f t="shared" si="30"/>
        <v>0.825</v>
      </c>
      <c r="I60" s="209">
        <f t="shared" si="30"/>
        <v>0.95</v>
      </c>
      <c r="J60" s="209">
        <f t="shared" si="30"/>
        <v>1.52</v>
      </c>
      <c r="K60" s="209">
        <f t="shared" si="30"/>
        <v>1.9</v>
      </c>
      <c r="L60" s="209">
        <f t="shared" si="30"/>
        <v>1.9</v>
      </c>
      <c r="M60" s="209">
        <f t="shared" si="30"/>
        <v>2.85</v>
      </c>
      <c r="N60" s="209">
        <f t="shared" si="30"/>
        <v>3.42</v>
      </c>
      <c r="O60" s="70"/>
      <c r="P60" s="70"/>
      <c r="Q60" s="70"/>
      <c r="R60" s="70"/>
      <c r="S60" s="70"/>
      <c r="T60" s="70"/>
    </row>
    <row r="61" spans="1:20" s="71" customFormat="1" ht="42.75" customHeight="1">
      <c r="A61" s="142"/>
      <c r="B61" s="223" t="s">
        <v>574</v>
      </c>
      <c r="C61" s="150" t="s">
        <v>2</v>
      </c>
      <c r="D61" s="151" t="s">
        <v>566</v>
      </c>
      <c r="E61" s="220">
        <f>E60*'Torsion coeff2'!B20*100</f>
        <v>1.3337499999999998</v>
      </c>
      <c r="F61" s="220">
        <f>F60*'Torsion coeff2'!B20*100</f>
        <v>2.0143750000000002</v>
      </c>
      <c r="G61" s="220">
        <f>G60*'Torsion coeff2'!D20*100</f>
        <v>1.71</v>
      </c>
      <c r="H61" s="220">
        <f>H60*'Torsion coeff2'!D20*100</f>
        <v>2.5</v>
      </c>
      <c r="I61" s="220">
        <f>I60*'Torsion coeff2'!D20*100</f>
        <v>2.8787878787878785</v>
      </c>
      <c r="J61" s="220">
        <f>J60*'Torsion coeff2'!F20*100</f>
        <v>3.166666666666666</v>
      </c>
      <c r="K61" s="220">
        <f>K60*'Torsion coeff2'!H20*100</f>
        <v>2.814814814814815</v>
      </c>
      <c r="L61" s="220">
        <f>L60*'Torsion coeff2'!J20*100</f>
        <v>2.083333333333333</v>
      </c>
      <c r="M61" s="220">
        <f>M60*'Torsion coeff2'!J20*100</f>
        <v>3.125</v>
      </c>
      <c r="N61" s="220">
        <f>N60*'Torsion coeff2'!L20*100</f>
        <v>2.8739495798319323</v>
      </c>
      <c r="O61" s="70"/>
      <c r="P61" s="70"/>
      <c r="Q61" s="70"/>
      <c r="R61" s="70"/>
      <c r="S61" s="70"/>
      <c r="T61" s="70"/>
    </row>
    <row r="62" spans="1:20" s="57" customFormat="1" ht="42.75" customHeight="1">
      <c r="A62" s="142"/>
      <c r="B62" s="223" t="s">
        <v>572</v>
      </c>
      <c r="C62" s="150" t="s">
        <v>2</v>
      </c>
      <c r="D62" s="151" t="s">
        <v>566</v>
      </c>
      <c r="E62" s="220">
        <f>E60*'Torsion coeff2'!B21*100</f>
        <v>1.3337499999999998</v>
      </c>
      <c r="F62" s="220">
        <f>F60*'Torsion coeff2'!B21*100</f>
        <v>2.0143750000000002</v>
      </c>
      <c r="G62" s="220">
        <f>G60*'Torsion coeff2'!D21*100</f>
        <v>0.855</v>
      </c>
      <c r="H62" s="220">
        <f>H60*'Torsion coeff2'!D21*100</f>
        <v>1.25</v>
      </c>
      <c r="I62" s="220">
        <f>I60*'Torsion coeff2'!D21*100</f>
        <v>1.4393939393939392</v>
      </c>
      <c r="J62" s="220">
        <f>J60*'Torsion coeff2'!F21*100</f>
        <v>1.0555555555555556</v>
      </c>
      <c r="K62" s="220">
        <f>K60*'Torsion coeff2'!H21*100</f>
        <v>0.7037037037037037</v>
      </c>
      <c r="L62" s="220">
        <f>L60*'Torsion coeff2'!J21*100</f>
        <v>0.4166666666666667</v>
      </c>
      <c r="M62" s="220">
        <f>M60*'Torsion coeff2'!J21*100</f>
        <v>0.625</v>
      </c>
      <c r="N62" s="220">
        <f>N60*'Torsion coeff2'!L21*100</f>
        <v>0.4789915966386555</v>
      </c>
      <c r="O62" s="55"/>
      <c r="P62" s="55"/>
      <c r="Q62" s="55"/>
      <c r="R62" s="55"/>
      <c r="S62" s="55"/>
      <c r="T62" s="55"/>
    </row>
    <row r="63" spans="1:20" s="57" customFormat="1" ht="42.75" customHeight="1">
      <c r="A63" s="142"/>
      <c r="B63" s="223" t="s">
        <v>575</v>
      </c>
      <c r="C63" s="150" t="s">
        <v>2</v>
      </c>
      <c r="D63" s="151" t="s">
        <v>566</v>
      </c>
      <c r="E63" s="221">
        <f>SQRT((E58+E62)^2+(E61+E59)^2)</f>
        <v>2.7658390453893005</v>
      </c>
      <c r="F63" s="221">
        <f aca="true" t="shared" si="31" ref="F63:K63">SQRT((F58+F62)^2+(F61+F59)^2)</f>
        <v>3.897061894074817</v>
      </c>
      <c r="G63" s="221">
        <f t="shared" si="31"/>
        <v>2.915333504840303</v>
      </c>
      <c r="H63" s="221">
        <f t="shared" si="31"/>
        <v>3.9308254716902518</v>
      </c>
      <c r="I63" s="221">
        <f t="shared" si="31"/>
        <v>4.352600734007038</v>
      </c>
      <c r="J63" s="221">
        <f t="shared" si="31"/>
        <v>4.313008781939403</v>
      </c>
      <c r="K63" s="221">
        <f t="shared" si="31"/>
        <v>4.17796821210314</v>
      </c>
      <c r="L63" s="221">
        <f>SQRT((L58+L62)^2+(L61+L59)^2)</f>
        <v>3.952847075210474</v>
      </c>
      <c r="M63" s="221">
        <f>SQRT((M58+M62)^2+(M61+M59)^2)</f>
        <v>4.22993630107016</v>
      </c>
      <c r="N63" s="221">
        <f>SQRT((N58+N62)^2+(N61+N59)^2)</f>
        <v>3.9987022116134914</v>
      </c>
      <c r="O63" s="55"/>
      <c r="P63" s="55"/>
      <c r="Q63" s="55"/>
      <c r="R63" s="55"/>
      <c r="S63" s="55"/>
      <c r="T63" s="55"/>
    </row>
    <row r="64" spans="1:20" s="57" customFormat="1" ht="42.75" customHeight="1">
      <c r="A64" s="142"/>
      <c r="B64" s="223" t="s">
        <v>576</v>
      </c>
      <c r="C64" s="150" t="s">
        <v>2</v>
      </c>
      <c r="D64" s="151" t="s">
        <v>566</v>
      </c>
      <c r="E64" s="220">
        <f aca="true" t="shared" si="32" ref="E64:N64">1.45*(3.14*E10*E10/4)</f>
        <v>4.553</v>
      </c>
      <c r="F64" s="220">
        <f t="shared" si="32"/>
        <v>4.553</v>
      </c>
      <c r="G64" s="220">
        <f t="shared" si="32"/>
        <v>4.553</v>
      </c>
      <c r="H64" s="220">
        <f>1.45*(3.14*H10*H10/4)</f>
        <v>4.553</v>
      </c>
      <c r="I64" s="220">
        <f t="shared" si="32"/>
        <v>4.553</v>
      </c>
      <c r="J64" s="220">
        <f t="shared" si="32"/>
        <v>4.553</v>
      </c>
      <c r="K64" s="220">
        <f t="shared" si="32"/>
        <v>4.553</v>
      </c>
      <c r="L64" s="220">
        <f t="shared" si="32"/>
        <v>4.553</v>
      </c>
      <c r="M64" s="220">
        <f t="shared" si="32"/>
        <v>4.553</v>
      </c>
      <c r="N64" s="220">
        <f t="shared" si="32"/>
        <v>4.553</v>
      </c>
      <c r="O64" s="55"/>
      <c r="P64" s="55"/>
      <c r="Q64" s="55"/>
      <c r="R64" s="55"/>
      <c r="S64" s="55"/>
      <c r="T64" s="55"/>
    </row>
    <row r="65" spans="1:20" s="37" customFormat="1" ht="42.75" customHeight="1">
      <c r="A65" s="38"/>
      <c r="B65" s="38"/>
      <c r="C65" s="39"/>
      <c r="D65" s="38"/>
      <c r="E65" s="39"/>
      <c r="F65" s="87"/>
      <c r="G65" s="87"/>
      <c r="H65" s="87"/>
      <c r="I65" s="87"/>
      <c r="J65" s="87"/>
      <c r="K65" s="87"/>
      <c r="L65" s="87"/>
      <c r="M65" s="87"/>
      <c r="N65" s="87"/>
      <c r="O65" s="38"/>
      <c r="P65" s="38"/>
      <c r="Q65" s="38"/>
      <c r="R65" s="38"/>
      <c r="S65" s="38"/>
      <c r="T65" s="38"/>
    </row>
    <row r="66" spans="1:20" s="37" customFormat="1" ht="28.5" customHeight="1">
      <c r="A66" s="38"/>
      <c r="B66" s="38"/>
      <c r="C66" s="39"/>
      <c r="D66" s="40"/>
      <c r="E66" s="41"/>
      <c r="F66" s="87"/>
      <c r="G66" s="87"/>
      <c r="H66" s="87"/>
      <c r="I66" s="87"/>
      <c r="J66" s="87"/>
      <c r="K66" s="87"/>
      <c r="L66" s="87"/>
      <c r="M66" s="87"/>
      <c r="N66" s="87"/>
      <c r="O66" s="38"/>
      <c r="P66" s="38"/>
      <c r="Q66" s="38"/>
      <c r="R66" s="38"/>
      <c r="S66" s="38"/>
      <c r="T66" s="38"/>
    </row>
    <row r="67" spans="1:20" s="37" customFormat="1" ht="28.5" customHeight="1">
      <c r="A67" s="38"/>
      <c r="B67" s="38"/>
      <c r="C67" s="38"/>
      <c r="D67" s="38"/>
      <c r="E67" s="39"/>
      <c r="F67" s="87"/>
      <c r="G67" s="87"/>
      <c r="H67" s="87"/>
      <c r="I67" s="87"/>
      <c r="J67" s="87"/>
      <c r="K67" s="87"/>
      <c r="L67" s="87"/>
      <c r="M67" s="87"/>
      <c r="N67" s="87"/>
      <c r="O67" s="38"/>
      <c r="P67" s="38"/>
      <c r="Q67" s="38"/>
      <c r="R67" s="38"/>
      <c r="S67" s="38"/>
      <c r="T67" s="38"/>
    </row>
    <row r="68" spans="1:20" s="37" customFormat="1" ht="28.5" customHeight="1">
      <c r="A68" s="38"/>
      <c r="B68" s="42"/>
      <c r="C68" s="43"/>
      <c r="D68" s="42"/>
      <c r="E68" s="43"/>
      <c r="F68" s="87"/>
      <c r="G68" s="87"/>
      <c r="H68" s="87"/>
      <c r="I68" s="87"/>
      <c r="J68" s="87"/>
      <c r="K68" s="87"/>
      <c r="L68" s="87"/>
      <c r="M68" s="87"/>
      <c r="N68" s="87"/>
      <c r="O68" s="38"/>
      <c r="P68" s="38"/>
      <c r="Q68" s="38"/>
      <c r="R68" s="38"/>
      <c r="S68" s="38"/>
      <c r="T68" s="38"/>
    </row>
    <row r="69" spans="1:20" s="37" customFormat="1" ht="28.5" customHeight="1">
      <c r="A69" s="38"/>
      <c r="B69" s="38"/>
      <c r="C69" s="38"/>
      <c r="D69" s="38"/>
      <c r="E69" s="39"/>
      <c r="F69" s="87"/>
      <c r="G69" s="87"/>
      <c r="H69" s="87"/>
      <c r="I69" s="87"/>
      <c r="J69" s="87"/>
      <c r="K69" s="87"/>
      <c r="L69" s="87"/>
      <c r="M69" s="87"/>
      <c r="N69" s="87"/>
      <c r="O69" s="38"/>
      <c r="P69" s="38"/>
      <c r="Q69" s="38"/>
      <c r="R69" s="38"/>
      <c r="S69" s="38"/>
      <c r="T69" s="38"/>
    </row>
    <row r="70" spans="1:20" s="37" customFormat="1" ht="14.25">
      <c r="A70" s="38"/>
      <c r="B70" s="38"/>
      <c r="C70" s="38"/>
      <c r="D70" s="38"/>
      <c r="E70" s="39"/>
      <c r="F70" s="87"/>
      <c r="G70" s="87"/>
      <c r="H70" s="87"/>
      <c r="I70" s="87"/>
      <c r="J70" s="87"/>
      <c r="K70" s="87"/>
      <c r="L70" s="87"/>
      <c r="M70" s="87"/>
      <c r="N70" s="87"/>
      <c r="O70" s="38"/>
      <c r="P70" s="38"/>
      <c r="Q70" s="38"/>
      <c r="R70" s="38"/>
      <c r="S70" s="38"/>
      <c r="T70" s="38"/>
    </row>
    <row r="71" spans="1:14" s="37" customFormat="1" ht="14.25">
      <c r="A71" s="38"/>
      <c r="B71" s="38"/>
      <c r="C71" s="38"/>
      <c r="D71" s="38"/>
      <c r="E71" s="39"/>
      <c r="F71" s="88"/>
      <c r="G71" s="88"/>
      <c r="H71" s="88"/>
      <c r="I71" s="88"/>
      <c r="J71" s="88"/>
      <c r="K71" s="88"/>
      <c r="L71" s="88"/>
      <c r="M71" s="88"/>
      <c r="N71" s="88"/>
    </row>
    <row r="72" spans="1:14" s="37" customFormat="1" ht="14.25">
      <c r="A72" s="38"/>
      <c r="B72" s="38"/>
      <c r="C72" s="38"/>
      <c r="D72" s="38"/>
      <c r="E72" s="39"/>
      <c r="F72" s="88"/>
      <c r="G72" s="88"/>
      <c r="H72" s="88"/>
      <c r="I72" s="88"/>
      <c r="J72" s="88"/>
      <c r="K72" s="88"/>
      <c r="L72" s="88"/>
      <c r="M72" s="88"/>
      <c r="N72" s="88"/>
    </row>
    <row r="73" spans="1:14" s="37" customFormat="1" ht="14.25">
      <c r="A73" s="38"/>
      <c r="B73" s="38"/>
      <c r="C73" s="38"/>
      <c r="D73" s="38"/>
      <c r="E73" s="39"/>
      <c r="F73" s="88"/>
      <c r="G73" s="88"/>
      <c r="H73" s="88"/>
      <c r="I73" s="88"/>
      <c r="J73" s="88"/>
      <c r="K73" s="88"/>
      <c r="L73" s="88"/>
      <c r="M73" s="88"/>
      <c r="N73" s="88"/>
    </row>
    <row r="74" spans="1:14" s="37" customFormat="1" ht="14.25">
      <c r="A74" s="38"/>
      <c r="B74" s="38"/>
      <c r="C74" s="38"/>
      <c r="D74" s="38"/>
      <c r="E74" s="39"/>
      <c r="F74" s="88"/>
      <c r="G74" s="88"/>
      <c r="H74" s="88"/>
      <c r="I74" s="88"/>
      <c r="J74" s="88"/>
      <c r="K74" s="88"/>
      <c r="L74" s="88"/>
      <c r="M74" s="88"/>
      <c r="N74" s="88"/>
    </row>
    <row r="75" spans="1:14" s="37" customFormat="1" ht="14.25">
      <c r="A75" s="38"/>
      <c r="B75" s="38"/>
      <c r="C75" s="38"/>
      <c r="D75" s="38"/>
      <c r="E75" s="39"/>
      <c r="F75" s="88"/>
      <c r="G75" s="88"/>
      <c r="H75" s="88"/>
      <c r="I75" s="88"/>
      <c r="J75" s="88"/>
      <c r="K75" s="88"/>
      <c r="L75" s="88"/>
      <c r="M75" s="88"/>
      <c r="N75" s="88"/>
    </row>
    <row r="76" spans="1:14" s="37" customFormat="1" ht="14.25">
      <c r="A76" s="38"/>
      <c r="B76" s="38"/>
      <c r="C76" s="38"/>
      <c r="D76" s="38"/>
      <c r="E76" s="39"/>
      <c r="F76" s="88"/>
      <c r="G76" s="88"/>
      <c r="H76" s="88"/>
      <c r="I76" s="88"/>
      <c r="J76" s="88"/>
      <c r="K76" s="88"/>
      <c r="L76" s="88"/>
      <c r="M76" s="88"/>
      <c r="N76" s="88"/>
    </row>
    <row r="77" spans="1:14" s="37" customFormat="1" ht="14.25">
      <c r="A77" s="38"/>
      <c r="B77" s="38"/>
      <c r="C77" s="38"/>
      <c r="D77" s="38"/>
      <c r="E77" s="39"/>
      <c r="F77" s="88"/>
      <c r="G77" s="88"/>
      <c r="H77" s="88"/>
      <c r="I77" s="88"/>
      <c r="J77" s="88"/>
      <c r="K77" s="88"/>
      <c r="L77" s="88"/>
      <c r="M77" s="88"/>
      <c r="N77" s="88"/>
    </row>
    <row r="78" spans="1:14" s="37" customFormat="1" ht="14.25">
      <c r="A78" s="38"/>
      <c r="B78" s="38"/>
      <c r="C78" s="38"/>
      <c r="D78" s="38"/>
      <c r="E78" s="39"/>
      <c r="F78" s="88"/>
      <c r="G78" s="88"/>
      <c r="H78" s="88"/>
      <c r="I78" s="88"/>
      <c r="J78" s="88"/>
      <c r="K78" s="88"/>
      <c r="L78" s="88"/>
      <c r="M78" s="88"/>
      <c r="N78" s="88"/>
    </row>
    <row r="79" spans="1:14" s="37" customFormat="1" ht="14.25">
      <c r="A79" s="38"/>
      <c r="B79" s="38"/>
      <c r="C79" s="38"/>
      <c r="D79" s="38"/>
      <c r="E79" s="39"/>
      <c r="F79" s="88"/>
      <c r="G79" s="88"/>
      <c r="H79" s="88"/>
      <c r="I79" s="88"/>
      <c r="J79" s="88"/>
      <c r="K79" s="88"/>
      <c r="L79" s="88"/>
      <c r="M79" s="88"/>
      <c r="N79" s="88"/>
    </row>
    <row r="80" spans="1:14" s="37" customFormat="1" ht="14.25">
      <c r="A80" s="38"/>
      <c r="B80" s="38"/>
      <c r="C80" s="38"/>
      <c r="D80" s="38"/>
      <c r="E80" s="39"/>
      <c r="F80" s="88"/>
      <c r="G80" s="88"/>
      <c r="H80" s="88"/>
      <c r="I80" s="88"/>
      <c r="J80" s="88"/>
      <c r="K80" s="88"/>
      <c r="L80" s="88"/>
      <c r="M80" s="88"/>
      <c r="N80" s="88"/>
    </row>
    <row r="81" spans="1:14" s="37" customFormat="1" ht="14.25">
      <c r="A81" s="38"/>
      <c r="B81" s="38"/>
      <c r="C81" s="38"/>
      <c r="D81" s="38"/>
      <c r="E81" s="39"/>
      <c r="F81" s="88"/>
      <c r="G81" s="88"/>
      <c r="H81" s="88"/>
      <c r="I81" s="88"/>
      <c r="J81" s="88"/>
      <c r="K81" s="88"/>
      <c r="L81" s="88"/>
      <c r="M81" s="88"/>
      <c r="N81" s="88"/>
    </row>
    <row r="82" spans="1:14" s="37" customFormat="1" ht="14.25">
      <c r="A82" s="38"/>
      <c r="B82" s="38"/>
      <c r="C82" s="38"/>
      <c r="D82" s="38"/>
      <c r="E82" s="39"/>
      <c r="F82" s="88"/>
      <c r="G82" s="88"/>
      <c r="H82" s="88"/>
      <c r="I82" s="88"/>
      <c r="J82" s="88"/>
      <c r="K82" s="88"/>
      <c r="L82" s="88"/>
      <c r="M82" s="88"/>
      <c r="N82" s="88"/>
    </row>
    <row r="83" spans="1:14" s="37" customFormat="1" ht="14.25">
      <c r="A83" s="38"/>
      <c r="B83" s="38"/>
      <c r="C83" s="38"/>
      <c r="D83" s="38"/>
      <c r="E83" s="39"/>
      <c r="F83" s="88"/>
      <c r="G83" s="88"/>
      <c r="H83" s="88"/>
      <c r="I83" s="88"/>
      <c r="J83" s="88"/>
      <c r="K83" s="88"/>
      <c r="L83" s="88"/>
      <c r="M83" s="88"/>
      <c r="N83" s="88"/>
    </row>
    <row r="84" spans="1:14" s="37" customFormat="1" ht="14.25">
      <c r="A84" s="38"/>
      <c r="B84" s="38"/>
      <c r="C84" s="38"/>
      <c r="D84" s="38"/>
      <c r="E84" s="39"/>
      <c r="F84" s="88"/>
      <c r="G84" s="88"/>
      <c r="H84" s="88"/>
      <c r="I84" s="88"/>
      <c r="J84" s="88"/>
      <c r="K84" s="88"/>
      <c r="L84" s="88"/>
      <c r="M84" s="88"/>
      <c r="N84" s="88"/>
    </row>
    <row r="85" spans="5:14" s="37" customFormat="1" ht="14.25">
      <c r="E85" s="44"/>
      <c r="F85" s="88"/>
      <c r="G85" s="88"/>
      <c r="H85" s="88"/>
      <c r="I85" s="88"/>
      <c r="J85" s="88"/>
      <c r="K85" s="88"/>
      <c r="L85" s="88"/>
      <c r="M85" s="88"/>
      <c r="N85" s="88"/>
    </row>
    <row r="86" spans="5:14" s="37" customFormat="1" ht="14.25">
      <c r="E86" s="44"/>
      <c r="F86" s="88"/>
      <c r="G86" s="88"/>
      <c r="H86" s="88"/>
      <c r="I86" s="88"/>
      <c r="J86" s="88"/>
      <c r="K86" s="88"/>
      <c r="L86" s="88"/>
      <c r="M86" s="88"/>
      <c r="N86" s="88"/>
    </row>
    <row r="87" spans="5:14" s="37" customFormat="1" ht="14.25">
      <c r="E87" s="44"/>
      <c r="F87" s="88"/>
      <c r="G87" s="88"/>
      <c r="H87" s="88"/>
      <c r="I87" s="88"/>
      <c r="J87" s="88"/>
      <c r="K87" s="88"/>
      <c r="L87" s="88"/>
      <c r="M87" s="88"/>
      <c r="N87" s="88"/>
    </row>
    <row r="88" spans="5:14" s="37" customFormat="1" ht="14.25">
      <c r="E88" s="44"/>
      <c r="F88" s="88"/>
      <c r="G88" s="88"/>
      <c r="H88" s="88"/>
      <c r="I88" s="88"/>
      <c r="J88" s="88"/>
      <c r="K88" s="88"/>
      <c r="L88" s="88"/>
      <c r="M88" s="88"/>
      <c r="N88" s="88"/>
    </row>
    <row r="89" spans="5:14" s="37" customFormat="1" ht="14.25">
      <c r="E89" s="44"/>
      <c r="F89" s="88"/>
      <c r="G89" s="88"/>
      <c r="H89" s="88"/>
      <c r="I89" s="88"/>
      <c r="J89" s="88"/>
      <c r="K89" s="88"/>
      <c r="L89" s="88"/>
      <c r="M89" s="88"/>
      <c r="N89" s="88"/>
    </row>
    <row r="90" spans="5:14" s="37" customFormat="1" ht="14.25">
      <c r="E90" s="44"/>
      <c r="F90" s="88"/>
      <c r="G90" s="88"/>
      <c r="H90" s="88"/>
      <c r="I90" s="88"/>
      <c r="J90" s="88"/>
      <c r="K90" s="88"/>
      <c r="L90" s="88"/>
      <c r="M90" s="88"/>
      <c r="N90" s="88"/>
    </row>
    <row r="91" spans="5:14" s="37" customFormat="1" ht="14.25">
      <c r="E91" s="44"/>
      <c r="F91" s="88"/>
      <c r="G91" s="88"/>
      <c r="H91" s="88"/>
      <c r="I91" s="88"/>
      <c r="J91" s="88"/>
      <c r="K91" s="88"/>
      <c r="L91" s="88"/>
      <c r="M91" s="88"/>
      <c r="N91" s="88"/>
    </row>
    <row r="92" spans="5:14" s="37" customFormat="1" ht="14.25">
      <c r="E92" s="44"/>
      <c r="F92" s="88"/>
      <c r="G92" s="88"/>
      <c r="H92" s="88"/>
      <c r="I92" s="88"/>
      <c r="J92" s="88"/>
      <c r="K92" s="88"/>
      <c r="L92" s="88"/>
      <c r="M92" s="88"/>
      <c r="N92" s="88"/>
    </row>
    <row r="93" spans="5:14" s="37" customFormat="1" ht="14.25">
      <c r="E93" s="44"/>
      <c r="F93" s="88"/>
      <c r="G93" s="88"/>
      <c r="H93" s="88"/>
      <c r="I93" s="88"/>
      <c r="J93" s="88"/>
      <c r="K93" s="88"/>
      <c r="L93" s="88"/>
      <c r="M93" s="88"/>
      <c r="N93" s="88"/>
    </row>
    <row r="94" spans="5:14" s="37" customFormat="1" ht="14.25">
      <c r="E94" s="44"/>
      <c r="F94" s="88"/>
      <c r="G94" s="88"/>
      <c r="H94" s="88"/>
      <c r="I94" s="88"/>
      <c r="J94" s="88"/>
      <c r="K94" s="88"/>
      <c r="L94" s="88"/>
      <c r="M94" s="88"/>
      <c r="N94" s="88"/>
    </row>
    <row r="95" spans="5:14" s="37" customFormat="1" ht="14.25">
      <c r="E95" s="44"/>
      <c r="F95" s="88"/>
      <c r="G95" s="88"/>
      <c r="H95" s="88"/>
      <c r="I95" s="88"/>
      <c r="J95" s="88"/>
      <c r="K95" s="88"/>
      <c r="L95" s="88"/>
      <c r="M95" s="88"/>
      <c r="N95" s="88"/>
    </row>
    <row r="96" spans="5:14" s="37" customFormat="1" ht="14.25">
      <c r="E96" s="44"/>
      <c r="F96" s="88"/>
      <c r="G96" s="88"/>
      <c r="H96" s="88"/>
      <c r="I96" s="88"/>
      <c r="J96" s="88"/>
      <c r="K96" s="88"/>
      <c r="L96" s="88"/>
      <c r="M96" s="88"/>
      <c r="N96" s="88"/>
    </row>
    <row r="97" spans="5:14" s="37" customFormat="1" ht="14.25">
      <c r="E97" s="44"/>
      <c r="F97" s="88"/>
      <c r="G97" s="88"/>
      <c r="H97" s="88"/>
      <c r="I97" s="88"/>
      <c r="J97" s="88"/>
      <c r="K97" s="88"/>
      <c r="L97" s="88"/>
      <c r="M97" s="88"/>
      <c r="N97" s="88"/>
    </row>
    <row r="98" spans="5:14" s="37" customFormat="1" ht="14.25">
      <c r="E98" s="44"/>
      <c r="F98" s="88"/>
      <c r="G98" s="88"/>
      <c r="H98" s="88"/>
      <c r="I98" s="88"/>
      <c r="J98" s="88"/>
      <c r="K98" s="88"/>
      <c r="L98" s="88"/>
      <c r="M98" s="88"/>
      <c r="N98" s="88"/>
    </row>
    <row r="99" spans="5:14" s="37" customFormat="1" ht="14.25">
      <c r="E99" s="44"/>
      <c r="F99" s="88"/>
      <c r="G99" s="88"/>
      <c r="H99" s="88"/>
      <c r="I99" s="88"/>
      <c r="J99" s="88"/>
      <c r="K99" s="88"/>
      <c r="L99" s="88"/>
      <c r="M99" s="88"/>
      <c r="N99" s="88"/>
    </row>
    <row r="100" spans="5:14" s="37" customFormat="1" ht="14.25">
      <c r="E100" s="44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5:14" s="37" customFormat="1" ht="14.25">
      <c r="E101" s="44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5:14" s="37" customFormat="1" ht="14.25">
      <c r="E102" s="44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5:14" s="37" customFormat="1" ht="14.25">
      <c r="E103" s="44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5:14" s="37" customFormat="1" ht="14.25">
      <c r="E104" s="44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5:14" s="37" customFormat="1" ht="14.25">
      <c r="E105" s="44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5:14" s="37" customFormat="1" ht="14.25">
      <c r="E106" s="44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5:14" s="37" customFormat="1" ht="14.25">
      <c r="E107" s="44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5:14" s="37" customFormat="1" ht="14.25">
      <c r="E108" s="44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5:14" s="37" customFormat="1" ht="14.25">
      <c r="E109" s="44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5:14" s="37" customFormat="1" ht="14.25">
      <c r="E110" s="44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5:14" s="37" customFormat="1" ht="14.25">
      <c r="E111" s="44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5:14" s="37" customFormat="1" ht="14.25">
      <c r="E112" s="44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5:14" s="37" customFormat="1" ht="14.25">
      <c r="E113" s="44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5:14" s="37" customFormat="1" ht="14.25">
      <c r="E114" s="44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5:14" s="37" customFormat="1" ht="14.25">
      <c r="E115" s="44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5:14" s="37" customFormat="1" ht="14.25">
      <c r="E116" s="44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5:14" s="37" customFormat="1" ht="14.25">
      <c r="E117" s="44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5:14" s="37" customFormat="1" ht="14.25">
      <c r="E118" s="44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5:14" s="37" customFormat="1" ht="14.25">
      <c r="E119" s="44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5:14" s="37" customFormat="1" ht="14.25">
      <c r="E120" s="44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5:14" s="37" customFormat="1" ht="14.25">
      <c r="E121" s="44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5:14" s="37" customFormat="1" ht="14.25">
      <c r="E122" s="44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5:14" s="37" customFormat="1" ht="14.25">
      <c r="E123" s="44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5:14" s="37" customFormat="1" ht="14.25">
      <c r="E124" s="44"/>
      <c r="F124" s="88"/>
      <c r="G124" s="88"/>
      <c r="H124" s="88"/>
      <c r="I124" s="88"/>
      <c r="J124" s="88"/>
      <c r="K124" s="88"/>
      <c r="L124" s="88"/>
      <c r="M124" s="88"/>
      <c r="N124" s="88"/>
    </row>
  </sheetData>
  <dataValidations count="1">
    <dataValidation type="list" allowBlank="1" showInputMessage="1" showErrorMessage="1" sqref="E4:N4">
      <formula1>st_name</formula1>
    </dataValidation>
  </dataValidations>
  <printOptions/>
  <pageMargins left="0.62" right="0.17" top="0.41" bottom="0.26" header="0.22" footer="0.15"/>
  <pageSetup horizontalDpi="600" verticalDpi="600" orientation="landscape" paperSize="9" scale="21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120"/>
  <sheetViews>
    <sheetView zoomScale="25" zoomScaleNormal="25" workbookViewId="0" topLeftCell="H1">
      <selection activeCell="J43" sqref="J43"/>
    </sheetView>
  </sheetViews>
  <sheetFormatPr defaultColWidth="9.140625" defaultRowHeight="21.75"/>
  <cols>
    <col min="1" max="1" width="4.7109375" style="6" customWidth="1"/>
    <col min="2" max="2" width="65.140625" style="6" customWidth="1"/>
    <col min="3" max="3" width="4.7109375" style="6" bestFit="1" customWidth="1"/>
    <col min="4" max="4" width="15.421875" style="6" customWidth="1"/>
    <col min="5" max="5" width="53.00390625" style="7" customWidth="1"/>
    <col min="6" max="13" width="53.00390625" style="6" customWidth="1"/>
    <col min="14" max="14" width="20.28125" style="6" bestFit="1" customWidth="1"/>
    <col min="15" max="15" width="7.7109375" style="6" customWidth="1"/>
    <col min="16" max="16" width="26.28125" style="6" bestFit="1" customWidth="1"/>
    <col min="17" max="17" width="20.28125" style="6" bestFit="1" customWidth="1"/>
    <col min="18" max="18" width="7.7109375" style="6" customWidth="1"/>
    <col min="19" max="19" width="26.28125" style="6" bestFit="1" customWidth="1"/>
    <col min="20" max="20" width="20.28125" style="6" bestFit="1" customWidth="1"/>
    <col min="21" max="21" width="8.7109375" style="6" customWidth="1"/>
    <col min="22" max="22" width="26.28125" style="6" bestFit="1" customWidth="1"/>
    <col min="23" max="23" width="20.28125" style="6" bestFit="1" customWidth="1"/>
    <col min="24" max="24" width="7.7109375" style="6" customWidth="1"/>
    <col min="25" max="25" width="26.28125" style="6" bestFit="1" customWidth="1"/>
    <col min="26" max="26" width="20.28125" style="6" bestFit="1" customWidth="1"/>
    <col min="27" max="27" width="8.7109375" style="6" customWidth="1"/>
    <col min="28" max="28" width="26.28125" style="6" bestFit="1" customWidth="1"/>
    <col min="29" max="29" width="20.28125" style="6" bestFit="1" customWidth="1"/>
    <col min="30" max="30" width="8.7109375" style="6" customWidth="1"/>
    <col min="31" max="31" width="26.28125" style="6" bestFit="1" customWidth="1"/>
    <col min="32" max="32" width="20.8515625" style="6" bestFit="1" customWidth="1"/>
    <col min="33" max="33" width="10.140625" style="6" bestFit="1" customWidth="1"/>
    <col min="34" max="34" width="26.8515625" style="6" bestFit="1" customWidth="1"/>
    <col min="35" max="35" width="20.8515625" style="6" bestFit="1" customWidth="1"/>
    <col min="36" max="36" width="8.7109375" style="6" customWidth="1"/>
    <col min="37" max="37" width="26.8515625" style="6" bestFit="1" customWidth="1"/>
    <col min="38" max="38" width="22.421875" style="6" bestFit="1" customWidth="1"/>
    <col min="39" max="39" width="8.7109375" style="6" customWidth="1"/>
    <col min="40" max="40" width="28.28125" style="6" bestFit="1" customWidth="1"/>
    <col min="41" max="41" width="19.28125" style="6" bestFit="1" customWidth="1"/>
    <col min="42" max="42" width="9.140625" style="6" customWidth="1"/>
    <col min="43" max="43" width="25.140625" style="6" bestFit="1" customWidth="1"/>
    <col min="44" max="44" width="20.28125" style="6" bestFit="1" customWidth="1"/>
    <col min="45" max="45" width="9.140625" style="6" customWidth="1"/>
    <col min="46" max="46" width="26.28125" style="6" bestFit="1" customWidth="1"/>
    <col min="47" max="47" width="20.57421875" style="6" bestFit="1" customWidth="1"/>
    <col min="48" max="48" width="7.7109375" style="6" customWidth="1"/>
    <col min="49" max="49" width="26.57421875" style="6" bestFit="1" customWidth="1"/>
    <col min="50" max="50" width="19.57421875" style="6" bestFit="1" customWidth="1"/>
    <col min="51" max="51" width="7.7109375" style="6" customWidth="1"/>
    <col min="52" max="52" width="25.57421875" style="6" bestFit="1" customWidth="1"/>
    <col min="53" max="53" width="19.57421875" style="6" bestFit="1" customWidth="1"/>
    <col min="54" max="54" width="9.140625" style="6" customWidth="1"/>
    <col min="55" max="55" width="25.57421875" style="6" bestFit="1" customWidth="1"/>
    <col min="56" max="56" width="18.140625" style="6" bestFit="1" customWidth="1"/>
    <col min="57" max="57" width="7.7109375" style="6" customWidth="1"/>
    <col min="58" max="58" width="24.00390625" style="6" bestFit="1" customWidth="1"/>
    <col min="59" max="59" width="19.57421875" style="6" bestFit="1" customWidth="1"/>
    <col min="60" max="60" width="7.7109375" style="6" customWidth="1"/>
    <col min="61" max="61" width="25.57421875" style="6" bestFit="1" customWidth="1"/>
    <col min="62" max="62" width="19.57421875" style="6" bestFit="1" customWidth="1"/>
    <col min="63" max="63" width="9.140625" style="6" customWidth="1"/>
    <col min="64" max="64" width="25.57421875" style="6" bestFit="1" customWidth="1"/>
    <col min="65" max="65" width="19.57421875" style="6" bestFit="1" customWidth="1"/>
    <col min="66" max="66" width="7.7109375" style="6" customWidth="1"/>
    <col min="67" max="67" width="25.57421875" style="6" bestFit="1" customWidth="1"/>
    <col min="68" max="68" width="19.57421875" style="6" bestFit="1" customWidth="1"/>
    <col min="69" max="69" width="7.7109375" style="6" customWidth="1"/>
    <col min="70" max="70" width="25.57421875" style="6" bestFit="1" customWidth="1"/>
    <col min="71" max="71" width="19.57421875" style="6" bestFit="1" customWidth="1"/>
    <col min="72" max="72" width="8.7109375" style="6" customWidth="1"/>
    <col min="73" max="73" width="25.57421875" style="6" bestFit="1" customWidth="1"/>
    <col min="74" max="74" width="19.57421875" style="6" bestFit="1" customWidth="1"/>
    <col min="75" max="75" width="7.7109375" style="6" customWidth="1"/>
    <col min="76" max="76" width="25.57421875" style="6" bestFit="1" customWidth="1"/>
    <col min="77" max="77" width="19.57421875" style="6" bestFit="1" customWidth="1"/>
    <col min="78" max="78" width="8.7109375" style="6" customWidth="1"/>
    <col min="79" max="79" width="25.57421875" style="6" bestFit="1" customWidth="1"/>
    <col min="80" max="80" width="19.57421875" style="6" bestFit="1" customWidth="1"/>
    <col min="81" max="81" width="8.7109375" style="6" customWidth="1"/>
    <col min="82" max="82" width="25.57421875" style="6" bestFit="1" customWidth="1"/>
    <col min="83" max="83" width="20.140625" style="6" bestFit="1" customWidth="1"/>
    <col min="84" max="84" width="10.140625" style="6" bestFit="1" customWidth="1"/>
    <col min="85" max="85" width="26.140625" style="6" bestFit="1" customWidth="1"/>
    <col min="86" max="86" width="20.140625" style="6" bestFit="1" customWidth="1"/>
    <col min="87" max="87" width="8.7109375" style="6" customWidth="1"/>
    <col min="88" max="88" width="26.140625" style="6" bestFit="1" customWidth="1"/>
    <col min="89" max="89" width="21.7109375" style="6" bestFit="1" customWidth="1"/>
    <col min="90" max="90" width="8.7109375" style="6" customWidth="1"/>
    <col min="91" max="91" width="27.57421875" style="6" bestFit="1" customWidth="1"/>
    <col min="92" max="92" width="18.57421875" style="6" bestFit="1" customWidth="1"/>
    <col min="93" max="93" width="7.7109375" style="6" customWidth="1"/>
    <col min="94" max="94" width="24.421875" style="6" bestFit="1" customWidth="1"/>
    <col min="95" max="95" width="19.57421875" style="6" bestFit="1" customWidth="1"/>
    <col min="96" max="96" width="7.7109375" style="6" customWidth="1"/>
    <col min="97" max="97" width="25.57421875" style="6" bestFit="1" customWidth="1"/>
    <col min="98" max="98" width="19.7109375" style="6" bestFit="1" customWidth="1"/>
    <col min="99" max="99" width="7.7109375" style="6" customWidth="1"/>
    <col min="100" max="100" width="25.7109375" style="6" bestFit="1" customWidth="1"/>
    <col min="101" max="101" width="19.7109375" style="6" bestFit="1" customWidth="1"/>
    <col min="102" max="102" width="8.7109375" style="6" customWidth="1"/>
    <col min="103" max="103" width="25.7109375" style="6" bestFit="1" customWidth="1"/>
    <col min="104" max="104" width="19.7109375" style="6" bestFit="1" customWidth="1"/>
    <col min="105" max="105" width="8.7109375" style="6" customWidth="1"/>
    <col min="106" max="106" width="25.7109375" style="6" bestFit="1" customWidth="1"/>
    <col min="107" max="107" width="19.7109375" style="6" bestFit="1" customWidth="1"/>
    <col min="108" max="108" width="8.7109375" style="6" customWidth="1"/>
    <col min="109" max="109" width="25.7109375" style="6" bestFit="1" customWidth="1"/>
    <col min="110" max="110" width="19.7109375" style="6" bestFit="1" customWidth="1"/>
    <col min="111" max="111" width="7.7109375" style="6" customWidth="1"/>
    <col min="112" max="112" width="25.7109375" style="6" bestFit="1" customWidth="1"/>
    <col min="113" max="113" width="19.7109375" style="6" bestFit="1" customWidth="1"/>
    <col min="114" max="114" width="7.7109375" style="6" customWidth="1"/>
    <col min="115" max="115" width="25.7109375" style="6" bestFit="1" customWidth="1"/>
    <col min="116" max="116" width="19.7109375" style="6" bestFit="1" customWidth="1"/>
    <col min="117" max="117" width="8.7109375" style="6" customWidth="1"/>
    <col min="118" max="118" width="25.7109375" style="6" bestFit="1" customWidth="1"/>
    <col min="119" max="119" width="19.7109375" style="6" bestFit="1" customWidth="1"/>
    <col min="120" max="120" width="8.7109375" style="6" customWidth="1"/>
    <col min="121" max="121" width="25.7109375" style="6" bestFit="1" customWidth="1"/>
    <col min="122" max="122" width="19.7109375" style="6" bestFit="1" customWidth="1"/>
    <col min="123" max="123" width="8.7109375" style="6" customWidth="1"/>
    <col min="124" max="124" width="25.7109375" style="6" bestFit="1" customWidth="1"/>
    <col min="125" max="125" width="19.7109375" style="6" bestFit="1" customWidth="1"/>
    <col min="126" max="126" width="8.7109375" style="6" customWidth="1"/>
    <col min="127" max="127" width="25.7109375" style="6" bestFit="1" customWidth="1"/>
    <col min="128" max="128" width="19.7109375" style="6" bestFit="1" customWidth="1"/>
    <col min="129" max="129" width="8.7109375" style="6" customWidth="1"/>
    <col min="130" max="130" width="25.7109375" style="6" bestFit="1" customWidth="1"/>
    <col min="131" max="131" width="19.7109375" style="6" bestFit="1" customWidth="1"/>
    <col min="132" max="132" width="8.7109375" style="6" customWidth="1"/>
    <col min="133" max="133" width="25.7109375" style="6" bestFit="1" customWidth="1"/>
    <col min="134" max="134" width="19.7109375" style="6" bestFit="1" customWidth="1"/>
    <col min="135" max="135" width="8.7109375" style="6" customWidth="1"/>
    <col min="136" max="136" width="25.7109375" style="6" bestFit="1" customWidth="1"/>
    <col min="137" max="137" width="19.7109375" style="6" bestFit="1" customWidth="1"/>
    <col min="138" max="138" width="8.7109375" style="6" customWidth="1"/>
    <col min="139" max="139" width="25.7109375" style="6" bestFit="1" customWidth="1"/>
    <col min="140" max="140" width="19.7109375" style="6" bestFit="1" customWidth="1"/>
    <col min="141" max="141" width="8.7109375" style="6" customWidth="1"/>
    <col min="142" max="142" width="25.7109375" style="6" bestFit="1" customWidth="1"/>
    <col min="143" max="143" width="19.7109375" style="6" bestFit="1" customWidth="1"/>
    <col min="144" max="144" width="8.7109375" style="6" customWidth="1"/>
    <col min="145" max="145" width="25.7109375" style="6" bestFit="1" customWidth="1"/>
    <col min="146" max="146" width="19.28125" style="6" bestFit="1" customWidth="1"/>
    <col min="147" max="147" width="8.7109375" style="6" customWidth="1"/>
    <col min="148" max="148" width="25.140625" style="6" bestFit="1" customWidth="1"/>
    <col min="149" max="149" width="19.7109375" style="6" bestFit="1" customWidth="1"/>
    <col min="150" max="150" width="8.7109375" style="6" customWidth="1"/>
    <col min="151" max="151" width="25.7109375" style="6" bestFit="1" customWidth="1"/>
    <col min="152" max="152" width="17.7109375" style="6" bestFit="1" customWidth="1"/>
    <col min="153" max="153" width="7.7109375" style="6" customWidth="1"/>
    <col min="154" max="154" width="23.57421875" style="6" bestFit="1" customWidth="1"/>
    <col min="155" max="155" width="17.7109375" style="6" bestFit="1" customWidth="1"/>
    <col min="156" max="156" width="7.7109375" style="6" customWidth="1"/>
    <col min="157" max="157" width="23.57421875" style="6" bestFit="1" customWidth="1"/>
    <col min="158" max="158" width="17.7109375" style="6" bestFit="1" customWidth="1"/>
    <col min="159" max="159" width="7.7109375" style="6" customWidth="1"/>
    <col min="160" max="160" width="23.57421875" style="6" bestFit="1" customWidth="1"/>
    <col min="161" max="161" width="17.7109375" style="6" bestFit="1" customWidth="1"/>
    <col min="162" max="162" width="7.7109375" style="6" customWidth="1"/>
    <col min="163" max="163" width="23.57421875" style="6" bestFit="1" customWidth="1"/>
    <col min="164" max="164" width="17.7109375" style="6" bestFit="1" customWidth="1"/>
    <col min="165" max="165" width="7.7109375" style="6" customWidth="1"/>
    <col min="166" max="166" width="23.57421875" style="6" bestFit="1" customWidth="1"/>
    <col min="167" max="167" width="17.7109375" style="6" bestFit="1" customWidth="1"/>
    <col min="168" max="168" width="7.7109375" style="6" customWidth="1"/>
    <col min="169" max="169" width="23.57421875" style="6" bestFit="1" customWidth="1"/>
    <col min="170" max="170" width="17.7109375" style="6" bestFit="1" customWidth="1"/>
    <col min="171" max="171" width="7.7109375" style="6" customWidth="1"/>
    <col min="172" max="172" width="23.57421875" style="6" bestFit="1" customWidth="1"/>
    <col min="173" max="173" width="17.7109375" style="6" bestFit="1" customWidth="1"/>
    <col min="174" max="174" width="7.7109375" style="6" customWidth="1"/>
    <col min="175" max="175" width="23.57421875" style="6" bestFit="1" customWidth="1"/>
    <col min="176" max="176" width="17.7109375" style="6" bestFit="1" customWidth="1"/>
    <col min="177" max="177" width="7.7109375" style="6" customWidth="1"/>
    <col min="178" max="178" width="23.57421875" style="6" bestFit="1" customWidth="1"/>
    <col min="179" max="179" width="17.7109375" style="6" bestFit="1" customWidth="1"/>
    <col min="180" max="180" width="7.7109375" style="6" customWidth="1"/>
    <col min="181" max="181" width="23.57421875" style="6" bestFit="1" customWidth="1"/>
    <col min="182" max="182" width="17.7109375" style="6" bestFit="1" customWidth="1"/>
    <col min="183" max="183" width="7.7109375" style="6" customWidth="1"/>
    <col min="184" max="184" width="23.57421875" style="6" bestFit="1" customWidth="1"/>
    <col min="185" max="185" width="17.7109375" style="6" bestFit="1" customWidth="1"/>
    <col min="186" max="186" width="7.7109375" style="6" customWidth="1"/>
    <col min="187" max="187" width="23.57421875" style="6" bestFit="1" customWidth="1"/>
    <col min="188" max="188" width="17.7109375" style="6" bestFit="1" customWidth="1"/>
    <col min="189" max="189" width="7.7109375" style="6" customWidth="1"/>
    <col min="190" max="190" width="23.57421875" style="6" bestFit="1" customWidth="1"/>
    <col min="191" max="16384" width="23.57421875" style="6" customWidth="1"/>
  </cols>
  <sheetData>
    <row r="1" ht="39" customHeight="1">
      <c r="B1" s="107" t="s">
        <v>679</v>
      </c>
    </row>
    <row r="2" ht="39" customHeight="1"/>
    <row r="3" ht="39" customHeight="1"/>
    <row r="4" ht="39" customHeight="1">
      <c r="B4" s="107"/>
    </row>
    <row r="5" spans="3:13" ht="46.5" customHeight="1">
      <c r="C5" s="21"/>
      <c r="D5" s="21"/>
      <c r="F5" s="21"/>
      <c r="G5" s="21"/>
      <c r="H5" s="21"/>
      <c r="I5" s="21"/>
      <c r="J5" s="21"/>
      <c r="K5" s="21"/>
      <c r="L5" s="21"/>
      <c r="M5" s="21"/>
    </row>
    <row r="6" spans="1:13" ht="30" customHeight="1">
      <c r="A6" s="45"/>
      <c r="B6" s="21"/>
      <c r="C6" s="21"/>
      <c r="D6" s="21"/>
      <c r="E6" s="22"/>
      <c r="F6" s="36"/>
      <c r="G6" s="21"/>
      <c r="H6" s="21"/>
      <c r="I6" s="21"/>
      <c r="J6" s="21"/>
      <c r="K6" s="21"/>
      <c r="L6" s="21"/>
      <c r="M6" s="21"/>
    </row>
    <row r="7" spans="1:13" ht="36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</row>
    <row r="8" spans="1:186" s="53" customFormat="1" ht="39" customHeight="1">
      <c r="A8" s="51" t="s">
        <v>0</v>
      </c>
      <c r="B8" s="240" t="s">
        <v>581</v>
      </c>
      <c r="C8" s="81"/>
      <c r="D8" s="81"/>
      <c r="E8" s="82" t="s">
        <v>168</v>
      </c>
      <c r="F8" s="82" t="s">
        <v>176</v>
      </c>
      <c r="G8" s="82" t="s">
        <v>184</v>
      </c>
      <c r="H8" s="82" t="s">
        <v>179</v>
      </c>
      <c r="I8" s="82" t="s">
        <v>194</v>
      </c>
      <c r="J8" s="82" t="s">
        <v>203</v>
      </c>
      <c r="K8" s="82" t="s">
        <v>213</v>
      </c>
      <c r="L8" s="82" t="s">
        <v>221</v>
      </c>
      <c r="M8" s="82" t="s">
        <v>227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</row>
    <row r="9" spans="1:186" s="57" customFormat="1" ht="37.5" customHeight="1">
      <c r="A9" s="55"/>
      <c r="B9" s="241" t="s">
        <v>5</v>
      </c>
      <c r="C9" s="56" t="s">
        <v>2</v>
      </c>
      <c r="D9" s="60" t="s">
        <v>10</v>
      </c>
      <c r="E9" s="199">
        <v>2400</v>
      </c>
      <c r="F9" s="199">
        <v>2400</v>
      </c>
      <c r="G9" s="199">
        <v>2400</v>
      </c>
      <c r="H9" s="199">
        <v>2400</v>
      </c>
      <c r="I9" s="199">
        <v>2400</v>
      </c>
      <c r="J9" s="199">
        <v>2400</v>
      </c>
      <c r="K9" s="199">
        <v>2400</v>
      </c>
      <c r="L9" s="199">
        <v>2400</v>
      </c>
      <c r="M9" s="199">
        <v>2400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</row>
    <row r="10" spans="1:13" s="57" customFormat="1" ht="37.5" customHeight="1">
      <c r="A10" s="55"/>
      <c r="B10" s="241" t="s">
        <v>524</v>
      </c>
      <c r="C10" s="56" t="s">
        <v>2</v>
      </c>
      <c r="D10" s="60" t="s">
        <v>11</v>
      </c>
      <c r="E10" s="180">
        <v>6</v>
      </c>
      <c r="F10" s="180">
        <v>6</v>
      </c>
      <c r="G10" s="180">
        <v>6</v>
      </c>
      <c r="H10" s="180">
        <v>6</v>
      </c>
      <c r="I10" s="180">
        <v>6</v>
      </c>
      <c r="J10" s="180">
        <v>6</v>
      </c>
      <c r="K10" s="180">
        <v>6</v>
      </c>
      <c r="L10" s="180">
        <v>6</v>
      </c>
      <c r="M10" s="180">
        <v>6</v>
      </c>
    </row>
    <row r="11" spans="1:13" s="57" customFormat="1" ht="37.5" customHeight="1">
      <c r="A11" s="55"/>
      <c r="B11" s="241" t="s">
        <v>680</v>
      </c>
      <c r="C11" s="56" t="s">
        <v>2</v>
      </c>
      <c r="D11" s="60" t="s">
        <v>9</v>
      </c>
      <c r="E11" s="180">
        <v>15</v>
      </c>
      <c r="F11" s="180">
        <v>15</v>
      </c>
      <c r="G11" s="180">
        <v>15</v>
      </c>
      <c r="H11" s="180">
        <v>20</v>
      </c>
      <c r="I11" s="180">
        <v>20</v>
      </c>
      <c r="J11" s="180">
        <v>20</v>
      </c>
      <c r="K11" s="180">
        <v>20</v>
      </c>
      <c r="L11" s="180">
        <v>20</v>
      </c>
      <c r="M11" s="180">
        <v>20</v>
      </c>
    </row>
    <row r="12" spans="1:13" s="57" customFormat="1" ht="37.5" customHeight="1">
      <c r="A12" s="63" t="s">
        <v>539</v>
      </c>
      <c r="B12" s="242" t="s">
        <v>536</v>
      </c>
      <c r="C12" s="64"/>
      <c r="D12" s="62"/>
      <c r="E12" s="181" t="s">
        <v>538</v>
      </c>
      <c r="F12" s="181" t="s">
        <v>538</v>
      </c>
      <c r="G12" s="181" t="s">
        <v>538</v>
      </c>
      <c r="H12" s="181" t="s">
        <v>538</v>
      </c>
      <c r="I12" s="181" t="s">
        <v>538</v>
      </c>
      <c r="J12" s="181" t="s">
        <v>538</v>
      </c>
      <c r="K12" s="181" t="s">
        <v>538</v>
      </c>
      <c r="L12" s="181" t="s">
        <v>538</v>
      </c>
      <c r="M12" s="181" t="s">
        <v>538</v>
      </c>
    </row>
    <row r="13" spans="1:13" s="57" customFormat="1" ht="37.5" customHeight="1">
      <c r="A13" s="55"/>
      <c r="B13" s="241" t="s">
        <v>537</v>
      </c>
      <c r="C13" s="56" t="s">
        <v>2</v>
      </c>
      <c r="D13" s="65" t="s">
        <v>9</v>
      </c>
      <c r="E13" s="200">
        <v>2</v>
      </c>
      <c r="F13" s="200">
        <v>2</v>
      </c>
      <c r="G13" s="200">
        <v>2</v>
      </c>
      <c r="H13" s="200">
        <v>2.4</v>
      </c>
      <c r="I13" s="200">
        <v>2</v>
      </c>
      <c r="J13" s="200">
        <v>2</v>
      </c>
      <c r="K13" s="200">
        <v>2</v>
      </c>
      <c r="L13" s="200">
        <v>2.4</v>
      </c>
      <c r="M13" s="200">
        <v>2.4</v>
      </c>
    </row>
    <row r="14" spans="1:13" s="57" customFormat="1" ht="37.5" customHeight="1">
      <c r="A14" s="55"/>
      <c r="B14" s="241" t="s">
        <v>577</v>
      </c>
      <c r="C14" s="56" t="s">
        <v>2</v>
      </c>
      <c r="D14" s="65" t="s">
        <v>9</v>
      </c>
      <c r="E14" s="183">
        <v>2</v>
      </c>
      <c r="F14" s="183">
        <v>3</v>
      </c>
      <c r="G14" s="183">
        <v>3</v>
      </c>
      <c r="H14" s="183">
        <v>3</v>
      </c>
      <c r="I14" s="183">
        <v>4</v>
      </c>
      <c r="J14" s="183">
        <v>5</v>
      </c>
      <c r="K14" s="183">
        <v>6</v>
      </c>
      <c r="L14" s="183">
        <v>6</v>
      </c>
      <c r="M14" s="183">
        <v>7</v>
      </c>
    </row>
    <row r="15" spans="1:13" s="57" customFormat="1" ht="37.5" customHeight="1">
      <c r="A15" s="55"/>
      <c r="B15" s="241" t="s">
        <v>578</v>
      </c>
      <c r="C15" s="56" t="s">
        <v>2</v>
      </c>
      <c r="D15" s="65" t="s">
        <v>9</v>
      </c>
      <c r="E15" s="200">
        <v>6</v>
      </c>
      <c r="F15" s="200">
        <v>6</v>
      </c>
      <c r="G15" s="200">
        <v>6</v>
      </c>
      <c r="H15" s="200">
        <v>6</v>
      </c>
      <c r="I15" s="200">
        <v>8</v>
      </c>
      <c r="J15" s="200">
        <v>6</v>
      </c>
      <c r="K15" s="200">
        <v>6</v>
      </c>
      <c r="L15" s="200">
        <v>6</v>
      </c>
      <c r="M15" s="200">
        <v>6</v>
      </c>
    </row>
    <row r="16" spans="1:13" s="57" customFormat="1" ht="37.5" customHeight="1">
      <c r="A16" s="55"/>
      <c r="B16" s="241" t="s">
        <v>579</v>
      </c>
      <c r="C16" s="56" t="s">
        <v>2</v>
      </c>
      <c r="D16" s="65" t="s">
        <v>9</v>
      </c>
      <c r="E16" s="200">
        <v>4</v>
      </c>
      <c r="F16" s="200">
        <v>4</v>
      </c>
      <c r="G16" s="200">
        <v>4</v>
      </c>
      <c r="H16" s="200">
        <v>4</v>
      </c>
      <c r="I16" s="200">
        <v>4</v>
      </c>
      <c r="J16" s="200">
        <v>4</v>
      </c>
      <c r="K16" s="200">
        <v>4</v>
      </c>
      <c r="L16" s="200">
        <v>4</v>
      </c>
      <c r="M16" s="200">
        <v>4</v>
      </c>
    </row>
    <row r="17" spans="1:13" s="57" customFormat="1" ht="37.5" customHeight="1">
      <c r="A17" s="55"/>
      <c r="B17" s="258" t="s">
        <v>675</v>
      </c>
      <c r="C17" s="259" t="s">
        <v>2</v>
      </c>
      <c r="D17" s="260" t="s">
        <v>9</v>
      </c>
      <c r="E17" s="261">
        <v>0.6</v>
      </c>
      <c r="F17" s="261">
        <v>0.6</v>
      </c>
      <c r="G17" s="261">
        <v>0.6</v>
      </c>
      <c r="H17" s="261">
        <v>0.6</v>
      </c>
      <c r="I17" s="261">
        <v>0.6</v>
      </c>
      <c r="J17" s="261">
        <v>0.6</v>
      </c>
      <c r="K17" s="261">
        <v>0.6</v>
      </c>
      <c r="L17" s="261">
        <v>1</v>
      </c>
      <c r="M17" s="261">
        <v>1</v>
      </c>
    </row>
    <row r="18" spans="1:13" s="57" customFormat="1" ht="37.5" customHeight="1">
      <c r="A18" s="55"/>
      <c r="B18" s="241" t="s">
        <v>558</v>
      </c>
      <c r="C18" s="56" t="s">
        <v>2</v>
      </c>
      <c r="D18" s="65" t="s">
        <v>9</v>
      </c>
      <c r="E18" s="200">
        <v>0.6</v>
      </c>
      <c r="F18" s="200">
        <f aca="true" t="shared" si="0" ref="F18:M18">E18</f>
        <v>0.6</v>
      </c>
      <c r="G18" s="200">
        <f t="shared" si="0"/>
        <v>0.6</v>
      </c>
      <c r="H18" s="200">
        <f t="shared" si="0"/>
        <v>0.6</v>
      </c>
      <c r="I18" s="200">
        <f t="shared" si="0"/>
        <v>0.6</v>
      </c>
      <c r="J18" s="200">
        <f t="shared" si="0"/>
        <v>0.6</v>
      </c>
      <c r="K18" s="200">
        <f t="shared" si="0"/>
        <v>0.6</v>
      </c>
      <c r="L18" s="200">
        <f t="shared" si="0"/>
        <v>0.6</v>
      </c>
      <c r="M18" s="200">
        <f t="shared" si="0"/>
        <v>0.6</v>
      </c>
    </row>
    <row r="19" spans="1:186" s="57" customFormat="1" ht="37.5" customHeight="1">
      <c r="A19" s="63">
        <v>3</v>
      </c>
      <c r="B19" s="242" t="s">
        <v>525</v>
      </c>
      <c r="C19" s="64"/>
      <c r="D19" s="62"/>
      <c r="E19" s="184"/>
      <c r="F19" s="184"/>
      <c r="G19" s="184"/>
      <c r="H19" s="184"/>
      <c r="I19" s="184"/>
      <c r="J19" s="184"/>
      <c r="K19" s="184"/>
      <c r="L19" s="184"/>
      <c r="M19" s="18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</row>
    <row r="20" spans="1:186" s="57" customFormat="1" ht="37.5" customHeight="1">
      <c r="A20" s="55"/>
      <c r="B20" s="241" t="s">
        <v>1</v>
      </c>
      <c r="C20" s="56" t="s">
        <v>2</v>
      </c>
      <c r="D20" s="60" t="s">
        <v>7</v>
      </c>
      <c r="E20" s="185">
        <f aca="true" t="shared" si="1" ref="E20:M20">INDEX(steel,MATCH(E$8,st_name,0),4)</f>
        <v>200</v>
      </c>
      <c r="F20" s="185">
        <f t="shared" si="1"/>
        <v>250</v>
      </c>
      <c r="G20" s="185">
        <f t="shared" si="1"/>
        <v>300</v>
      </c>
      <c r="H20" s="185">
        <f t="shared" si="1"/>
        <v>294</v>
      </c>
      <c r="I20" s="185">
        <f t="shared" si="1"/>
        <v>350</v>
      </c>
      <c r="J20" s="185">
        <f t="shared" si="1"/>
        <v>400</v>
      </c>
      <c r="K20" s="185">
        <f t="shared" si="1"/>
        <v>450</v>
      </c>
      <c r="L20" s="185">
        <f t="shared" si="1"/>
        <v>500</v>
      </c>
      <c r="M20" s="185">
        <f t="shared" si="1"/>
        <v>600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</row>
    <row r="21" spans="1:186" s="57" customFormat="1" ht="37.5" customHeight="1">
      <c r="A21" s="55"/>
      <c r="B21" s="241" t="s">
        <v>3</v>
      </c>
      <c r="C21" s="56" t="s">
        <v>2</v>
      </c>
      <c r="D21" s="60" t="s">
        <v>7</v>
      </c>
      <c r="E21" s="185">
        <f aca="true" t="shared" si="2" ref="E21:M21">INDEX(steel,MATCH(E$8,st_name,0),6)</f>
        <v>100</v>
      </c>
      <c r="F21" s="185">
        <f t="shared" si="2"/>
        <v>125</v>
      </c>
      <c r="G21" s="185">
        <f t="shared" si="2"/>
        <v>150</v>
      </c>
      <c r="H21" s="185">
        <f t="shared" si="2"/>
        <v>200</v>
      </c>
      <c r="I21" s="185">
        <f t="shared" si="2"/>
        <v>175</v>
      </c>
      <c r="J21" s="185">
        <f t="shared" si="2"/>
        <v>200</v>
      </c>
      <c r="K21" s="185">
        <f t="shared" si="2"/>
        <v>200</v>
      </c>
      <c r="L21" s="185">
        <f t="shared" si="2"/>
        <v>200</v>
      </c>
      <c r="M21" s="185">
        <f t="shared" si="2"/>
        <v>200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</row>
    <row r="22" spans="1:13" s="57" customFormat="1" ht="37.5" customHeight="1">
      <c r="A22" s="55"/>
      <c r="B22" s="241" t="s">
        <v>13</v>
      </c>
      <c r="C22" s="56" t="s">
        <v>2</v>
      </c>
      <c r="D22" s="60" t="s">
        <v>7</v>
      </c>
      <c r="E22" s="185">
        <f aca="true" t="shared" si="3" ref="E22:M22">INDEX(steel,MATCH(E$8,st_name,0),9)</f>
        <v>5.5</v>
      </c>
      <c r="F22" s="185">
        <f t="shared" si="3"/>
        <v>6</v>
      </c>
      <c r="G22" s="185">
        <f t="shared" si="3"/>
        <v>6.5</v>
      </c>
      <c r="H22" s="185">
        <f t="shared" si="3"/>
        <v>8</v>
      </c>
      <c r="I22" s="185">
        <f t="shared" si="3"/>
        <v>7</v>
      </c>
      <c r="J22" s="185">
        <f t="shared" si="3"/>
        <v>8</v>
      </c>
      <c r="K22" s="185">
        <f t="shared" si="3"/>
        <v>9</v>
      </c>
      <c r="L22" s="185">
        <f t="shared" si="3"/>
        <v>10</v>
      </c>
      <c r="M22" s="185">
        <f t="shared" si="3"/>
        <v>11</v>
      </c>
    </row>
    <row r="23" spans="1:13" s="57" customFormat="1" ht="37.5" customHeight="1">
      <c r="A23" s="55"/>
      <c r="B23" s="241" t="s">
        <v>12</v>
      </c>
      <c r="C23" s="56" t="s">
        <v>2</v>
      </c>
      <c r="D23" s="60" t="s">
        <v>7</v>
      </c>
      <c r="E23" s="185">
        <f aca="true" t="shared" si="4" ref="E23:M23">INDEX(steel,MATCH(E$8,st_name,0),10)</f>
        <v>8</v>
      </c>
      <c r="F23" s="185">
        <f t="shared" si="4"/>
        <v>9</v>
      </c>
      <c r="G23" s="185">
        <f t="shared" si="4"/>
        <v>9</v>
      </c>
      <c r="H23" s="185">
        <f t="shared" si="4"/>
        <v>12</v>
      </c>
      <c r="I23" s="185">
        <f t="shared" si="4"/>
        <v>11</v>
      </c>
      <c r="J23" s="185">
        <f t="shared" si="4"/>
        <v>13</v>
      </c>
      <c r="K23" s="185">
        <f t="shared" si="4"/>
        <v>14</v>
      </c>
      <c r="L23" s="185">
        <f t="shared" si="4"/>
        <v>16</v>
      </c>
      <c r="M23" s="185">
        <f t="shared" si="4"/>
        <v>17</v>
      </c>
    </row>
    <row r="24" spans="1:13" s="57" customFormat="1" ht="37.5" customHeight="1">
      <c r="A24" s="55"/>
      <c r="B24" s="241" t="s">
        <v>4</v>
      </c>
      <c r="C24" s="56" t="s">
        <v>2</v>
      </c>
      <c r="D24" s="60" t="s">
        <v>8</v>
      </c>
      <c r="E24" s="185">
        <f aca="true" t="shared" si="5" ref="E24:M24">INDEX(steel,MATCH(E$8,st_name,0),11)</f>
        <v>27.16</v>
      </c>
      <c r="F24" s="185">
        <f t="shared" si="5"/>
        <v>37.66</v>
      </c>
      <c r="G24" s="185">
        <f t="shared" si="5"/>
        <v>46.78</v>
      </c>
      <c r="H24" s="185">
        <f t="shared" si="5"/>
        <v>72.38</v>
      </c>
      <c r="I24" s="185">
        <f t="shared" si="5"/>
        <v>63.14</v>
      </c>
      <c r="J24" s="185">
        <f t="shared" si="5"/>
        <v>84.12</v>
      </c>
      <c r="K24" s="185">
        <f t="shared" si="5"/>
        <v>96.76</v>
      </c>
      <c r="L24" s="185">
        <f t="shared" si="5"/>
        <v>114.2</v>
      </c>
      <c r="M24" s="185">
        <f t="shared" si="5"/>
        <v>134.4</v>
      </c>
    </row>
    <row r="25" spans="1:13" s="57" customFormat="1" ht="37.5" customHeight="1">
      <c r="A25" s="55"/>
      <c r="B25" s="241" t="s">
        <v>580</v>
      </c>
      <c r="C25" s="56" t="s">
        <v>2</v>
      </c>
      <c r="D25" s="60" t="s">
        <v>9</v>
      </c>
      <c r="E25" s="185">
        <f aca="true" t="shared" si="6" ref="E25:M25">INDEX(steel,MATCH(E$8,st_name,0),14)</f>
        <v>8.24</v>
      </c>
      <c r="F25" s="185">
        <f t="shared" si="6"/>
        <v>10.4</v>
      </c>
      <c r="G25" s="185">
        <f t="shared" si="6"/>
        <v>12.41474</v>
      </c>
      <c r="H25" s="185">
        <f t="shared" si="6"/>
        <v>12.49482</v>
      </c>
      <c r="I25" s="185">
        <f t="shared" si="6"/>
        <v>14.67632</v>
      </c>
      <c r="J25" s="185">
        <f t="shared" si="6"/>
        <v>16.78512</v>
      </c>
      <c r="K25" s="185">
        <f t="shared" si="6"/>
        <v>18.60692</v>
      </c>
      <c r="L25" s="185">
        <f t="shared" si="6"/>
        <v>20.45884</v>
      </c>
      <c r="M25" s="185">
        <f t="shared" si="6"/>
        <v>24.02875</v>
      </c>
    </row>
    <row r="26" spans="1:13" s="57" customFormat="1" ht="37.5" customHeight="1">
      <c r="A26" s="55"/>
      <c r="B26" s="241" t="s">
        <v>6</v>
      </c>
      <c r="C26" s="56" t="s">
        <v>2</v>
      </c>
      <c r="D26" s="60" t="s">
        <v>9</v>
      </c>
      <c r="E26" s="185">
        <f aca="true" t="shared" si="7" ref="E26:M26">INDEX(steel,MATCH(E$8,st_name,0),15)</f>
        <v>2.22</v>
      </c>
      <c r="F26" s="185">
        <f t="shared" si="7"/>
        <v>2.79</v>
      </c>
      <c r="G26" s="185">
        <f t="shared" si="7"/>
        <v>3.295352</v>
      </c>
      <c r="H26" s="185">
        <f t="shared" si="7"/>
        <v>4.701654</v>
      </c>
      <c r="I26" s="185">
        <f t="shared" si="7"/>
        <v>3.94771</v>
      </c>
      <c r="J26" s="185">
        <f t="shared" si="7"/>
        <v>4.548048</v>
      </c>
      <c r="K26" s="185">
        <f t="shared" si="7"/>
        <v>4.396154</v>
      </c>
      <c r="L26" s="185">
        <f t="shared" si="7"/>
        <v>4.328863</v>
      </c>
      <c r="M26" s="185">
        <f t="shared" si="7"/>
        <v>4.118773</v>
      </c>
    </row>
    <row r="27" spans="1:13" s="57" customFormat="1" ht="37.5" customHeight="1">
      <c r="A27" s="55"/>
      <c r="B27" s="241" t="s">
        <v>526</v>
      </c>
      <c r="C27" s="56" t="s">
        <v>2</v>
      </c>
      <c r="D27" s="60" t="s">
        <v>527</v>
      </c>
      <c r="E27" s="185">
        <f aca="true" t="shared" si="8" ref="E27:M27">INDEX(steel,MATCH(E$8,st_name,0),16)</f>
        <v>184</v>
      </c>
      <c r="F27" s="185">
        <f t="shared" si="8"/>
        <v>324</v>
      </c>
      <c r="G27" s="185">
        <f t="shared" si="8"/>
        <v>480.67</v>
      </c>
      <c r="H27" s="185">
        <f t="shared" si="8"/>
        <v>768.71</v>
      </c>
      <c r="I27" s="185">
        <f t="shared" si="8"/>
        <v>777.14</v>
      </c>
      <c r="J27" s="185">
        <f t="shared" si="8"/>
        <v>1185</v>
      </c>
      <c r="K27" s="185">
        <f t="shared" si="8"/>
        <v>1488.89</v>
      </c>
      <c r="L27" s="185">
        <f t="shared" si="8"/>
        <v>1912</v>
      </c>
      <c r="M27" s="185">
        <f t="shared" si="8"/>
        <v>2586.67</v>
      </c>
    </row>
    <row r="28" spans="1:13" s="57" customFormat="1" ht="37.5" customHeight="1">
      <c r="A28" s="63" t="s">
        <v>535</v>
      </c>
      <c r="B28" s="242" t="s">
        <v>534</v>
      </c>
      <c r="C28" s="64"/>
      <c r="D28" s="62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s="57" customFormat="1" ht="37.5" customHeight="1">
      <c r="A29" s="55"/>
      <c r="B29" s="241" t="s">
        <v>529</v>
      </c>
      <c r="C29" s="56" t="s">
        <v>2</v>
      </c>
      <c r="D29" s="55" t="s">
        <v>528</v>
      </c>
      <c r="E29" s="185">
        <f aca="true" t="shared" si="9" ref="E29:M29">0.66*E9*E27/1000/100</f>
        <v>2.9145600000000003</v>
      </c>
      <c r="F29" s="185">
        <f t="shared" si="9"/>
        <v>5.13216</v>
      </c>
      <c r="G29" s="185">
        <f t="shared" si="9"/>
        <v>7.613812800000001</v>
      </c>
      <c r="H29" s="185">
        <f t="shared" si="9"/>
        <v>12.176366400000001</v>
      </c>
      <c r="I29" s="185">
        <f t="shared" si="9"/>
        <v>12.3098976</v>
      </c>
      <c r="J29" s="185">
        <f t="shared" si="9"/>
        <v>18.7704</v>
      </c>
      <c r="K29" s="185">
        <f t="shared" si="9"/>
        <v>23.584017600000003</v>
      </c>
      <c r="L29" s="185">
        <f t="shared" si="9"/>
        <v>30.286080000000002</v>
      </c>
      <c r="M29" s="185">
        <f t="shared" si="9"/>
        <v>40.9728528</v>
      </c>
    </row>
    <row r="30" spans="1:13" s="57" customFormat="1" ht="37.5" customHeight="1">
      <c r="A30" s="55"/>
      <c r="B30" s="241" t="s">
        <v>531</v>
      </c>
      <c r="C30" s="56" t="s">
        <v>2</v>
      </c>
      <c r="D30" s="55" t="s">
        <v>530</v>
      </c>
      <c r="E30" s="185">
        <f aca="true" t="shared" si="10" ref="E30:M30">8*E29/(E10*E10)</f>
        <v>0.64768</v>
      </c>
      <c r="F30" s="185">
        <f t="shared" si="10"/>
        <v>1.14048</v>
      </c>
      <c r="G30" s="185">
        <f t="shared" si="10"/>
        <v>1.6919584</v>
      </c>
      <c r="H30" s="185">
        <f t="shared" si="10"/>
        <v>2.7058592000000004</v>
      </c>
      <c r="I30" s="185">
        <f t="shared" si="10"/>
        <v>2.7355327999999997</v>
      </c>
      <c r="J30" s="185">
        <f t="shared" si="10"/>
        <v>4.1712</v>
      </c>
      <c r="K30" s="185">
        <f t="shared" si="10"/>
        <v>5.240892800000001</v>
      </c>
      <c r="L30" s="185">
        <f t="shared" si="10"/>
        <v>6.73024</v>
      </c>
      <c r="M30" s="185">
        <f t="shared" si="10"/>
        <v>9.1050784</v>
      </c>
    </row>
    <row r="31" spans="1:13" s="57" customFormat="1" ht="37.5" customHeight="1">
      <c r="A31" s="55"/>
      <c r="B31" s="241" t="s">
        <v>532</v>
      </c>
      <c r="C31" s="56" t="s">
        <v>2</v>
      </c>
      <c r="D31" s="55" t="s">
        <v>533</v>
      </c>
      <c r="E31" s="185">
        <f aca="true" t="shared" si="11" ref="E31:M31">E29*4/E10</f>
        <v>1.94304</v>
      </c>
      <c r="F31" s="185">
        <f t="shared" si="11"/>
        <v>3.42144</v>
      </c>
      <c r="G31" s="185">
        <f t="shared" si="11"/>
        <v>5.0758752000000005</v>
      </c>
      <c r="H31" s="185">
        <f t="shared" si="11"/>
        <v>8.1175776</v>
      </c>
      <c r="I31" s="185">
        <f t="shared" si="11"/>
        <v>8.206598399999999</v>
      </c>
      <c r="J31" s="185">
        <f t="shared" si="11"/>
        <v>12.513599999999999</v>
      </c>
      <c r="K31" s="185">
        <f t="shared" si="11"/>
        <v>15.722678400000001</v>
      </c>
      <c r="L31" s="185">
        <f t="shared" si="11"/>
        <v>20.190720000000002</v>
      </c>
      <c r="M31" s="185">
        <f t="shared" si="11"/>
        <v>27.3152352</v>
      </c>
    </row>
    <row r="32" spans="1:13" s="57" customFormat="1" ht="37.5" customHeight="1">
      <c r="A32" s="55"/>
      <c r="B32" s="241" t="s">
        <v>561</v>
      </c>
      <c r="C32" s="56" t="s">
        <v>2</v>
      </c>
      <c r="D32" s="55" t="s">
        <v>533</v>
      </c>
      <c r="E32" s="186">
        <f aca="true" t="shared" si="12" ref="E32:M32">MAX(E31/2,E30*E10/2)</f>
        <v>1.94304</v>
      </c>
      <c r="F32" s="186">
        <f t="shared" si="12"/>
        <v>3.4214399999999996</v>
      </c>
      <c r="G32" s="186">
        <f t="shared" si="12"/>
        <v>5.0758752000000005</v>
      </c>
      <c r="H32" s="186">
        <f t="shared" si="12"/>
        <v>8.1175776</v>
      </c>
      <c r="I32" s="186">
        <f t="shared" si="12"/>
        <v>8.206598399999999</v>
      </c>
      <c r="J32" s="186">
        <f t="shared" si="12"/>
        <v>12.5136</v>
      </c>
      <c r="K32" s="186">
        <f t="shared" si="12"/>
        <v>15.722678400000003</v>
      </c>
      <c r="L32" s="186">
        <f t="shared" si="12"/>
        <v>20.19072</v>
      </c>
      <c r="M32" s="186">
        <f t="shared" si="12"/>
        <v>27.3152352</v>
      </c>
    </row>
    <row r="33" spans="1:13" s="57" customFormat="1" ht="37.5" customHeight="1">
      <c r="A33" s="55"/>
      <c r="B33" s="241" t="s">
        <v>676</v>
      </c>
      <c r="C33" s="56" t="s">
        <v>2</v>
      </c>
      <c r="D33" s="55" t="s">
        <v>533</v>
      </c>
      <c r="E33" s="186">
        <f>MIN(E32,E37,E40,E39,E42,E48,E50)</f>
        <v>1.94304</v>
      </c>
      <c r="F33" s="186">
        <f aca="true" t="shared" si="13" ref="F33:M33">MIN(F32,F37,F40,F39,F42,F48,F50)</f>
        <v>3.4214399999999996</v>
      </c>
      <c r="G33" s="186">
        <f t="shared" si="13"/>
        <v>5.0758752000000005</v>
      </c>
      <c r="H33" s="186">
        <f t="shared" si="13"/>
        <v>8.1175776</v>
      </c>
      <c r="I33" s="186">
        <f t="shared" si="13"/>
        <v>8.206598399999999</v>
      </c>
      <c r="J33" s="186">
        <f t="shared" si="13"/>
        <v>12.5136</v>
      </c>
      <c r="K33" s="186">
        <f t="shared" si="13"/>
        <v>15.722678400000003</v>
      </c>
      <c r="L33" s="186">
        <f t="shared" si="13"/>
        <v>20.19072</v>
      </c>
      <c r="M33" s="186">
        <f t="shared" si="13"/>
        <v>27.3152352</v>
      </c>
    </row>
    <row r="34" spans="1:13" s="57" customFormat="1" ht="37.5" customHeight="1">
      <c r="A34" s="66" t="s">
        <v>540</v>
      </c>
      <c r="B34" s="244" t="s">
        <v>684</v>
      </c>
      <c r="C34" s="67"/>
      <c r="D34" s="6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s="57" customFormat="1" ht="37.5" customHeight="1">
      <c r="A35" s="55"/>
      <c r="B35" s="241" t="s">
        <v>541</v>
      </c>
      <c r="C35" s="56" t="s">
        <v>2</v>
      </c>
      <c r="D35" s="60" t="s">
        <v>9</v>
      </c>
      <c r="E35" s="185">
        <f>E16+(E14-1)*E15-((E14-0.5)*(E13+0.2))</f>
        <v>6.699999999999999</v>
      </c>
      <c r="F35" s="185">
        <f aca="true" t="shared" si="14" ref="F35:M35">F16+(F14-1)*F15-((F14-0.5)*(F13+0.2))</f>
        <v>10.5</v>
      </c>
      <c r="G35" s="185">
        <f t="shared" si="14"/>
        <v>10.5</v>
      </c>
      <c r="H35" s="185">
        <f t="shared" si="14"/>
        <v>9.5</v>
      </c>
      <c r="I35" s="185">
        <f t="shared" si="14"/>
        <v>20.299999999999997</v>
      </c>
      <c r="J35" s="185">
        <f t="shared" si="14"/>
        <v>18.1</v>
      </c>
      <c r="K35" s="185">
        <f t="shared" si="14"/>
        <v>21.9</v>
      </c>
      <c r="L35" s="185">
        <f t="shared" si="14"/>
        <v>19.7</v>
      </c>
      <c r="M35" s="185">
        <f t="shared" si="14"/>
        <v>23.099999999999998</v>
      </c>
    </row>
    <row r="36" spans="1:13" s="57" customFormat="1" ht="37.5" customHeight="1">
      <c r="A36" s="55"/>
      <c r="B36" s="241" t="s">
        <v>542</v>
      </c>
      <c r="C36" s="56" t="s">
        <v>2</v>
      </c>
      <c r="D36" s="60" t="s">
        <v>9</v>
      </c>
      <c r="E36" s="185">
        <f aca="true" t="shared" si="15" ref="E36:M36">E16-0.5*(E13+0.2)</f>
        <v>2.9</v>
      </c>
      <c r="F36" s="185">
        <f t="shared" si="15"/>
        <v>2.9</v>
      </c>
      <c r="G36" s="185">
        <f t="shared" si="15"/>
        <v>2.9</v>
      </c>
      <c r="H36" s="185">
        <f t="shared" si="15"/>
        <v>2.7</v>
      </c>
      <c r="I36" s="185">
        <f t="shared" si="15"/>
        <v>2.9</v>
      </c>
      <c r="J36" s="185">
        <f t="shared" si="15"/>
        <v>2.9</v>
      </c>
      <c r="K36" s="185">
        <f t="shared" si="15"/>
        <v>2.9</v>
      </c>
      <c r="L36" s="185">
        <f t="shared" si="15"/>
        <v>2.7</v>
      </c>
      <c r="M36" s="185">
        <f t="shared" si="15"/>
        <v>2.7</v>
      </c>
    </row>
    <row r="37" spans="1:13" s="57" customFormat="1" ht="37.5" customHeight="1">
      <c r="A37" s="55"/>
      <c r="B37" s="241" t="s">
        <v>543</v>
      </c>
      <c r="C37" s="56" t="s">
        <v>2</v>
      </c>
      <c r="D37" s="60" t="s">
        <v>533</v>
      </c>
      <c r="E37" s="186">
        <f aca="true" t="shared" si="16" ref="E37:M37">4000*(0.3*E35+0.5*E36)*E17/1000</f>
        <v>8.304</v>
      </c>
      <c r="F37" s="186">
        <f t="shared" si="16"/>
        <v>11.04</v>
      </c>
      <c r="G37" s="186">
        <f t="shared" si="16"/>
        <v>11.04</v>
      </c>
      <c r="H37" s="186">
        <f t="shared" si="16"/>
        <v>10.08</v>
      </c>
      <c r="I37" s="186">
        <f t="shared" si="16"/>
        <v>18.095999999999997</v>
      </c>
      <c r="J37" s="186">
        <f t="shared" si="16"/>
        <v>16.512</v>
      </c>
      <c r="K37" s="186">
        <f t="shared" si="16"/>
        <v>19.248</v>
      </c>
      <c r="L37" s="186">
        <f t="shared" si="16"/>
        <v>29.04</v>
      </c>
      <c r="M37" s="186">
        <f t="shared" si="16"/>
        <v>33.12</v>
      </c>
    </row>
    <row r="38" spans="1:13" s="57" customFormat="1" ht="37.5" customHeight="1">
      <c r="A38" s="66" t="s">
        <v>545</v>
      </c>
      <c r="B38" s="244" t="s">
        <v>685</v>
      </c>
      <c r="C38" s="67"/>
      <c r="D38" s="6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s="57" customFormat="1" ht="37.5" customHeight="1">
      <c r="A39" s="55"/>
      <c r="B39" s="241" t="s">
        <v>585</v>
      </c>
      <c r="C39" s="56" t="s">
        <v>2</v>
      </c>
      <c r="D39" s="60" t="s">
        <v>533</v>
      </c>
      <c r="E39" s="186">
        <f aca="true" t="shared" si="17" ref="E39:M39">0.3*4000*E17*(2*E16+(E14-1)*E15-E14*(E13+0.2))/1000</f>
        <v>6.912</v>
      </c>
      <c r="F39" s="186">
        <f t="shared" si="17"/>
        <v>9.647999999999998</v>
      </c>
      <c r="G39" s="186">
        <f t="shared" si="17"/>
        <v>9.647999999999998</v>
      </c>
      <c r="H39" s="186">
        <f t="shared" si="17"/>
        <v>8.784</v>
      </c>
      <c r="I39" s="186">
        <f t="shared" si="17"/>
        <v>16.704</v>
      </c>
      <c r="J39" s="186">
        <f t="shared" si="17"/>
        <v>15.12</v>
      </c>
      <c r="K39" s="186">
        <f t="shared" si="17"/>
        <v>17.855999999999998</v>
      </c>
      <c r="L39" s="186">
        <f t="shared" si="17"/>
        <v>26.88</v>
      </c>
      <c r="M39" s="186">
        <f t="shared" si="17"/>
        <v>30.96</v>
      </c>
    </row>
    <row r="40" spans="1:13" s="57" customFormat="1" ht="37.5" customHeight="1">
      <c r="A40" s="55"/>
      <c r="B40" s="241" t="s">
        <v>664</v>
      </c>
      <c r="C40" s="56" t="s">
        <v>2</v>
      </c>
      <c r="D40" s="60" t="s">
        <v>533</v>
      </c>
      <c r="E40" s="186">
        <f aca="true" t="shared" si="18" ref="E40:M40">0.4*E9*E17*((E14-1)*E15+2*E16)/1000</f>
        <v>8.064</v>
      </c>
      <c r="F40" s="186">
        <f t="shared" si="18"/>
        <v>11.52</v>
      </c>
      <c r="G40" s="186">
        <f t="shared" si="18"/>
        <v>11.52</v>
      </c>
      <c r="H40" s="186">
        <f t="shared" si="18"/>
        <v>11.52</v>
      </c>
      <c r="I40" s="186">
        <f t="shared" si="18"/>
        <v>18.432</v>
      </c>
      <c r="J40" s="186">
        <f t="shared" si="18"/>
        <v>18.432</v>
      </c>
      <c r="K40" s="186">
        <f t="shared" si="18"/>
        <v>21.888</v>
      </c>
      <c r="L40" s="186">
        <f t="shared" si="18"/>
        <v>36.48</v>
      </c>
      <c r="M40" s="186">
        <f t="shared" si="18"/>
        <v>42.24</v>
      </c>
    </row>
    <row r="41" spans="1:13" s="57" customFormat="1" ht="37.5" customHeight="1">
      <c r="A41" s="66" t="s">
        <v>583</v>
      </c>
      <c r="B41" s="244" t="s">
        <v>686</v>
      </c>
      <c r="C41" s="68"/>
      <c r="D41" s="68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s="57" customFormat="1" ht="37.5" customHeight="1">
      <c r="A42" s="55"/>
      <c r="B42" s="241" t="s">
        <v>589</v>
      </c>
      <c r="C42" s="56" t="s">
        <v>2</v>
      </c>
      <c r="D42" s="60" t="s">
        <v>533</v>
      </c>
      <c r="E42" s="190">
        <f aca="true" t="shared" si="19" ref="E42:M42">E14*(E13+0.2)*E17*1.2*4000/1000</f>
        <v>12.672</v>
      </c>
      <c r="F42" s="190">
        <f t="shared" si="19"/>
        <v>19.008</v>
      </c>
      <c r="G42" s="190">
        <f t="shared" si="19"/>
        <v>19.008</v>
      </c>
      <c r="H42" s="190">
        <f t="shared" si="19"/>
        <v>22.464000000000002</v>
      </c>
      <c r="I42" s="190">
        <f t="shared" si="19"/>
        <v>25.344</v>
      </c>
      <c r="J42" s="190">
        <f t="shared" si="19"/>
        <v>31.679999999999996</v>
      </c>
      <c r="K42" s="190">
        <f t="shared" si="19"/>
        <v>38.016</v>
      </c>
      <c r="L42" s="190">
        <f t="shared" si="19"/>
        <v>74.88000000000001</v>
      </c>
      <c r="M42" s="190">
        <f t="shared" si="19"/>
        <v>87.36</v>
      </c>
    </row>
    <row r="43" spans="1:13" s="57" customFormat="1" ht="37.5" customHeight="1">
      <c r="A43" s="66" t="s">
        <v>552</v>
      </c>
      <c r="B43" s="244" t="s">
        <v>687</v>
      </c>
      <c r="C43" s="68"/>
      <c r="D43" s="68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s="57" customFormat="1" ht="37.5" customHeight="1">
      <c r="A44" s="63"/>
      <c r="B44" s="245" t="s">
        <v>553</v>
      </c>
      <c r="C44" s="62"/>
      <c r="D44" s="62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1:13" s="57" customFormat="1" ht="37.5" customHeight="1">
      <c r="A45" s="55"/>
      <c r="B45" s="246" t="s">
        <v>560</v>
      </c>
      <c r="C45" s="61" t="s">
        <v>2</v>
      </c>
      <c r="D45" s="69" t="s">
        <v>9</v>
      </c>
      <c r="E45" s="181">
        <f aca="true" t="shared" si="20" ref="E45:M45">2*E16+(E14-1)*E15</f>
        <v>14</v>
      </c>
      <c r="F45" s="181">
        <f t="shared" si="20"/>
        <v>20</v>
      </c>
      <c r="G45" s="181">
        <f t="shared" si="20"/>
        <v>20</v>
      </c>
      <c r="H45" s="181">
        <f t="shared" si="20"/>
        <v>20</v>
      </c>
      <c r="I45" s="181">
        <f t="shared" si="20"/>
        <v>32</v>
      </c>
      <c r="J45" s="181">
        <f t="shared" si="20"/>
        <v>32</v>
      </c>
      <c r="K45" s="181">
        <f t="shared" si="20"/>
        <v>38</v>
      </c>
      <c r="L45" s="181">
        <f t="shared" si="20"/>
        <v>38</v>
      </c>
      <c r="M45" s="181">
        <f t="shared" si="20"/>
        <v>44</v>
      </c>
    </row>
    <row r="46" spans="1:13" s="57" customFormat="1" ht="37.5" customHeight="1">
      <c r="A46" s="55"/>
      <c r="B46" s="246" t="s">
        <v>550</v>
      </c>
      <c r="C46" s="61" t="s">
        <v>2</v>
      </c>
      <c r="D46" s="69" t="s">
        <v>527</v>
      </c>
      <c r="E46" s="181">
        <f aca="true" t="shared" si="21" ref="E46:M46">E17*(E45*E45)/6</f>
        <v>19.599999999999998</v>
      </c>
      <c r="F46" s="181">
        <f t="shared" si="21"/>
        <v>40</v>
      </c>
      <c r="G46" s="181">
        <f t="shared" si="21"/>
        <v>40</v>
      </c>
      <c r="H46" s="181">
        <f t="shared" si="21"/>
        <v>40</v>
      </c>
      <c r="I46" s="181">
        <f t="shared" si="21"/>
        <v>102.39999999999999</v>
      </c>
      <c r="J46" s="181">
        <f t="shared" si="21"/>
        <v>102.39999999999999</v>
      </c>
      <c r="K46" s="181">
        <f t="shared" si="21"/>
        <v>144.4</v>
      </c>
      <c r="L46" s="181">
        <f t="shared" si="21"/>
        <v>240.66666666666666</v>
      </c>
      <c r="M46" s="181">
        <f t="shared" si="21"/>
        <v>322.6666666666667</v>
      </c>
    </row>
    <row r="47" spans="1:13" s="57" customFormat="1" ht="37.5" customHeight="1">
      <c r="A47" s="55"/>
      <c r="B47" s="246" t="s">
        <v>555</v>
      </c>
      <c r="C47" s="61" t="s">
        <v>2</v>
      </c>
      <c r="D47" s="62" t="s">
        <v>528</v>
      </c>
      <c r="E47" s="181">
        <f aca="true" t="shared" si="22" ref="E47:M47">0.75*E9*E46/1000/100</f>
        <v>0.35279999999999995</v>
      </c>
      <c r="F47" s="181">
        <f t="shared" si="22"/>
        <v>0.72</v>
      </c>
      <c r="G47" s="181">
        <f t="shared" si="22"/>
        <v>0.72</v>
      </c>
      <c r="H47" s="181">
        <f t="shared" si="22"/>
        <v>0.72</v>
      </c>
      <c r="I47" s="181">
        <f t="shared" si="22"/>
        <v>1.8431999999999997</v>
      </c>
      <c r="J47" s="181">
        <f t="shared" si="22"/>
        <v>1.8431999999999997</v>
      </c>
      <c r="K47" s="181">
        <f t="shared" si="22"/>
        <v>2.5992</v>
      </c>
      <c r="L47" s="181">
        <f t="shared" si="22"/>
        <v>4.332</v>
      </c>
      <c r="M47" s="181">
        <f t="shared" si="22"/>
        <v>5.808</v>
      </c>
    </row>
    <row r="48" spans="1:13" s="57" customFormat="1" ht="37.5" customHeight="1">
      <c r="A48" s="55"/>
      <c r="B48" s="246" t="s">
        <v>551</v>
      </c>
      <c r="C48" s="61" t="s">
        <v>2</v>
      </c>
      <c r="D48" s="62" t="s">
        <v>533</v>
      </c>
      <c r="E48" s="190">
        <f>E47*100/(E16+3)</f>
        <v>5.039999999999999</v>
      </c>
      <c r="F48" s="190">
        <f aca="true" t="shared" si="23" ref="F48:M48">F47*100/(F16+2)</f>
        <v>12</v>
      </c>
      <c r="G48" s="190">
        <f t="shared" si="23"/>
        <v>12</v>
      </c>
      <c r="H48" s="190">
        <f t="shared" si="23"/>
        <v>12</v>
      </c>
      <c r="I48" s="190">
        <f t="shared" si="23"/>
        <v>30.719999999999995</v>
      </c>
      <c r="J48" s="190">
        <f t="shared" si="23"/>
        <v>30.719999999999995</v>
      </c>
      <c r="K48" s="190">
        <f t="shared" si="23"/>
        <v>43.32</v>
      </c>
      <c r="L48" s="190">
        <f t="shared" si="23"/>
        <v>72.2</v>
      </c>
      <c r="M48" s="190">
        <f t="shared" si="23"/>
        <v>96.8</v>
      </c>
    </row>
    <row r="49" spans="1:13" s="57" customFormat="1" ht="37.5" customHeight="1">
      <c r="A49" s="55"/>
      <c r="B49" s="245" t="s">
        <v>554</v>
      </c>
      <c r="C49" s="61"/>
      <c r="D49" s="69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 s="57" customFormat="1" ht="37.5" customHeight="1">
      <c r="A50" s="55"/>
      <c r="B50" s="246" t="s">
        <v>556</v>
      </c>
      <c r="C50" s="61" t="s">
        <v>2</v>
      </c>
      <c r="D50" s="62" t="s">
        <v>533</v>
      </c>
      <c r="E50" s="190">
        <f aca="true" t="shared" si="24" ref="E50:M50">0.4*E9*E45*E17/1000</f>
        <v>8.064</v>
      </c>
      <c r="F50" s="190">
        <f t="shared" si="24"/>
        <v>11.52</v>
      </c>
      <c r="G50" s="190">
        <f t="shared" si="24"/>
        <v>11.52</v>
      </c>
      <c r="H50" s="190">
        <f t="shared" si="24"/>
        <v>11.52</v>
      </c>
      <c r="I50" s="190">
        <f t="shared" si="24"/>
        <v>18.432</v>
      </c>
      <c r="J50" s="190">
        <f t="shared" si="24"/>
        <v>18.432</v>
      </c>
      <c r="K50" s="190">
        <f t="shared" si="24"/>
        <v>21.888</v>
      </c>
      <c r="L50" s="190">
        <f t="shared" si="24"/>
        <v>36.48</v>
      </c>
      <c r="M50" s="190">
        <f t="shared" si="24"/>
        <v>42.24</v>
      </c>
    </row>
    <row r="51" spans="1:13" s="57" customFormat="1" ht="37.5" customHeight="1">
      <c r="A51" s="72" t="s">
        <v>552</v>
      </c>
      <c r="B51" s="248" t="s">
        <v>562</v>
      </c>
      <c r="C51" s="74"/>
      <c r="D51" s="74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s="57" customFormat="1" ht="37.5" customHeight="1">
      <c r="A52" s="63"/>
      <c r="B52" s="246" t="s">
        <v>677</v>
      </c>
      <c r="C52" s="61" t="s">
        <v>2</v>
      </c>
      <c r="D52" s="62" t="s">
        <v>533</v>
      </c>
      <c r="E52" s="186">
        <f aca="true" t="shared" si="25" ref="E52:M52">0.4*E9*(E20/10)*(E22/10)/1000</f>
        <v>10.56</v>
      </c>
      <c r="F52" s="186">
        <f t="shared" si="25"/>
        <v>14.4</v>
      </c>
      <c r="G52" s="186">
        <f t="shared" si="25"/>
        <v>18.72</v>
      </c>
      <c r="H52" s="186">
        <f t="shared" si="25"/>
        <v>22.5792</v>
      </c>
      <c r="I52" s="186">
        <f t="shared" si="25"/>
        <v>23.52</v>
      </c>
      <c r="J52" s="186">
        <f t="shared" si="25"/>
        <v>30.72</v>
      </c>
      <c r="K52" s="186">
        <f t="shared" si="25"/>
        <v>38.88</v>
      </c>
      <c r="L52" s="186">
        <f t="shared" si="25"/>
        <v>48</v>
      </c>
      <c r="M52" s="186">
        <f t="shared" si="25"/>
        <v>63.36000000000001</v>
      </c>
    </row>
    <row r="53" spans="1:13" s="57" customFormat="1" ht="37.5" customHeight="1">
      <c r="A53" s="55"/>
      <c r="B53" s="246" t="s">
        <v>678</v>
      </c>
      <c r="C53" s="61" t="s">
        <v>2</v>
      </c>
      <c r="D53" s="62" t="s">
        <v>533</v>
      </c>
      <c r="E53" s="194">
        <f aca="true" t="shared" si="26" ref="E53:M53">0.3*4000*(0.1*E20-E14*(E13+0.2))*(E22/10)/1000</f>
        <v>10.296</v>
      </c>
      <c r="F53" s="194">
        <f t="shared" si="26"/>
        <v>13.248</v>
      </c>
      <c r="G53" s="194">
        <f t="shared" si="26"/>
        <v>18.252</v>
      </c>
      <c r="H53" s="194">
        <f t="shared" si="26"/>
        <v>20.736</v>
      </c>
      <c r="I53" s="194">
        <f t="shared" si="26"/>
        <v>22.008</v>
      </c>
      <c r="J53" s="194">
        <f t="shared" si="26"/>
        <v>27.84</v>
      </c>
      <c r="K53" s="194">
        <f t="shared" si="26"/>
        <v>34.344</v>
      </c>
      <c r="L53" s="194">
        <f t="shared" si="26"/>
        <v>41.28</v>
      </c>
      <c r="M53" s="194">
        <f t="shared" si="26"/>
        <v>55.17600000000001</v>
      </c>
    </row>
    <row r="54" spans="1:13" s="57" customFormat="1" ht="37.5" customHeight="1">
      <c r="A54" s="75">
        <v>9</v>
      </c>
      <c r="B54" s="249" t="s">
        <v>565</v>
      </c>
      <c r="C54" s="77"/>
      <c r="D54" s="78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s="71" customFormat="1" ht="37.5" customHeight="1">
      <c r="A55" s="55"/>
      <c r="B55" s="241" t="s">
        <v>666</v>
      </c>
      <c r="C55" s="61" t="s">
        <v>2</v>
      </c>
      <c r="D55" s="62" t="s">
        <v>566</v>
      </c>
      <c r="E55" s="197">
        <f aca="true" t="shared" si="27" ref="E55:M55">E33/E14</f>
        <v>0.97152</v>
      </c>
      <c r="F55" s="197">
        <f t="shared" si="27"/>
        <v>1.14048</v>
      </c>
      <c r="G55" s="197">
        <f t="shared" si="27"/>
        <v>1.6919584</v>
      </c>
      <c r="H55" s="197">
        <f t="shared" si="27"/>
        <v>2.7058592000000004</v>
      </c>
      <c r="I55" s="197">
        <f t="shared" si="27"/>
        <v>2.0516495999999997</v>
      </c>
      <c r="J55" s="197">
        <f t="shared" si="27"/>
        <v>2.50272</v>
      </c>
      <c r="K55" s="197">
        <f t="shared" si="27"/>
        <v>2.6204464000000005</v>
      </c>
      <c r="L55" s="197">
        <f t="shared" si="27"/>
        <v>3.3651199999999997</v>
      </c>
      <c r="M55" s="197">
        <f t="shared" si="27"/>
        <v>3.902176457142857</v>
      </c>
    </row>
    <row r="56" spans="1:13" s="71" customFormat="1" ht="37.5" customHeight="1">
      <c r="A56" s="55"/>
      <c r="B56" s="241" t="s">
        <v>573</v>
      </c>
      <c r="C56" s="61" t="s">
        <v>2</v>
      </c>
      <c r="D56" s="62" t="s">
        <v>528</v>
      </c>
      <c r="E56" s="197">
        <f aca="true" t="shared" si="28" ref="E56:M56">(E33*(E16+3))/100</f>
        <v>0.13601280000000002</v>
      </c>
      <c r="F56" s="197">
        <f t="shared" si="28"/>
        <v>0.23950079999999996</v>
      </c>
      <c r="G56" s="197">
        <f t="shared" si="28"/>
        <v>0.35531126400000007</v>
      </c>
      <c r="H56" s="197">
        <f t="shared" si="28"/>
        <v>0.568230432</v>
      </c>
      <c r="I56" s="197">
        <f t="shared" si="28"/>
        <v>0.574461888</v>
      </c>
      <c r="J56" s="197">
        <f t="shared" si="28"/>
        <v>0.8759520000000001</v>
      </c>
      <c r="K56" s="197">
        <f t="shared" si="28"/>
        <v>1.1005874880000002</v>
      </c>
      <c r="L56" s="197">
        <f t="shared" si="28"/>
        <v>1.4133504</v>
      </c>
      <c r="M56" s="197">
        <f t="shared" si="28"/>
        <v>1.912066464</v>
      </c>
    </row>
    <row r="57" spans="1:13" s="255" customFormat="1" ht="37.5" customHeight="1">
      <c r="A57" s="250"/>
      <c r="B57" s="251" t="s">
        <v>574</v>
      </c>
      <c r="C57" s="252" t="s">
        <v>2</v>
      </c>
      <c r="D57" s="253" t="s">
        <v>566</v>
      </c>
      <c r="E57" s="254">
        <f>E56*'Torsion coeff1 '!B21*100</f>
        <v>2.2668800000000005</v>
      </c>
      <c r="F57" s="254">
        <f>F56*'Torsion coeff1 '!D21*100</f>
        <v>1.9958399999999994</v>
      </c>
      <c r="G57" s="254">
        <f>G56*'Torsion coeff1 '!D21*100</f>
        <v>2.9609272000000004</v>
      </c>
      <c r="H57" s="254">
        <f>H56*'Torsion coeff1 '!D21*100</f>
        <v>4.7352536</v>
      </c>
      <c r="I57" s="254">
        <f>I56*'Torsion coeff1 '!F21*100</f>
        <v>2.87230944</v>
      </c>
      <c r="J57" s="254">
        <f>J56*'Torsion coeff1 '!H21*100</f>
        <v>2.91984</v>
      </c>
      <c r="K57" s="254">
        <f>K56*'Torsion coeff1 '!J21*100</f>
        <v>2.6204464000000005</v>
      </c>
      <c r="L57" s="254">
        <f>L56*'Torsion coeff1 '!J21*100</f>
        <v>3.3651199999999992</v>
      </c>
      <c r="M57" s="254">
        <f>M56*'Torsion coeff1 '!L21*100</f>
        <v>3.4144044</v>
      </c>
    </row>
    <row r="58" spans="1:13" s="256" customFormat="1" ht="37.5" customHeight="1">
      <c r="A58" s="250"/>
      <c r="B58" s="251" t="s">
        <v>572</v>
      </c>
      <c r="C58" s="252" t="s">
        <v>2</v>
      </c>
      <c r="D58" s="253" t="s">
        <v>566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  <c r="K58" s="254">
        <v>0</v>
      </c>
      <c r="L58" s="254">
        <v>0</v>
      </c>
      <c r="M58" s="254">
        <v>0</v>
      </c>
    </row>
    <row r="59" spans="1:13" s="256" customFormat="1" ht="37.5" customHeight="1">
      <c r="A59" s="250"/>
      <c r="B59" s="251" t="s">
        <v>575</v>
      </c>
      <c r="C59" s="252" t="s">
        <v>2</v>
      </c>
      <c r="D59" s="253" t="s">
        <v>566</v>
      </c>
      <c r="E59" s="257">
        <f aca="true" t="shared" si="29" ref="E59:M59">SQRT(E55*E55+E57*E57)</f>
        <v>2.4662919626029685</v>
      </c>
      <c r="F59" s="257">
        <f t="shared" si="29"/>
        <v>2.2987109291948817</v>
      </c>
      <c r="G59" s="257">
        <f t="shared" si="29"/>
        <v>3.4102511800497046</v>
      </c>
      <c r="H59" s="257">
        <f t="shared" si="29"/>
        <v>5.453833575251229</v>
      </c>
      <c r="I59" s="257">
        <f t="shared" si="29"/>
        <v>3.5297914386395797</v>
      </c>
      <c r="J59" s="257">
        <f t="shared" si="29"/>
        <v>3.845656384026009</v>
      </c>
      <c r="K59" s="257">
        <f t="shared" si="29"/>
        <v>3.7058708383517533</v>
      </c>
      <c r="L59" s="257">
        <f t="shared" si="29"/>
        <v>4.758998343012949</v>
      </c>
      <c r="M59" s="257">
        <f t="shared" si="29"/>
        <v>5.185088090806109</v>
      </c>
    </row>
    <row r="60" spans="1:13" s="256" customFormat="1" ht="37.5" customHeight="1">
      <c r="A60" s="250"/>
      <c r="B60" s="251" t="s">
        <v>576</v>
      </c>
      <c r="C60" s="252" t="s">
        <v>2</v>
      </c>
      <c r="D60" s="253" t="s">
        <v>566</v>
      </c>
      <c r="E60" s="254">
        <f aca="true" t="shared" si="30" ref="E60:M60">1.45*(3.14*E13*E13/4)</f>
        <v>4.553</v>
      </c>
      <c r="F60" s="254">
        <f t="shared" si="30"/>
        <v>4.553</v>
      </c>
      <c r="G60" s="254">
        <f t="shared" si="30"/>
        <v>4.553</v>
      </c>
      <c r="H60" s="254">
        <f t="shared" si="30"/>
        <v>6.556319999999999</v>
      </c>
      <c r="I60" s="254">
        <f t="shared" si="30"/>
        <v>4.553</v>
      </c>
      <c r="J60" s="254">
        <f t="shared" si="30"/>
        <v>4.553</v>
      </c>
      <c r="K60" s="254">
        <f t="shared" si="30"/>
        <v>4.553</v>
      </c>
      <c r="L60" s="254">
        <f t="shared" si="30"/>
        <v>6.556319999999999</v>
      </c>
      <c r="M60" s="254">
        <f t="shared" si="30"/>
        <v>6.556319999999999</v>
      </c>
    </row>
    <row r="61" spans="1:13" s="37" customFormat="1" ht="14.25">
      <c r="A61" s="38"/>
      <c r="B61" s="38"/>
      <c r="C61" s="39"/>
      <c r="D61" s="38"/>
      <c r="E61" s="39"/>
      <c r="F61" s="38"/>
      <c r="G61" s="38"/>
      <c r="H61" s="38"/>
      <c r="I61" s="38"/>
      <c r="J61" s="38"/>
      <c r="K61" s="38"/>
      <c r="L61" s="38"/>
      <c r="M61" s="38"/>
    </row>
    <row r="62" spans="1:13" s="37" customFormat="1" ht="14.25">
      <c r="A62" s="38"/>
      <c r="B62" s="38"/>
      <c r="C62" s="39"/>
      <c r="D62" s="40"/>
      <c r="E62" s="41"/>
      <c r="F62" s="38"/>
      <c r="G62" s="38"/>
      <c r="H62" s="38"/>
      <c r="I62" s="38"/>
      <c r="J62" s="38"/>
      <c r="K62" s="38"/>
      <c r="L62" s="38"/>
      <c r="M62" s="38"/>
    </row>
    <row r="63" spans="1:13" s="37" customFormat="1" ht="14.25">
      <c r="A63" s="38"/>
      <c r="B63" s="38"/>
      <c r="C63" s="38"/>
      <c r="D63" s="38"/>
      <c r="E63" s="39"/>
      <c r="F63" s="38"/>
      <c r="G63" s="38"/>
      <c r="H63" s="38"/>
      <c r="I63" s="38"/>
      <c r="J63" s="38"/>
      <c r="K63" s="38"/>
      <c r="L63" s="38"/>
      <c r="M63" s="38"/>
    </row>
    <row r="64" spans="1:13" s="37" customFormat="1" ht="14.25">
      <c r="A64" s="38"/>
      <c r="B64" s="42"/>
      <c r="C64" s="43"/>
      <c r="D64" s="42"/>
      <c r="E64" s="43"/>
      <c r="F64" s="38"/>
      <c r="G64" s="38"/>
      <c r="H64" s="38"/>
      <c r="I64" s="38"/>
      <c r="J64" s="38"/>
      <c r="K64" s="38"/>
      <c r="L64" s="38"/>
      <c r="M64" s="38"/>
    </row>
    <row r="65" spans="1:13" s="37" customFormat="1" ht="14.25">
      <c r="A65" s="38"/>
      <c r="B65" s="38"/>
      <c r="C65" s="38"/>
      <c r="D65" s="38"/>
      <c r="E65" s="39"/>
      <c r="F65" s="38"/>
      <c r="G65" s="38"/>
      <c r="H65" s="38"/>
      <c r="I65" s="38"/>
      <c r="J65" s="38"/>
      <c r="K65" s="38"/>
      <c r="L65" s="38"/>
      <c r="M65" s="38"/>
    </row>
    <row r="66" spans="1:13" s="37" customFormat="1" ht="14.25">
      <c r="A66" s="38"/>
      <c r="B66" s="38"/>
      <c r="C66" s="38"/>
      <c r="D66" s="38"/>
      <c r="E66" s="39"/>
      <c r="F66" s="38"/>
      <c r="G66" s="38"/>
      <c r="H66" s="38"/>
      <c r="I66" s="38"/>
      <c r="J66" s="38"/>
      <c r="K66" s="38"/>
      <c r="L66" s="38"/>
      <c r="M66" s="38"/>
    </row>
    <row r="67" spans="1:13" s="37" customFormat="1" ht="14.25">
      <c r="A67" s="38"/>
      <c r="B67" s="38"/>
      <c r="C67" s="38"/>
      <c r="D67" s="38"/>
      <c r="E67" s="39"/>
      <c r="F67" s="38"/>
      <c r="G67" s="38"/>
      <c r="H67" s="38"/>
      <c r="I67" s="38"/>
      <c r="J67" s="38"/>
      <c r="K67" s="38"/>
      <c r="L67" s="38"/>
      <c r="M67" s="38"/>
    </row>
    <row r="68" spans="1:13" s="37" customFormat="1" ht="14.25">
      <c r="A68" s="38"/>
      <c r="B68" s="38"/>
      <c r="C68" s="38"/>
      <c r="D68" s="38"/>
      <c r="E68" s="39"/>
      <c r="F68" s="38"/>
      <c r="G68" s="38"/>
      <c r="H68" s="38"/>
      <c r="I68" s="38"/>
      <c r="J68" s="38"/>
      <c r="K68" s="38"/>
      <c r="L68" s="38"/>
      <c r="M68" s="38"/>
    </row>
    <row r="69" spans="1:13" s="37" customFormat="1" ht="14.25">
      <c r="A69" s="38"/>
      <c r="B69" s="38"/>
      <c r="C69" s="38"/>
      <c r="D69" s="38"/>
      <c r="E69" s="39"/>
      <c r="F69" s="38"/>
      <c r="G69" s="38"/>
      <c r="H69" s="38"/>
      <c r="I69" s="38"/>
      <c r="J69" s="38"/>
      <c r="K69" s="38"/>
      <c r="L69" s="38"/>
      <c r="M69" s="38"/>
    </row>
    <row r="70" spans="1:13" s="37" customFormat="1" ht="14.25">
      <c r="A70" s="38"/>
      <c r="B70" s="38"/>
      <c r="C70" s="38"/>
      <c r="D70" s="38"/>
      <c r="E70" s="39"/>
      <c r="F70" s="38"/>
      <c r="G70" s="38"/>
      <c r="H70" s="38"/>
      <c r="I70" s="38"/>
      <c r="J70" s="38"/>
      <c r="K70" s="38"/>
      <c r="L70" s="38"/>
      <c r="M70" s="38"/>
    </row>
    <row r="71" spans="1:13" s="37" customFormat="1" ht="14.25">
      <c r="A71" s="38"/>
      <c r="B71" s="38"/>
      <c r="C71" s="38"/>
      <c r="D71" s="38"/>
      <c r="E71" s="39"/>
      <c r="F71" s="38"/>
      <c r="G71" s="38"/>
      <c r="H71" s="38"/>
      <c r="I71" s="38"/>
      <c r="J71" s="38"/>
      <c r="K71" s="38"/>
      <c r="L71" s="38"/>
      <c r="M71" s="38"/>
    </row>
    <row r="72" spans="1:13" s="37" customFormat="1" ht="14.25">
      <c r="A72" s="38"/>
      <c r="B72" s="38"/>
      <c r="C72" s="38"/>
      <c r="D72" s="38"/>
      <c r="E72" s="39"/>
      <c r="F72" s="38"/>
      <c r="G72" s="38"/>
      <c r="H72" s="38"/>
      <c r="I72" s="38"/>
      <c r="J72" s="38"/>
      <c r="K72" s="38"/>
      <c r="L72" s="38"/>
      <c r="M72" s="38"/>
    </row>
    <row r="73" spans="1:13" s="37" customFormat="1" ht="14.25">
      <c r="A73" s="38"/>
      <c r="B73" s="38"/>
      <c r="C73" s="38"/>
      <c r="D73" s="38"/>
      <c r="E73" s="39"/>
      <c r="F73" s="38"/>
      <c r="G73" s="38"/>
      <c r="H73" s="38"/>
      <c r="I73" s="38"/>
      <c r="J73" s="38"/>
      <c r="K73" s="38"/>
      <c r="L73" s="38"/>
      <c r="M73" s="38"/>
    </row>
    <row r="74" spans="1:13" s="37" customFormat="1" ht="14.25">
      <c r="A74" s="38"/>
      <c r="B74" s="38"/>
      <c r="C74" s="38"/>
      <c r="D74" s="38"/>
      <c r="E74" s="39"/>
      <c r="F74" s="38"/>
      <c r="G74" s="38"/>
      <c r="H74" s="38"/>
      <c r="I74" s="38"/>
      <c r="J74" s="38"/>
      <c r="K74" s="38"/>
      <c r="L74" s="38"/>
      <c r="M74" s="38"/>
    </row>
    <row r="75" spans="1:13" s="37" customFormat="1" ht="14.25">
      <c r="A75" s="38"/>
      <c r="B75" s="38"/>
      <c r="C75" s="38"/>
      <c r="D75" s="38"/>
      <c r="E75" s="39"/>
      <c r="F75" s="38"/>
      <c r="G75" s="38"/>
      <c r="H75" s="38"/>
      <c r="I75" s="38"/>
      <c r="J75" s="38"/>
      <c r="K75" s="38"/>
      <c r="L75" s="38"/>
      <c r="M75" s="38"/>
    </row>
    <row r="76" spans="1:13" s="37" customFormat="1" ht="14.25">
      <c r="A76" s="38"/>
      <c r="B76" s="38"/>
      <c r="C76" s="38"/>
      <c r="D76" s="38"/>
      <c r="E76" s="39"/>
      <c r="F76" s="38"/>
      <c r="G76" s="38"/>
      <c r="H76" s="38"/>
      <c r="I76" s="38"/>
      <c r="J76" s="38"/>
      <c r="K76" s="38"/>
      <c r="L76" s="38"/>
      <c r="M76" s="38"/>
    </row>
    <row r="77" spans="1:13" s="37" customFormat="1" ht="14.25">
      <c r="A77" s="38"/>
      <c r="B77" s="38"/>
      <c r="C77" s="38"/>
      <c r="D77" s="38"/>
      <c r="E77" s="39"/>
      <c r="F77" s="38"/>
      <c r="G77" s="38"/>
      <c r="H77" s="38"/>
      <c r="I77" s="38"/>
      <c r="J77" s="38"/>
      <c r="K77" s="38"/>
      <c r="L77" s="38"/>
      <c r="M77" s="38"/>
    </row>
    <row r="78" spans="1:13" s="37" customFormat="1" ht="14.25">
      <c r="A78" s="38"/>
      <c r="B78" s="38"/>
      <c r="C78" s="38"/>
      <c r="D78" s="38"/>
      <c r="E78" s="39"/>
      <c r="F78" s="38"/>
      <c r="G78" s="38"/>
      <c r="H78" s="38"/>
      <c r="I78" s="38"/>
      <c r="J78" s="38"/>
      <c r="K78" s="38"/>
      <c r="L78" s="38"/>
      <c r="M78" s="38"/>
    </row>
    <row r="79" spans="1:13" s="37" customFormat="1" ht="14.25">
      <c r="A79" s="38"/>
      <c r="B79" s="38"/>
      <c r="C79" s="38"/>
      <c r="D79" s="38"/>
      <c r="E79" s="39"/>
      <c r="F79" s="38"/>
      <c r="G79" s="38"/>
      <c r="H79" s="38"/>
      <c r="I79" s="38"/>
      <c r="J79" s="38"/>
      <c r="K79" s="38"/>
      <c r="L79" s="38"/>
      <c r="M79" s="38"/>
    </row>
    <row r="80" spans="1:13" s="37" customFormat="1" ht="14.25">
      <c r="A80" s="38"/>
      <c r="B80" s="38"/>
      <c r="C80" s="38"/>
      <c r="D80" s="38"/>
      <c r="E80" s="39"/>
      <c r="F80" s="38"/>
      <c r="G80" s="38"/>
      <c r="H80" s="38"/>
      <c r="I80" s="38"/>
      <c r="J80" s="38"/>
      <c r="K80" s="38"/>
      <c r="L80" s="38"/>
      <c r="M80" s="38"/>
    </row>
    <row r="81" s="37" customFormat="1" ht="14.25">
      <c r="E81" s="44"/>
    </row>
    <row r="82" s="37" customFormat="1" ht="14.25">
      <c r="E82" s="44"/>
    </row>
    <row r="83" s="37" customFormat="1" ht="14.25">
      <c r="E83" s="44"/>
    </row>
    <row r="84" s="37" customFormat="1" ht="14.25">
      <c r="E84" s="44"/>
    </row>
    <row r="85" s="37" customFormat="1" ht="14.25">
      <c r="E85" s="44"/>
    </row>
    <row r="86" s="37" customFormat="1" ht="14.25">
      <c r="E86" s="44"/>
    </row>
    <row r="87" s="37" customFormat="1" ht="14.25">
      <c r="E87" s="44"/>
    </row>
    <row r="88" s="37" customFormat="1" ht="14.25">
      <c r="E88" s="44"/>
    </row>
    <row r="89" s="37" customFormat="1" ht="14.25">
      <c r="E89" s="44"/>
    </row>
    <row r="90" s="37" customFormat="1" ht="14.25">
      <c r="E90" s="44"/>
    </row>
    <row r="91" s="37" customFormat="1" ht="14.25">
      <c r="E91" s="44"/>
    </row>
    <row r="92" s="37" customFormat="1" ht="14.25">
      <c r="E92" s="44"/>
    </row>
    <row r="93" s="37" customFormat="1" ht="14.25">
      <c r="E93" s="44"/>
    </row>
    <row r="94" s="37" customFormat="1" ht="14.25">
      <c r="E94" s="44"/>
    </row>
    <row r="95" s="37" customFormat="1" ht="14.25">
      <c r="E95" s="44"/>
    </row>
    <row r="96" s="37" customFormat="1" ht="14.25">
      <c r="E96" s="44"/>
    </row>
    <row r="97" s="37" customFormat="1" ht="14.25">
      <c r="E97" s="44"/>
    </row>
    <row r="98" s="37" customFormat="1" ht="14.25">
      <c r="E98" s="44"/>
    </row>
    <row r="99" s="37" customFormat="1" ht="14.25">
      <c r="E99" s="44"/>
    </row>
    <row r="100" s="37" customFormat="1" ht="14.25">
      <c r="E100" s="44"/>
    </row>
    <row r="101" s="37" customFormat="1" ht="14.25">
      <c r="E101" s="44"/>
    </row>
    <row r="102" s="37" customFormat="1" ht="14.25">
      <c r="E102" s="44"/>
    </row>
    <row r="103" s="37" customFormat="1" ht="14.25">
      <c r="E103" s="44"/>
    </row>
    <row r="104" s="37" customFormat="1" ht="14.25">
      <c r="E104" s="44"/>
    </row>
    <row r="105" s="37" customFormat="1" ht="14.25">
      <c r="E105" s="44"/>
    </row>
    <row r="106" s="37" customFormat="1" ht="14.25">
      <c r="E106" s="44"/>
    </row>
    <row r="107" s="37" customFormat="1" ht="14.25">
      <c r="E107" s="44"/>
    </row>
    <row r="108" s="37" customFormat="1" ht="14.25">
      <c r="E108" s="44"/>
    </row>
    <row r="109" s="37" customFormat="1" ht="14.25">
      <c r="E109" s="44"/>
    </row>
    <row r="110" s="37" customFormat="1" ht="14.25">
      <c r="E110" s="44"/>
    </row>
    <row r="111" s="37" customFormat="1" ht="14.25">
      <c r="E111" s="44"/>
    </row>
    <row r="112" s="37" customFormat="1" ht="14.25">
      <c r="E112" s="44"/>
    </row>
    <row r="113" s="37" customFormat="1" ht="14.25">
      <c r="E113" s="44"/>
    </row>
    <row r="114" s="37" customFormat="1" ht="14.25">
      <c r="E114" s="44"/>
    </row>
    <row r="115" s="37" customFormat="1" ht="14.25">
      <c r="E115" s="44"/>
    </row>
    <row r="116" s="37" customFormat="1" ht="14.25">
      <c r="E116" s="44"/>
    </row>
    <row r="117" s="37" customFormat="1" ht="14.25">
      <c r="E117" s="44"/>
    </row>
    <row r="118" s="37" customFormat="1" ht="14.25">
      <c r="E118" s="44"/>
    </row>
    <row r="119" s="37" customFormat="1" ht="14.25">
      <c r="E119" s="44"/>
    </row>
    <row r="120" s="37" customFormat="1" ht="14.25">
      <c r="E120" s="44"/>
    </row>
  </sheetData>
  <dataValidations count="1">
    <dataValidation type="list" allowBlank="1" showInputMessage="1" showErrorMessage="1" sqref="E8:M8">
      <formula1>st_name</formula1>
    </dataValidation>
  </dataValidations>
  <printOptions/>
  <pageMargins left="0.94" right="0.41" top="0.44" bottom="0.33" header="0.33" footer="0.25"/>
  <pageSetup fitToHeight="1" fitToWidth="1" horizontalDpi="600" verticalDpi="600" orientation="landscape" paperSize="9" scale="25" r:id="rId5"/>
  <drawing r:id="rId4"/>
  <legacyDrawing r:id="rId3"/>
  <oleObjects>
    <oleObject progId="MSPhotoEd.3" shapeId="760886" r:id="rId1"/>
    <oleObject progId="MSPhotoEd.3" shapeId="107066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D120"/>
  <sheetViews>
    <sheetView tabSelected="1" zoomScale="50" zoomScaleNormal="50" workbookViewId="0" topLeftCell="A1">
      <selection activeCell="F4" sqref="F4"/>
    </sheetView>
  </sheetViews>
  <sheetFormatPr defaultColWidth="9.140625" defaultRowHeight="21.75"/>
  <cols>
    <col min="1" max="1" width="4.7109375" style="6" customWidth="1"/>
    <col min="2" max="2" width="65.140625" style="6" customWidth="1"/>
    <col min="3" max="3" width="4.7109375" style="6" bestFit="1" customWidth="1"/>
    <col min="4" max="4" width="15.421875" style="6" customWidth="1"/>
    <col min="5" max="5" width="53.00390625" style="7" customWidth="1"/>
    <col min="6" max="13" width="53.00390625" style="6" customWidth="1"/>
    <col min="14" max="14" width="20.28125" style="6" bestFit="1" customWidth="1"/>
    <col min="15" max="15" width="7.7109375" style="6" customWidth="1"/>
    <col min="16" max="16" width="26.28125" style="6" bestFit="1" customWidth="1"/>
    <col min="17" max="17" width="20.28125" style="6" bestFit="1" customWidth="1"/>
    <col min="18" max="18" width="7.7109375" style="6" customWidth="1"/>
    <col min="19" max="19" width="26.28125" style="6" bestFit="1" customWidth="1"/>
    <col min="20" max="20" width="20.28125" style="6" bestFit="1" customWidth="1"/>
    <col min="21" max="21" width="8.7109375" style="6" customWidth="1"/>
    <col min="22" max="22" width="26.28125" style="6" bestFit="1" customWidth="1"/>
    <col min="23" max="23" width="20.28125" style="6" bestFit="1" customWidth="1"/>
    <col min="24" max="24" width="7.7109375" style="6" customWidth="1"/>
    <col min="25" max="25" width="26.28125" style="6" bestFit="1" customWidth="1"/>
    <col min="26" max="26" width="20.28125" style="6" bestFit="1" customWidth="1"/>
    <col min="27" max="27" width="8.7109375" style="6" customWidth="1"/>
    <col min="28" max="28" width="26.28125" style="6" bestFit="1" customWidth="1"/>
    <col min="29" max="29" width="20.28125" style="6" bestFit="1" customWidth="1"/>
    <col min="30" max="30" width="8.7109375" style="6" customWidth="1"/>
    <col min="31" max="31" width="26.28125" style="6" bestFit="1" customWidth="1"/>
    <col min="32" max="32" width="20.8515625" style="6" bestFit="1" customWidth="1"/>
    <col min="33" max="33" width="10.140625" style="6" bestFit="1" customWidth="1"/>
    <col min="34" max="34" width="26.8515625" style="6" bestFit="1" customWidth="1"/>
    <col min="35" max="35" width="20.8515625" style="6" bestFit="1" customWidth="1"/>
    <col min="36" max="36" width="8.7109375" style="6" customWidth="1"/>
    <col min="37" max="37" width="26.8515625" style="6" bestFit="1" customWidth="1"/>
    <col min="38" max="38" width="22.421875" style="6" bestFit="1" customWidth="1"/>
    <col min="39" max="39" width="8.7109375" style="6" customWidth="1"/>
    <col min="40" max="40" width="28.28125" style="6" bestFit="1" customWidth="1"/>
    <col min="41" max="41" width="19.28125" style="6" bestFit="1" customWidth="1"/>
    <col min="42" max="42" width="9.140625" style="6" customWidth="1"/>
    <col min="43" max="43" width="25.140625" style="6" bestFit="1" customWidth="1"/>
    <col min="44" max="44" width="20.28125" style="6" bestFit="1" customWidth="1"/>
    <col min="45" max="45" width="9.140625" style="6" customWidth="1"/>
    <col min="46" max="46" width="26.28125" style="6" bestFit="1" customWidth="1"/>
    <col min="47" max="47" width="20.57421875" style="6" bestFit="1" customWidth="1"/>
    <col min="48" max="48" width="7.7109375" style="6" customWidth="1"/>
    <col min="49" max="49" width="26.57421875" style="6" bestFit="1" customWidth="1"/>
    <col min="50" max="50" width="19.57421875" style="6" bestFit="1" customWidth="1"/>
    <col min="51" max="51" width="7.7109375" style="6" customWidth="1"/>
    <col min="52" max="52" width="25.57421875" style="6" bestFit="1" customWidth="1"/>
    <col min="53" max="53" width="19.57421875" style="6" bestFit="1" customWidth="1"/>
    <col min="54" max="54" width="9.140625" style="6" customWidth="1"/>
    <col min="55" max="55" width="25.57421875" style="6" bestFit="1" customWidth="1"/>
    <col min="56" max="56" width="18.140625" style="6" bestFit="1" customWidth="1"/>
    <col min="57" max="57" width="7.7109375" style="6" customWidth="1"/>
    <col min="58" max="58" width="24.00390625" style="6" bestFit="1" customWidth="1"/>
    <col min="59" max="59" width="19.57421875" style="6" bestFit="1" customWidth="1"/>
    <col min="60" max="60" width="7.7109375" style="6" customWidth="1"/>
    <col min="61" max="61" width="25.57421875" style="6" bestFit="1" customWidth="1"/>
    <col min="62" max="62" width="19.57421875" style="6" bestFit="1" customWidth="1"/>
    <col min="63" max="63" width="9.140625" style="6" customWidth="1"/>
    <col min="64" max="64" width="25.57421875" style="6" bestFit="1" customWidth="1"/>
    <col min="65" max="65" width="19.57421875" style="6" bestFit="1" customWidth="1"/>
    <col min="66" max="66" width="7.7109375" style="6" customWidth="1"/>
    <col min="67" max="67" width="25.57421875" style="6" bestFit="1" customWidth="1"/>
    <col min="68" max="68" width="19.57421875" style="6" bestFit="1" customWidth="1"/>
    <col min="69" max="69" width="7.7109375" style="6" customWidth="1"/>
    <col min="70" max="70" width="25.57421875" style="6" bestFit="1" customWidth="1"/>
    <col min="71" max="71" width="19.57421875" style="6" bestFit="1" customWidth="1"/>
    <col min="72" max="72" width="8.7109375" style="6" customWidth="1"/>
    <col min="73" max="73" width="25.57421875" style="6" bestFit="1" customWidth="1"/>
    <col min="74" max="74" width="19.57421875" style="6" bestFit="1" customWidth="1"/>
    <col min="75" max="75" width="7.7109375" style="6" customWidth="1"/>
    <col min="76" max="76" width="25.57421875" style="6" bestFit="1" customWidth="1"/>
    <col min="77" max="77" width="19.57421875" style="6" bestFit="1" customWidth="1"/>
    <col min="78" max="78" width="8.7109375" style="6" customWidth="1"/>
    <col min="79" max="79" width="25.57421875" style="6" bestFit="1" customWidth="1"/>
    <col min="80" max="80" width="19.57421875" style="6" bestFit="1" customWidth="1"/>
    <col min="81" max="81" width="8.7109375" style="6" customWidth="1"/>
    <col min="82" max="82" width="25.57421875" style="6" bestFit="1" customWidth="1"/>
    <col min="83" max="83" width="20.140625" style="6" bestFit="1" customWidth="1"/>
    <col min="84" max="84" width="10.140625" style="6" bestFit="1" customWidth="1"/>
    <col min="85" max="85" width="26.140625" style="6" bestFit="1" customWidth="1"/>
    <col min="86" max="86" width="20.140625" style="6" bestFit="1" customWidth="1"/>
    <col min="87" max="87" width="8.7109375" style="6" customWidth="1"/>
    <col min="88" max="88" width="26.140625" style="6" bestFit="1" customWidth="1"/>
    <col min="89" max="89" width="21.7109375" style="6" bestFit="1" customWidth="1"/>
    <col min="90" max="90" width="8.7109375" style="6" customWidth="1"/>
    <col min="91" max="91" width="27.57421875" style="6" bestFit="1" customWidth="1"/>
    <col min="92" max="92" width="18.57421875" style="6" bestFit="1" customWidth="1"/>
    <col min="93" max="93" width="7.7109375" style="6" customWidth="1"/>
    <col min="94" max="94" width="24.421875" style="6" bestFit="1" customWidth="1"/>
    <col min="95" max="95" width="19.57421875" style="6" bestFit="1" customWidth="1"/>
    <col min="96" max="96" width="7.7109375" style="6" customWidth="1"/>
    <col min="97" max="97" width="25.57421875" style="6" bestFit="1" customWidth="1"/>
    <col min="98" max="98" width="19.7109375" style="6" bestFit="1" customWidth="1"/>
    <col min="99" max="99" width="7.7109375" style="6" customWidth="1"/>
    <col min="100" max="100" width="25.7109375" style="6" bestFit="1" customWidth="1"/>
    <col min="101" max="101" width="19.7109375" style="6" bestFit="1" customWidth="1"/>
    <col min="102" max="102" width="8.7109375" style="6" customWidth="1"/>
    <col min="103" max="103" width="25.7109375" style="6" bestFit="1" customWidth="1"/>
    <col min="104" max="104" width="19.7109375" style="6" bestFit="1" customWidth="1"/>
    <col min="105" max="105" width="8.7109375" style="6" customWidth="1"/>
    <col min="106" max="106" width="25.7109375" style="6" bestFit="1" customWidth="1"/>
    <col min="107" max="107" width="19.7109375" style="6" bestFit="1" customWidth="1"/>
    <col min="108" max="108" width="8.7109375" style="6" customWidth="1"/>
    <col min="109" max="109" width="25.7109375" style="6" bestFit="1" customWidth="1"/>
    <col min="110" max="110" width="19.7109375" style="6" bestFit="1" customWidth="1"/>
    <col min="111" max="111" width="7.7109375" style="6" customWidth="1"/>
    <col min="112" max="112" width="25.7109375" style="6" bestFit="1" customWidth="1"/>
    <col min="113" max="113" width="19.7109375" style="6" bestFit="1" customWidth="1"/>
    <col min="114" max="114" width="7.7109375" style="6" customWidth="1"/>
    <col min="115" max="115" width="25.7109375" style="6" bestFit="1" customWidth="1"/>
    <col min="116" max="116" width="19.7109375" style="6" bestFit="1" customWidth="1"/>
    <col min="117" max="117" width="8.7109375" style="6" customWidth="1"/>
    <col min="118" max="118" width="25.7109375" style="6" bestFit="1" customWidth="1"/>
    <col min="119" max="119" width="19.7109375" style="6" bestFit="1" customWidth="1"/>
    <col min="120" max="120" width="8.7109375" style="6" customWidth="1"/>
    <col min="121" max="121" width="25.7109375" style="6" bestFit="1" customWidth="1"/>
    <col min="122" max="122" width="19.7109375" style="6" bestFit="1" customWidth="1"/>
    <col min="123" max="123" width="8.7109375" style="6" customWidth="1"/>
    <col min="124" max="124" width="25.7109375" style="6" bestFit="1" customWidth="1"/>
    <col min="125" max="125" width="19.7109375" style="6" bestFit="1" customWidth="1"/>
    <col min="126" max="126" width="8.7109375" style="6" customWidth="1"/>
    <col min="127" max="127" width="25.7109375" style="6" bestFit="1" customWidth="1"/>
    <col min="128" max="128" width="19.7109375" style="6" bestFit="1" customWidth="1"/>
    <col min="129" max="129" width="8.7109375" style="6" customWidth="1"/>
    <col min="130" max="130" width="25.7109375" style="6" bestFit="1" customWidth="1"/>
    <col min="131" max="131" width="19.7109375" style="6" bestFit="1" customWidth="1"/>
    <col min="132" max="132" width="8.7109375" style="6" customWidth="1"/>
    <col min="133" max="133" width="25.7109375" style="6" bestFit="1" customWidth="1"/>
    <col min="134" max="134" width="19.7109375" style="6" bestFit="1" customWidth="1"/>
    <col min="135" max="135" width="8.7109375" style="6" customWidth="1"/>
    <col min="136" max="136" width="25.7109375" style="6" bestFit="1" customWidth="1"/>
    <col min="137" max="137" width="19.7109375" style="6" bestFit="1" customWidth="1"/>
    <col min="138" max="138" width="8.7109375" style="6" customWidth="1"/>
    <col min="139" max="139" width="25.7109375" style="6" bestFit="1" customWidth="1"/>
    <col min="140" max="140" width="19.7109375" style="6" bestFit="1" customWidth="1"/>
    <col min="141" max="141" width="8.7109375" style="6" customWidth="1"/>
    <col min="142" max="142" width="25.7109375" style="6" bestFit="1" customWidth="1"/>
    <col min="143" max="143" width="19.7109375" style="6" bestFit="1" customWidth="1"/>
    <col min="144" max="144" width="8.7109375" style="6" customWidth="1"/>
    <col min="145" max="145" width="25.7109375" style="6" bestFit="1" customWidth="1"/>
    <col min="146" max="146" width="19.28125" style="6" bestFit="1" customWidth="1"/>
    <col min="147" max="147" width="8.7109375" style="6" customWidth="1"/>
    <col min="148" max="148" width="25.140625" style="6" bestFit="1" customWidth="1"/>
    <col min="149" max="149" width="19.7109375" style="6" bestFit="1" customWidth="1"/>
    <col min="150" max="150" width="8.7109375" style="6" customWidth="1"/>
    <col min="151" max="151" width="25.7109375" style="6" bestFit="1" customWidth="1"/>
    <col min="152" max="152" width="17.7109375" style="6" bestFit="1" customWidth="1"/>
    <col min="153" max="153" width="7.7109375" style="6" customWidth="1"/>
    <col min="154" max="154" width="23.57421875" style="6" bestFit="1" customWidth="1"/>
    <col min="155" max="155" width="17.7109375" style="6" bestFit="1" customWidth="1"/>
    <col min="156" max="156" width="7.7109375" style="6" customWidth="1"/>
    <col min="157" max="157" width="23.57421875" style="6" bestFit="1" customWidth="1"/>
    <col min="158" max="158" width="17.7109375" style="6" bestFit="1" customWidth="1"/>
    <col min="159" max="159" width="7.7109375" style="6" customWidth="1"/>
    <col min="160" max="160" width="23.57421875" style="6" bestFit="1" customWidth="1"/>
    <col min="161" max="161" width="17.7109375" style="6" bestFit="1" customWidth="1"/>
    <col min="162" max="162" width="7.7109375" style="6" customWidth="1"/>
    <col min="163" max="163" width="23.57421875" style="6" bestFit="1" customWidth="1"/>
    <col min="164" max="164" width="17.7109375" style="6" bestFit="1" customWidth="1"/>
    <col min="165" max="165" width="7.7109375" style="6" customWidth="1"/>
    <col min="166" max="166" width="23.57421875" style="6" bestFit="1" customWidth="1"/>
    <col min="167" max="167" width="17.7109375" style="6" bestFit="1" customWidth="1"/>
    <col min="168" max="168" width="7.7109375" style="6" customWidth="1"/>
    <col min="169" max="169" width="23.57421875" style="6" bestFit="1" customWidth="1"/>
    <col min="170" max="170" width="17.7109375" style="6" bestFit="1" customWidth="1"/>
    <col min="171" max="171" width="7.7109375" style="6" customWidth="1"/>
    <col min="172" max="172" width="23.57421875" style="6" bestFit="1" customWidth="1"/>
    <col min="173" max="173" width="17.7109375" style="6" bestFit="1" customWidth="1"/>
    <col min="174" max="174" width="7.7109375" style="6" customWidth="1"/>
    <col min="175" max="175" width="23.57421875" style="6" bestFit="1" customWidth="1"/>
    <col min="176" max="176" width="17.7109375" style="6" bestFit="1" customWidth="1"/>
    <col min="177" max="177" width="7.7109375" style="6" customWidth="1"/>
    <col min="178" max="178" width="23.57421875" style="6" bestFit="1" customWidth="1"/>
    <col min="179" max="179" width="17.7109375" style="6" bestFit="1" customWidth="1"/>
    <col min="180" max="180" width="7.7109375" style="6" customWidth="1"/>
    <col min="181" max="181" width="23.57421875" style="6" bestFit="1" customWidth="1"/>
    <col min="182" max="182" width="17.7109375" style="6" bestFit="1" customWidth="1"/>
    <col min="183" max="183" width="7.7109375" style="6" customWidth="1"/>
    <col min="184" max="184" width="23.57421875" style="6" bestFit="1" customWidth="1"/>
    <col min="185" max="185" width="17.7109375" style="6" bestFit="1" customWidth="1"/>
    <col min="186" max="186" width="7.7109375" style="6" customWidth="1"/>
    <col min="187" max="187" width="23.57421875" style="6" bestFit="1" customWidth="1"/>
    <col min="188" max="188" width="17.7109375" style="6" bestFit="1" customWidth="1"/>
    <col min="189" max="189" width="7.7109375" style="6" customWidth="1"/>
    <col min="190" max="190" width="23.57421875" style="6" bestFit="1" customWidth="1"/>
    <col min="191" max="16384" width="23.57421875" style="6" customWidth="1"/>
  </cols>
  <sheetData>
    <row r="1" ht="39" customHeight="1">
      <c r="B1" s="107" t="s">
        <v>695</v>
      </c>
    </row>
    <row r="2" ht="39" customHeight="1"/>
    <row r="3" ht="39" customHeight="1"/>
    <row r="4" ht="39" customHeight="1">
      <c r="B4" s="107"/>
    </row>
    <row r="5" spans="3:13" ht="46.5" customHeight="1">
      <c r="C5" s="21"/>
      <c r="D5" s="21"/>
      <c r="F5" s="21"/>
      <c r="G5" s="21"/>
      <c r="H5" s="21"/>
      <c r="I5" s="21"/>
      <c r="J5" s="21"/>
      <c r="K5" s="21"/>
      <c r="L5" s="21"/>
      <c r="M5" s="21"/>
    </row>
    <row r="6" spans="1:13" ht="30" customHeight="1">
      <c r="A6" s="45"/>
      <c r="B6" s="21"/>
      <c r="C6" s="21"/>
      <c r="D6" s="21"/>
      <c r="E6" s="22"/>
      <c r="F6" s="36"/>
      <c r="G6" s="21"/>
      <c r="H6" s="21"/>
      <c r="I6" s="21"/>
      <c r="J6" s="21"/>
      <c r="K6" s="21"/>
      <c r="L6" s="21"/>
      <c r="M6" s="21"/>
    </row>
    <row r="7" spans="1:13" ht="36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</row>
    <row r="8" spans="1:186" s="53" customFormat="1" ht="39" customHeight="1">
      <c r="A8" s="51" t="s">
        <v>0</v>
      </c>
      <c r="B8" s="240" t="s">
        <v>581</v>
      </c>
      <c r="C8" s="81"/>
      <c r="D8" s="81"/>
      <c r="E8" s="82" t="s">
        <v>168</v>
      </c>
      <c r="F8" s="82" t="s">
        <v>176</v>
      </c>
      <c r="G8" s="82" t="s">
        <v>184</v>
      </c>
      <c r="H8" s="82" t="s">
        <v>179</v>
      </c>
      <c r="I8" s="82" t="s">
        <v>194</v>
      </c>
      <c r="J8" s="82" t="s">
        <v>203</v>
      </c>
      <c r="K8" s="82" t="s">
        <v>213</v>
      </c>
      <c r="L8" s="82" t="s">
        <v>221</v>
      </c>
      <c r="M8" s="82" t="s">
        <v>227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</row>
    <row r="9" spans="1:186" s="57" customFormat="1" ht="37.5" customHeight="1">
      <c r="A9" s="55"/>
      <c r="B9" s="241" t="s">
        <v>5</v>
      </c>
      <c r="C9" s="56" t="s">
        <v>2</v>
      </c>
      <c r="D9" s="60" t="s">
        <v>10</v>
      </c>
      <c r="E9" s="199">
        <v>2400</v>
      </c>
      <c r="F9" s="199">
        <v>2400</v>
      </c>
      <c r="G9" s="199">
        <v>2400</v>
      </c>
      <c r="H9" s="199">
        <v>2400</v>
      </c>
      <c r="I9" s="199">
        <v>2400</v>
      </c>
      <c r="J9" s="199">
        <v>2400</v>
      </c>
      <c r="K9" s="199">
        <v>2400</v>
      </c>
      <c r="L9" s="199">
        <v>2400</v>
      </c>
      <c r="M9" s="199">
        <v>2400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</row>
    <row r="10" spans="1:13" s="57" customFormat="1" ht="37.5" customHeight="1">
      <c r="A10" s="55"/>
      <c r="B10" s="241" t="s">
        <v>524</v>
      </c>
      <c r="C10" s="56" t="s">
        <v>2</v>
      </c>
      <c r="D10" s="60" t="s">
        <v>11</v>
      </c>
      <c r="E10" s="180">
        <v>6</v>
      </c>
      <c r="F10" s="180">
        <v>6</v>
      </c>
      <c r="G10" s="180">
        <v>6</v>
      </c>
      <c r="H10" s="180">
        <v>6</v>
      </c>
      <c r="I10" s="180">
        <v>6</v>
      </c>
      <c r="J10" s="180">
        <v>6</v>
      </c>
      <c r="K10" s="180">
        <v>6</v>
      </c>
      <c r="L10" s="180">
        <v>6</v>
      </c>
      <c r="M10" s="180">
        <v>6</v>
      </c>
    </row>
    <row r="11" spans="1:13" s="57" customFormat="1" ht="37.5" customHeight="1">
      <c r="A11" s="55"/>
      <c r="B11" s="241" t="s">
        <v>680</v>
      </c>
      <c r="C11" s="56" t="s">
        <v>2</v>
      </c>
      <c r="D11" s="60" t="s">
        <v>9</v>
      </c>
      <c r="E11" s="180">
        <v>15</v>
      </c>
      <c r="F11" s="180">
        <v>15</v>
      </c>
      <c r="G11" s="180">
        <v>15</v>
      </c>
      <c r="H11" s="180">
        <v>20</v>
      </c>
      <c r="I11" s="180">
        <v>20</v>
      </c>
      <c r="J11" s="180">
        <v>20</v>
      </c>
      <c r="K11" s="180">
        <v>20</v>
      </c>
      <c r="L11" s="180">
        <v>20</v>
      </c>
      <c r="M11" s="180">
        <v>20</v>
      </c>
    </row>
    <row r="12" spans="1:13" s="57" customFormat="1" ht="37.5" customHeight="1">
      <c r="A12" s="63" t="s">
        <v>539</v>
      </c>
      <c r="B12" s="242" t="s">
        <v>536</v>
      </c>
      <c r="C12" s="64"/>
      <c r="D12" s="62"/>
      <c r="E12" s="181" t="s">
        <v>538</v>
      </c>
      <c r="F12" s="181" t="s">
        <v>538</v>
      </c>
      <c r="G12" s="181" t="s">
        <v>538</v>
      </c>
      <c r="H12" s="181" t="s">
        <v>538</v>
      </c>
      <c r="I12" s="181" t="s">
        <v>538</v>
      </c>
      <c r="J12" s="181" t="s">
        <v>538</v>
      </c>
      <c r="K12" s="181" t="s">
        <v>538</v>
      </c>
      <c r="L12" s="181" t="s">
        <v>538</v>
      </c>
      <c r="M12" s="181" t="s">
        <v>538</v>
      </c>
    </row>
    <row r="13" spans="1:13" s="57" customFormat="1" ht="37.5" customHeight="1">
      <c r="A13" s="55"/>
      <c r="B13" s="241" t="s">
        <v>537</v>
      </c>
      <c r="C13" s="56" t="s">
        <v>2</v>
      </c>
      <c r="D13" s="65" t="s">
        <v>9</v>
      </c>
      <c r="E13" s="200">
        <v>2</v>
      </c>
      <c r="F13" s="200">
        <v>2</v>
      </c>
      <c r="G13" s="200">
        <v>2</v>
      </c>
      <c r="H13" s="200">
        <v>2</v>
      </c>
      <c r="I13" s="200">
        <v>2</v>
      </c>
      <c r="J13" s="200">
        <v>2</v>
      </c>
      <c r="K13" s="200">
        <v>2</v>
      </c>
      <c r="L13" s="200">
        <v>2</v>
      </c>
      <c r="M13" s="200">
        <v>2</v>
      </c>
    </row>
    <row r="14" spans="1:13" s="57" customFormat="1" ht="37.5" customHeight="1">
      <c r="A14" s="55"/>
      <c r="B14" s="241" t="s">
        <v>577</v>
      </c>
      <c r="C14" s="56" t="s">
        <v>2</v>
      </c>
      <c r="D14" s="65" t="s">
        <v>9</v>
      </c>
      <c r="E14" s="183">
        <v>2</v>
      </c>
      <c r="F14" s="183">
        <v>3</v>
      </c>
      <c r="G14" s="183">
        <v>3</v>
      </c>
      <c r="H14" s="183">
        <v>3</v>
      </c>
      <c r="I14" s="183">
        <v>4</v>
      </c>
      <c r="J14" s="183">
        <v>5</v>
      </c>
      <c r="K14" s="183">
        <v>6</v>
      </c>
      <c r="L14" s="183">
        <v>6</v>
      </c>
      <c r="M14" s="183">
        <v>7</v>
      </c>
    </row>
    <row r="15" spans="1:13" s="57" customFormat="1" ht="37.5" customHeight="1">
      <c r="A15" s="55"/>
      <c r="B15" s="241" t="s">
        <v>578</v>
      </c>
      <c r="C15" s="56" t="s">
        <v>2</v>
      </c>
      <c r="D15" s="65" t="s">
        <v>9</v>
      </c>
      <c r="E15" s="200">
        <v>6</v>
      </c>
      <c r="F15" s="200">
        <v>6</v>
      </c>
      <c r="G15" s="200">
        <v>6</v>
      </c>
      <c r="H15" s="200">
        <v>6</v>
      </c>
      <c r="I15" s="200">
        <v>8</v>
      </c>
      <c r="J15" s="200">
        <v>6</v>
      </c>
      <c r="K15" s="200">
        <v>6</v>
      </c>
      <c r="L15" s="200">
        <v>6</v>
      </c>
      <c r="M15" s="200">
        <v>6</v>
      </c>
    </row>
    <row r="16" spans="1:13" s="57" customFormat="1" ht="37.5" customHeight="1">
      <c r="A16" s="55"/>
      <c r="B16" s="241" t="s">
        <v>579</v>
      </c>
      <c r="C16" s="56" t="s">
        <v>2</v>
      </c>
      <c r="D16" s="65" t="s">
        <v>9</v>
      </c>
      <c r="E16" s="200">
        <v>4</v>
      </c>
      <c r="F16" s="200">
        <v>4</v>
      </c>
      <c r="G16" s="200">
        <v>4</v>
      </c>
      <c r="H16" s="200">
        <v>4</v>
      </c>
      <c r="I16" s="200">
        <v>4</v>
      </c>
      <c r="J16" s="200">
        <v>4</v>
      </c>
      <c r="K16" s="200">
        <v>4</v>
      </c>
      <c r="L16" s="200">
        <v>4</v>
      </c>
      <c r="M16" s="200">
        <v>4</v>
      </c>
    </row>
    <row r="17" spans="1:13" s="57" customFormat="1" ht="37.5" customHeight="1">
      <c r="A17" s="55"/>
      <c r="B17" s="262" t="s">
        <v>675</v>
      </c>
      <c r="C17" s="263" t="s">
        <v>2</v>
      </c>
      <c r="D17" s="264" t="s">
        <v>9</v>
      </c>
      <c r="E17" s="265">
        <v>0.6</v>
      </c>
      <c r="F17" s="265">
        <v>0.6</v>
      </c>
      <c r="G17" s="265">
        <v>0.6</v>
      </c>
      <c r="H17" s="265">
        <v>0.6</v>
      </c>
      <c r="I17" s="265">
        <v>0.6</v>
      </c>
      <c r="J17" s="265">
        <v>0.6</v>
      </c>
      <c r="K17" s="265">
        <v>0.6</v>
      </c>
      <c r="L17" s="265">
        <v>0.6</v>
      </c>
      <c r="M17" s="265">
        <v>0.6</v>
      </c>
    </row>
    <row r="18" spans="1:13" s="57" customFormat="1" ht="37.5" customHeight="1">
      <c r="A18" s="55"/>
      <c r="B18" s="241" t="s">
        <v>558</v>
      </c>
      <c r="C18" s="56" t="s">
        <v>2</v>
      </c>
      <c r="D18" s="65" t="s">
        <v>9</v>
      </c>
      <c r="E18" s="200">
        <v>0.6</v>
      </c>
      <c r="F18" s="200">
        <f aca="true" t="shared" si="0" ref="F18:M18">E18</f>
        <v>0.6</v>
      </c>
      <c r="G18" s="200">
        <f t="shared" si="0"/>
        <v>0.6</v>
      </c>
      <c r="H18" s="200">
        <f t="shared" si="0"/>
        <v>0.6</v>
      </c>
      <c r="I18" s="200">
        <f t="shared" si="0"/>
        <v>0.6</v>
      </c>
      <c r="J18" s="200">
        <f t="shared" si="0"/>
        <v>0.6</v>
      </c>
      <c r="K18" s="200">
        <f t="shared" si="0"/>
        <v>0.6</v>
      </c>
      <c r="L18" s="200">
        <f t="shared" si="0"/>
        <v>0.6</v>
      </c>
      <c r="M18" s="200">
        <f t="shared" si="0"/>
        <v>0.6</v>
      </c>
    </row>
    <row r="19" spans="1:186" s="57" customFormat="1" ht="37.5" customHeight="1">
      <c r="A19" s="63">
        <v>3</v>
      </c>
      <c r="B19" s="242" t="s">
        <v>525</v>
      </c>
      <c r="C19" s="64"/>
      <c r="D19" s="62"/>
      <c r="E19" s="184"/>
      <c r="F19" s="184"/>
      <c r="G19" s="184"/>
      <c r="H19" s="184"/>
      <c r="I19" s="184"/>
      <c r="J19" s="184"/>
      <c r="K19" s="184"/>
      <c r="L19" s="184"/>
      <c r="M19" s="18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</row>
    <row r="20" spans="1:186" s="57" customFormat="1" ht="37.5" customHeight="1">
      <c r="A20" s="55"/>
      <c r="B20" s="241" t="s">
        <v>1</v>
      </c>
      <c r="C20" s="56" t="s">
        <v>2</v>
      </c>
      <c r="D20" s="60" t="s">
        <v>7</v>
      </c>
      <c r="E20" s="185">
        <f aca="true" t="shared" si="1" ref="E20:M20">INDEX(steel,MATCH(E$8,st_name,0),4)</f>
        <v>200</v>
      </c>
      <c r="F20" s="185">
        <f t="shared" si="1"/>
        <v>250</v>
      </c>
      <c r="G20" s="185">
        <f t="shared" si="1"/>
        <v>300</v>
      </c>
      <c r="H20" s="185">
        <f t="shared" si="1"/>
        <v>294</v>
      </c>
      <c r="I20" s="185">
        <f t="shared" si="1"/>
        <v>350</v>
      </c>
      <c r="J20" s="185">
        <f t="shared" si="1"/>
        <v>400</v>
      </c>
      <c r="K20" s="185">
        <f t="shared" si="1"/>
        <v>450</v>
      </c>
      <c r="L20" s="185">
        <f t="shared" si="1"/>
        <v>500</v>
      </c>
      <c r="M20" s="185">
        <f t="shared" si="1"/>
        <v>600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</row>
    <row r="21" spans="1:186" s="57" customFormat="1" ht="37.5" customHeight="1">
      <c r="A21" s="55"/>
      <c r="B21" s="241" t="s">
        <v>3</v>
      </c>
      <c r="C21" s="56" t="s">
        <v>2</v>
      </c>
      <c r="D21" s="60" t="s">
        <v>7</v>
      </c>
      <c r="E21" s="185">
        <f aca="true" t="shared" si="2" ref="E21:M21">INDEX(steel,MATCH(E$8,st_name,0),6)</f>
        <v>100</v>
      </c>
      <c r="F21" s="185">
        <f t="shared" si="2"/>
        <v>125</v>
      </c>
      <c r="G21" s="185">
        <f t="shared" si="2"/>
        <v>150</v>
      </c>
      <c r="H21" s="185">
        <f t="shared" si="2"/>
        <v>200</v>
      </c>
      <c r="I21" s="185">
        <f t="shared" si="2"/>
        <v>175</v>
      </c>
      <c r="J21" s="185">
        <f t="shared" si="2"/>
        <v>200</v>
      </c>
      <c r="K21" s="185">
        <f t="shared" si="2"/>
        <v>200</v>
      </c>
      <c r="L21" s="185">
        <f t="shared" si="2"/>
        <v>200</v>
      </c>
      <c r="M21" s="185">
        <f t="shared" si="2"/>
        <v>200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</row>
    <row r="22" spans="1:13" s="57" customFormat="1" ht="37.5" customHeight="1">
      <c r="A22" s="55"/>
      <c r="B22" s="241" t="s">
        <v>13</v>
      </c>
      <c r="C22" s="56" t="s">
        <v>2</v>
      </c>
      <c r="D22" s="60" t="s">
        <v>7</v>
      </c>
      <c r="E22" s="185">
        <f aca="true" t="shared" si="3" ref="E22:M22">INDEX(steel,MATCH(E$8,st_name,0),9)</f>
        <v>5.5</v>
      </c>
      <c r="F22" s="185">
        <f t="shared" si="3"/>
        <v>6</v>
      </c>
      <c r="G22" s="185">
        <f t="shared" si="3"/>
        <v>6.5</v>
      </c>
      <c r="H22" s="185">
        <f t="shared" si="3"/>
        <v>8</v>
      </c>
      <c r="I22" s="185">
        <f t="shared" si="3"/>
        <v>7</v>
      </c>
      <c r="J22" s="185">
        <f t="shared" si="3"/>
        <v>8</v>
      </c>
      <c r="K22" s="185">
        <f t="shared" si="3"/>
        <v>9</v>
      </c>
      <c r="L22" s="185">
        <f t="shared" si="3"/>
        <v>10</v>
      </c>
      <c r="M22" s="185">
        <f t="shared" si="3"/>
        <v>11</v>
      </c>
    </row>
    <row r="23" spans="1:13" s="57" customFormat="1" ht="37.5" customHeight="1">
      <c r="A23" s="55"/>
      <c r="B23" s="241" t="s">
        <v>12</v>
      </c>
      <c r="C23" s="56" t="s">
        <v>2</v>
      </c>
      <c r="D23" s="60" t="s">
        <v>7</v>
      </c>
      <c r="E23" s="185">
        <f aca="true" t="shared" si="4" ref="E23:M23">INDEX(steel,MATCH(E$8,st_name,0),10)</f>
        <v>8</v>
      </c>
      <c r="F23" s="185">
        <f t="shared" si="4"/>
        <v>9</v>
      </c>
      <c r="G23" s="185">
        <f t="shared" si="4"/>
        <v>9</v>
      </c>
      <c r="H23" s="185">
        <f t="shared" si="4"/>
        <v>12</v>
      </c>
      <c r="I23" s="185">
        <f t="shared" si="4"/>
        <v>11</v>
      </c>
      <c r="J23" s="185">
        <f t="shared" si="4"/>
        <v>13</v>
      </c>
      <c r="K23" s="185">
        <f t="shared" si="4"/>
        <v>14</v>
      </c>
      <c r="L23" s="185">
        <f t="shared" si="4"/>
        <v>16</v>
      </c>
      <c r="M23" s="185">
        <f t="shared" si="4"/>
        <v>17</v>
      </c>
    </row>
    <row r="24" spans="1:13" s="57" customFormat="1" ht="37.5" customHeight="1">
      <c r="A24" s="55"/>
      <c r="B24" s="241" t="s">
        <v>4</v>
      </c>
      <c r="C24" s="56" t="s">
        <v>2</v>
      </c>
      <c r="D24" s="60" t="s">
        <v>8</v>
      </c>
      <c r="E24" s="185">
        <f aca="true" t="shared" si="5" ref="E24:M24">INDEX(steel,MATCH(E$8,st_name,0),11)</f>
        <v>27.16</v>
      </c>
      <c r="F24" s="185">
        <f t="shared" si="5"/>
        <v>37.66</v>
      </c>
      <c r="G24" s="185">
        <f t="shared" si="5"/>
        <v>46.78</v>
      </c>
      <c r="H24" s="185">
        <f t="shared" si="5"/>
        <v>72.38</v>
      </c>
      <c r="I24" s="185">
        <f t="shared" si="5"/>
        <v>63.14</v>
      </c>
      <c r="J24" s="185">
        <f t="shared" si="5"/>
        <v>84.12</v>
      </c>
      <c r="K24" s="185">
        <f t="shared" si="5"/>
        <v>96.76</v>
      </c>
      <c r="L24" s="185">
        <f t="shared" si="5"/>
        <v>114.2</v>
      </c>
      <c r="M24" s="185">
        <f t="shared" si="5"/>
        <v>134.4</v>
      </c>
    </row>
    <row r="25" spans="1:13" s="57" customFormat="1" ht="37.5" customHeight="1">
      <c r="A25" s="55"/>
      <c r="B25" s="241" t="s">
        <v>580</v>
      </c>
      <c r="C25" s="56" t="s">
        <v>2</v>
      </c>
      <c r="D25" s="60" t="s">
        <v>9</v>
      </c>
      <c r="E25" s="185">
        <f aca="true" t="shared" si="6" ref="E25:M25">INDEX(steel,MATCH(E$8,st_name,0),14)</f>
        <v>8.24</v>
      </c>
      <c r="F25" s="185">
        <f t="shared" si="6"/>
        <v>10.4</v>
      </c>
      <c r="G25" s="185">
        <f t="shared" si="6"/>
        <v>12.41474</v>
      </c>
      <c r="H25" s="185">
        <f t="shared" si="6"/>
        <v>12.49482</v>
      </c>
      <c r="I25" s="185">
        <f t="shared" si="6"/>
        <v>14.67632</v>
      </c>
      <c r="J25" s="185">
        <f t="shared" si="6"/>
        <v>16.78512</v>
      </c>
      <c r="K25" s="185">
        <f t="shared" si="6"/>
        <v>18.60692</v>
      </c>
      <c r="L25" s="185">
        <f t="shared" si="6"/>
        <v>20.45884</v>
      </c>
      <c r="M25" s="185">
        <f t="shared" si="6"/>
        <v>24.02875</v>
      </c>
    </row>
    <row r="26" spans="1:13" s="57" customFormat="1" ht="37.5" customHeight="1">
      <c r="A26" s="55"/>
      <c r="B26" s="241" t="s">
        <v>6</v>
      </c>
      <c r="C26" s="56" t="s">
        <v>2</v>
      </c>
      <c r="D26" s="60" t="s">
        <v>9</v>
      </c>
      <c r="E26" s="185">
        <f aca="true" t="shared" si="7" ref="E26:M26">INDEX(steel,MATCH(E$8,st_name,0),15)</f>
        <v>2.22</v>
      </c>
      <c r="F26" s="185">
        <f t="shared" si="7"/>
        <v>2.79</v>
      </c>
      <c r="G26" s="185">
        <f t="shared" si="7"/>
        <v>3.295352</v>
      </c>
      <c r="H26" s="185">
        <f t="shared" si="7"/>
        <v>4.701654</v>
      </c>
      <c r="I26" s="185">
        <f t="shared" si="7"/>
        <v>3.94771</v>
      </c>
      <c r="J26" s="185">
        <f t="shared" si="7"/>
        <v>4.548048</v>
      </c>
      <c r="K26" s="185">
        <f t="shared" si="7"/>
        <v>4.396154</v>
      </c>
      <c r="L26" s="185">
        <f t="shared" si="7"/>
        <v>4.328863</v>
      </c>
      <c r="M26" s="185">
        <f t="shared" si="7"/>
        <v>4.118773</v>
      </c>
    </row>
    <row r="27" spans="1:13" s="57" customFormat="1" ht="37.5" customHeight="1">
      <c r="A27" s="55"/>
      <c r="B27" s="241" t="s">
        <v>526</v>
      </c>
      <c r="C27" s="56" t="s">
        <v>2</v>
      </c>
      <c r="D27" s="60" t="s">
        <v>527</v>
      </c>
      <c r="E27" s="185">
        <f aca="true" t="shared" si="8" ref="E27:M27">INDEX(steel,MATCH(E$8,st_name,0),16)</f>
        <v>184</v>
      </c>
      <c r="F27" s="185">
        <f t="shared" si="8"/>
        <v>324</v>
      </c>
      <c r="G27" s="185">
        <f t="shared" si="8"/>
        <v>480.67</v>
      </c>
      <c r="H27" s="185">
        <f t="shared" si="8"/>
        <v>768.71</v>
      </c>
      <c r="I27" s="185">
        <f t="shared" si="8"/>
        <v>777.14</v>
      </c>
      <c r="J27" s="185">
        <f t="shared" si="8"/>
        <v>1185</v>
      </c>
      <c r="K27" s="185">
        <f t="shared" si="8"/>
        <v>1488.89</v>
      </c>
      <c r="L27" s="185">
        <f t="shared" si="8"/>
        <v>1912</v>
      </c>
      <c r="M27" s="185">
        <f t="shared" si="8"/>
        <v>2586.67</v>
      </c>
    </row>
    <row r="28" spans="1:13" s="57" customFormat="1" ht="37.5" customHeight="1">
      <c r="A28" s="63" t="s">
        <v>535</v>
      </c>
      <c r="B28" s="242" t="s">
        <v>534</v>
      </c>
      <c r="C28" s="64"/>
      <c r="D28" s="62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s="57" customFormat="1" ht="37.5" customHeight="1">
      <c r="A29" s="55"/>
      <c r="B29" s="241" t="s">
        <v>529</v>
      </c>
      <c r="C29" s="56" t="s">
        <v>2</v>
      </c>
      <c r="D29" s="55" t="s">
        <v>528</v>
      </c>
      <c r="E29" s="185">
        <f aca="true" t="shared" si="9" ref="E29:M29">0.66*E9*E27/1000/100</f>
        <v>2.9145600000000003</v>
      </c>
      <c r="F29" s="185">
        <f t="shared" si="9"/>
        <v>5.13216</v>
      </c>
      <c r="G29" s="185">
        <f t="shared" si="9"/>
        <v>7.613812800000001</v>
      </c>
      <c r="H29" s="185">
        <f t="shared" si="9"/>
        <v>12.176366400000001</v>
      </c>
      <c r="I29" s="185">
        <f t="shared" si="9"/>
        <v>12.3098976</v>
      </c>
      <c r="J29" s="185">
        <f t="shared" si="9"/>
        <v>18.7704</v>
      </c>
      <c r="K29" s="185">
        <f t="shared" si="9"/>
        <v>23.584017600000003</v>
      </c>
      <c r="L29" s="185">
        <f t="shared" si="9"/>
        <v>30.286080000000002</v>
      </c>
      <c r="M29" s="185">
        <f t="shared" si="9"/>
        <v>40.9728528</v>
      </c>
    </row>
    <row r="30" spans="1:13" s="57" customFormat="1" ht="37.5" customHeight="1">
      <c r="A30" s="55"/>
      <c r="B30" s="241" t="s">
        <v>531</v>
      </c>
      <c r="C30" s="56" t="s">
        <v>2</v>
      </c>
      <c r="D30" s="55" t="s">
        <v>530</v>
      </c>
      <c r="E30" s="185">
        <f aca="true" t="shared" si="10" ref="E30:M30">8*E29/(E10*E10)</f>
        <v>0.64768</v>
      </c>
      <c r="F30" s="185">
        <f t="shared" si="10"/>
        <v>1.14048</v>
      </c>
      <c r="G30" s="185">
        <f t="shared" si="10"/>
        <v>1.6919584</v>
      </c>
      <c r="H30" s="185">
        <f t="shared" si="10"/>
        <v>2.7058592000000004</v>
      </c>
      <c r="I30" s="185">
        <f t="shared" si="10"/>
        <v>2.7355327999999997</v>
      </c>
      <c r="J30" s="185">
        <f t="shared" si="10"/>
        <v>4.1712</v>
      </c>
      <c r="K30" s="185">
        <f t="shared" si="10"/>
        <v>5.240892800000001</v>
      </c>
      <c r="L30" s="185">
        <f t="shared" si="10"/>
        <v>6.73024</v>
      </c>
      <c r="M30" s="185">
        <f t="shared" si="10"/>
        <v>9.1050784</v>
      </c>
    </row>
    <row r="31" spans="1:13" s="57" customFormat="1" ht="37.5" customHeight="1">
      <c r="A31" s="55"/>
      <c r="B31" s="241" t="s">
        <v>532</v>
      </c>
      <c r="C31" s="56" t="s">
        <v>2</v>
      </c>
      <c r="D31" s="55" t="s">
        <v>533</v>
      </c>
      <c r="E31" s="185">
        <f aca="true" t="shared" si="11" ref="E31:M31">E29*4/E10</f>
        <v>1.94304</v>
      </c>
      <c r="F31" s="185">
        <f t="shared" si="11"/>
        <v>3.42144</v>
      </c>
      <c r="G31" s="185">
        <f t="shared" si="11"/>
        <v>5.0758752000000005</v>
      </c>
      <c r="H31" s="185">
        <f t="shared" si="11"/>
        <v>8.1175776</v>
      </c>
      <c r="I31" s="185">
        <f t="shared" si="11"/>
        <v>8.206598399999999</v>
      </c>
      <c r="J31" s="185">
        <f t="shared" si="11"/>
        <v>12.513599999999999</v>
      </c>
      <c r="K31" s="185">
        <f t="shared" si="11"/>
        <v>15.722678400000001</v>
      </c>
      <c r="L31" s="185">
        <f t="shared" si="11"/>
        <v>20.190720000000002</v>
      </c>
      <c r="M31" s="185">
        <f t="shared" si="11"/>
        <v>27.3152352</v>
      </c>
    </row>
    <row r="32" spans="1:13" s="57" customFormat="1" ht="37.5" customHeight="1">
      <c r="A32" s="55"/>
      <c r="B32" s="241" t="s">
        <v>561</v>
      </c>
      <c r="C32" s="56" t="s">
        <v>2</v>
      </c>
      <c r="D32" s="55" t="s">
        <v>533</v>
      </c>
      <c r="E32" s="186">
        <f aca="true" t="shared" si="12" ref="E32:M32">MAX(E31/2,E30*E10/2)</f>
        <v>1.94304</v>
      </c>
      <c r="F32" s="186">
        <f t="shared" si="12"/>
        <v>3.4214399999999996</v>
      </c>
      <c r="G32" s="186">
        <f t="shared" si="12"/>
        <v>5.0758752000000005</v>
      </c>
      <c r="H32" s="186">
        <f t="shared" si="12"/>
        <v>8.1175776</v>
      </c>
      <c r="I32" s="186">
        <f t="shared" si="12"/>
        <v>8.206598399999999</v>
      </c>
      <c r="J32" s="186">
        <f t="shared" si="12"/>
        <v>12.5136</v>
      </c>
      <c r="K32" s="186">
        <f t="shared" si="12"/>
        <v>15.722678400000003</v>
      </c>
      <c r="L32" s="186">
        <f t="shared" si="12"/>
        <v>20.19072</v>
      </c>
      <c r="M32" s="186">
        <f t="shared" si="12"/>
        <v>27.3152352</v>
      </c>
    </row>
    <row r="33" spans="1:13" s="57" customFormat="1" ht="37.5" customHeight="1">
      <c r="A33" s="55"/>
      <c r="B33" s="266" t="s">
        <v>676</v>
      </c>
      <c r="C33" s="267" t="s">
        <v>2</v>
      </c>
      <c r="D33" s="268" t="s">
        <v>533</v>
      </c>
      <c r="E33" s="269">
        <f aca="true" t="shared" si="13" ref="E33:M33">MIN(E32,E37,E40,E39,E42,E48,E50)</f>
        <v>1.94304</v>
      </c>
      <c r="F33" s="269">
        <f t="shared" si="13"/>
        <v>3.4214399999999996</v>
      </c>
      <c r="G33" s="269">
        <f t="shared" si="13"/>
        <v>5.0758752000000005</v>
      </c>
      <c r="H33" s="269">
        <f t="shared" si="13"/>
        <v>8.1175776</v>
      </c>
      <c r="I33" s="269">
        <f t="shared" si="13"/>
        <v>8.206598399999999</v>
      </c>
      <c r="J33" s="269">
        <f t="shared" si="13"/>
        <v>12.5136</v>
      </c>
      <c r="K33" s="269">
        <f t="shared" si="13"/>
        <v>15.722678400000003</v>
      </c>
      <c r="L33" s="269">
        <f t="shared" si="13"/>
        <v>20.19072</v>
      </c>
      <c r="M33" s="269">
        <f t="shared" si="13"/>
        <v>27.3152352</v>
      </c>
    </row>
    <row r="34" spans="1:13" s="57" customFormat="1" ht="37.5" customHeight="1">
      <c r="A34" s="66" t="s">
        <v>540</v>
      </c>
      <c r="B34" s="244" t="s">
        <v>681</v>
      </c>
      <c r="C34" s="67"/>
      <c r="D34" s="6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s="57" customFormat="1" ht="37.5" customHeight="1">
      <c r="A35" s="55"/>
      <c r="B35" s="241" t="s">
        <v>541</v>
      </c>
      <c r="C35" s="56" t="s">
        <v>2</v>
      </c>
      <c r="D35" s="60" t="s">
        <v>9</v>
      </c>
      <c r="E35" s="185">
        <f>E16+(E14-1)*E15-((E14-0.5)*(E13+0.2))</f>
        <v>6.699999999999999</v>
      </c>
      <c r="F35" s="185">
        <f aca="true" t="shared" si="14" ref="F35:M35">F16+(F14-1)*F15-((F14-0.5)*(F13+0.2))</f>
        <v>10.5</v>
      </c>
      <c r="G35" s="185">
        <f t="shared" si="14"/>
        <v>10.5</v>
      </c>
      <c r="H35" s="185">
        <f t="shared" si="14"/>
        <v>10.5</v>
      </c>
      <c r="I35" s="185">
        <f t="shared" si="14"/>
        <v>20.299999999999997</v>
      </c>
      <c r="J35" s="185">
        <f t="shared" si="14"/>
        <v>18.1</v>
      </c>
      <c r="K35" s="185">
        <f t="shared" si="14"/>
        <v>21.9</v>
      </c>
      <c r="L35" s="185">
        <f t="shared" si="14"/>
        <v>21.9</v>
      </c>
      <c r="M35" s="185">
        <f t="shared" si="14"/>
        <v>25.7</v>
      </c>
    </row>
    <row r="36" spans="1:13" s="57" customFormat="1" ht="37.5" customHeight="1">
      <c r="A36" s="55"/>
      <c r="B36" s="241" t="s">
        <v>542</v>
      </c>
      <c r="C36" s="56" t="s">
        <v>2</v>
      </c>
      <c r="D36" s="60" t="s">
        <v>9</v>
      </c>
      <c r="E36" s="185">
        <f>E16-0.5*(E13+0.2)</f>
        <v>2.9</v>
      </c>
      <c r="F36" s="185">
        <f aca="true" t="shared" si="15" ref="F36:M36">F16-0.5*(F13+0.2)</f>
        <v>2.9</v>
      </c>
      <c r="G36" s="185">
        <f t="shared" si="15"/>
        <v>2.9</v>
      </c>
      <c r="H36" s="185">
        <f t="shared" si="15"/>
        <v>2.9</v>
      </c>
      <c r="I36" s="185">
        <f t="shared" si="15"/>
        <v>2.9</v>
      </c>
      <c r="J36" s="185">
        <f t="shared" si="15"/>
        <v>2.9</v>
      </c>
      <c r="K36" s="185">
        <f t="shared" si="15"/>
        <v>2.9</v>
      </c>
      <c r="L36" s="185">
        <f t="shared" si="15"/>
        <v>2.9</v>
      </c>
      <c r="M36" s="185">
        <f t="shared" si="15"/>
        <v>2.9</v>
      </c>
    </row>
    <row r="37" spans="1:13" s="57" customFormat="1" ht="37.5" customHeight="1">
      <c r="A37" s="55"/>
      <c r="B37" s="241" t="s">
        <v>543</v>
      </c>
      <c r="C37" s="56" t="s">
        <v>2</v>
      </c>
      <c r="D37" s="60" t="s">
        <v>533</v>
      </c>
      <c r="E37" s="186">
        <f>(4000*(0.3*E35+0.5*E36)*E17/1000)*2</f>
        <v>16.608</v>
      </c>
      <c r="F37" s="186">
        <f aca="true" t="shared" si="16" ref="F37:M37">(4000*(0.3*F35+0.5*F36)*F17/1000)*2</f>
        <v>22.08</v>
      </c>
      <c r="G37" s="186">
        <f t="shared" si="16"/>
        <v>22.08</v>
      </c>
      <c r="H37" s="186">
        <f t="shared" si="16"/>
        <v>22.08</v>
      </c>
      <c r="I37" s="186">
        <f t="shared" si="16"/>
        <v>36.19199999999999</v>
      </c>
      <c r="J37" s="186">
        <f t="shared" si="16"/>
        <v>33.024</v>
      </c>
      <c r="K37" s="186">
        <f t="shared" si="16"/>
        <v>38.496</v>
      </c>
      <c r="L37" s="186">
        <f t="shared" si="16"/>
        <v>38.496</v>
      </c>
      <c r="M37" s="186">
        <f t="shared" si="16"/>
        <v>43.96799999999999</v>
      </c>
    </row>
    <row r="38" spans="1:13" s="57" customFormat="1" ht="37.5" customHeight="1">
      <c r="A38" s="66" t="s">
        <v>545</v>
      </c>
      <c r="B38" s="244" t="s">
        <v>682</v>
      </c>
      <c r="C38" s="67"/>
      <c r="D38" s="6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s="57" customFormat="1" ht="37.5" customHeight="1">
      <c r="A39" s="55"/>
      <c r="B39" s="241" t="s">
        <v>585</v>
      </c>
      <c r="C39" s="56" t="s">
        <v>2</v>
      </c>
      <c r="D39" s="60" t="s">
        <v>533</v>
      </c>
      <c r="E39" s="186">
        <f>(0.3*4000*E17*(2*E16+(E14-1)*E15-E14*(E13+0.2))/1000)*2</f>
        <v>13.824</v>
      </c>
      <c r="F39" s="186">
        <f aca="true" t="shared" si="17" ref="F39:M39">(0.3*4000*F17*(2*F16+(F14-1)*F15-F14*(F13+0.2))/1000)*2</f>
        <v>19.295999999999996</v>
      </c>
      <c r="G39" s="186">
        <f t="shared" si="17"/>
        <v>19.295999999999996</v>
      </c>
      <c r="H39" s="186">
        <f t="shared" si="17"/>
        <v>19.295999999999996</v>
      </c>
      <c r="I39" s="186">
        <f t="shared" si="17"/>
        <v>33.408</v>
      </c>
      <c r="J39" s="186">
        <f t="shared" si="17"/>
        <v>30.24</v>
      </c>
      <c r="K39" s="186">
        <f t="shared" si="17"/>
        <v>35.711999999999996</v>
      </c>
      <c r="L39" s="186">
        <f t="shared" si="17"/>
        <v>35.711999999999996</v>
      </c>
      <c r="M39" s="186">
        <f t="shared" si="17"/>
        <v>41.184</v>
      </c>
    </row>
    <row r="40" spans="1:13" s="57" customFormat="1" ht="37.5" customHeight="1">
      <c r="A40" s="55"/>
      <c r="B40" s="241" t="s">
        <v>664</v>
      </c>
      <c r="C40" s="56" t="s">
        <v>2</v>
      </c>
      <c r="D40" s="60" t="s">
        <v>533</v>
      </c>
      <c r="E40" s="186">
        <f>(0.4*E9*E17*((E14-1)*E15+2*E16)/1000)*2</f>
        <v>16.128</v>
      </c>
      <c r="F40" s="186">
        <f aca="true" t="shared" si="18" ref="F40:M40">(0.4*F9*F17*((F14-1)*F15+2*F16)/1000)*2</f>
        <v>23.04</v>
      </c>
      <c r="G40" s="186">
        <f t="shared" si="18"/>
        <v>23.04</v>
      </c>
      <c r="H40" s="186">
        <f t="shared" si="18"/>
        <v>23.04</v>
      </c>
      <c r="I40" s="186">
        <f t="shared" si="18"/>
        <v>36.864</v>
      </c>
      <c r="J40" s="186">
        <f t="shared" si="18"/>
        <v>36.864</v>
      </c>
      <c r="K40" s="186">
        <f t="shared" si="18"/>
        <v>43.776</v>
      </c>
      <c r="L40" s="186">
        <f t="shared" si="18"/>
        <v>43.776</v>
      </c>
      <c r="M40" s="186">
        <f t="shared" si="18"/>
        <v>50.688</v>
      </c>
    </row>
    <row r="41" spans="1:13" s="57" customFormat="1" ht="37.5" customHeight="1">
      <c r="A41" s="66" t="s">
        <v>583</v>
      </c>
      <c r="B41" s="244" t="s">
        <v>683</v>
      </c>
      <c r="C41" s="68"/>
      <c r="D41" s="68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s="57" customFormat="1" ht="37.5" customHeight="1">
      <c r="A42" s="55"/>
      <c r="B42" s="241" t="s">
        <v>589</v>
      </c>
      <c r="C42" s="56" t="s">
        <v>2</v>
      </c>
      <c r="D42" s="60" t="s">
        <v>533</v>
      </c>
      <c r="E42" s="190">
        <f>(E14*(E13+0.2)*E17*1.2*4000/1000)*2</f>
        <v>25.344</v>
      </c>
      <c r="F42" s="190">
        <f aca="true" t="shared" si="19" ref="F42:M42">(F14*(F13+0.2)*F17*1.2*4000/1000)*2</f>
        <v>38.016</v>
      </c>
      <c r="G42" s="190">
        <f t="shared" si="19"/>
        <v>38.016</v>
      </c>
      <c r="H42" s="190">
        <f t="shared" si="19"/>
        <v>38.016</v>
      </c>
      <c r="I42" s="190">
        <f t="shared" si="19"/>
        <v>50.688</v>
      </c>
      <c r="J42" s="190">
        <f t="shared" si="19"/>
        <v>63.35999999999999</v>
      </c>
      <c r="K42" s="190">
        <f t="shared" si="19"/>
        <v>76.032</v>
      </c>
      <c r="L42" s="190">
        <f t="shared" si="19"/>
        <v>76.032</v>
      </c>
      <c r="M42" s="190">
        <f t="shared" si="19"/>
        <v>88.704</v>
      </c>
    </row>
    <row r="43" spans="1:13" s="57" customFormat="1" ht="37.5" customHeight="1">
      <c r="A43" s="66" t="s">
        <v>552</v>
      </c>
      <c r="B43" s="244" t="s">
        <v>549</v>
      </c>
      <c r="C43" s="68"/>
      <c r="D43" s="68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s="57" customFormat="1" ht="37.5" customHeight="1">
      <c r="A44" s="63"/>
      <c r="B44" s="245" t="s">
        <v>553</v>
      </c>
      <c r="C44" s="62"/>
      <c r="D44" s="62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1:13" s="57" customFormat="1" ht="37.5" customHeight="1">
      <c r="A45" s="55"/>
      <c r="B45" s="246" t="s">
        <v>560</v>
      </c>
      <c r="C45" s="61" t="s">
        <v>2</v>
      </c>
      <c r="D45" s="69" t="s">
        <v>9</v>
      </c>
      <c r="E45" s="181">
        <f>2*E16+(E14-1)*E15</f>
        <v>14</v>
      </c>
      <c r="F45" s="181">
        <f aca="true" t="shared" si="20" ref="F45:M45">2*F16+(F14-1)*F15</f>
        <v>20</v>
      </c>
      <c r="G45" s="181">
        <f t="shared" si="20"/>
        <v>20</v>
      </c>
      <c r="H45" s="181">
        <f t="shared" si="20"/>
        <v>20</v>
      </c>
      <c r="I45" s="181">
        <f t="shared" si="20"/>
        <v>32</v>
      </c>
      <c r="J45" s="181">
        <f t="shared" si="20"/>
        <v>32</v>
      </c>
      <c r="K45" s="181">
        <f t="shared" si="20"/>
        <v>38</v>
      </c>
      <c r="L45" s="181">
        <f t="shared" si="20"/>
        <v>38</v>
      </c>
      <c r="M45" s="181">
        <f t="shared" si="20"/>
        <v>44</v>
      </c>
    </row>
    <row r="46" spans="1:13" s="57" customFormat="1" ht="37.5" customHeight="1">
      <c r="A46" s="55"/>
      <c r="B46" s="246" t="s">
        <v>550</v>
      </c>
      <c r="C46" s="61" t="s">
        <v>2</v>
      </c>
      <c r="D46" s="69" t="s">
        <v>527</v>
      </c>
      <c r="E46" s="181">
        <f>(E17*(E45*E45)/6)*2</f>
        <v>39.199999999999996</v>
      </c>
      <c r="F46" s="181">
        <f aca="true" t="shared" si="21" ref="F46:M46">(F17*(F45*F45)/6)*2</f>
        <v>80</v>
      </c>
      <c r="G46" s="181">
        <f t="shared" si="21"/>
        <v>80</v>
      </c>
      <c r="H46" s="181">
        <f t="shared" si="21"/>
        <v>80</v>
      </c>
      <c r="I46" s="181">
        <f t="shared" si="21"/>
        <v>204.79999999999998</v>
      </c>
      <c r="J46" s="181">
        <f t="shared" si="21"/>
        <v>204.79999999999998</v>
      </c>
      <c r="K46" s="181">
        <f t="shared" si="21"/>
        <v>288.8</v>
      </c>
      <c r="L46" s="181">
        <f t="shared" si="21"/>
        <v>288.8</v>
      </c>
      <c r="M46" s="181">
        <f t="shared" si="21"/>
        <v>387.2</v>
      </c>
    </row>
    <row r="47" spans="1:13" s="57" customFormat="1" ht="37.5" customHeight="1">
      <c r="A47" s="55"/>
      <c r="B47" s="246" t="s">
        <v>555</v>
      </c>
      <c r="C47" s="61" t="s">
        <v>2</v>
      </c>
      <c r="D47" s="62" t="s">
        <v>528</v>
      </c>
      <c r="E47" s="181">
        <f aca="true" t="shared" si="22" ref="E47:M47">0.75*E9*E46/1000/100</f>
        <v>0.7055999999999999</v>
      </c>
      <c r="F47" s="181">
        <f t="shared" si="22"/>
        <v>1.44</v>
      </c>
      <c r="G47" s="181">
        <f t="shared" si="22"/>
        <v>1.44</v>
      </c>
      <c r="H47" s="181">
        <f t="shared" si="22"/>
        <v>1.44</v>
      </c>
      <c r="I47" s="181">
        <f t="shared" si="22"/>
        <v>3.6863999999999995</v>
      </c>
      <c r="J47" s="181">
        <f t="shared" si="22"/>
        <v>3.6863999999999995</v>
      </c>
      <c r="K47" s="181">
        <f t="shared" si="22"/>
        <v>5.1984</v>
      </c>
      <c r="L47" s="181">
        <f t="shared" si="22"/>
        <v>5.1984</v>
      </c>
      <c r="M47" s="181">
        <f t="shared" si="22"/>
        <v>6.969600000000001</v>
      </c>
    </row>
    <row r="48" spans="1:13" s="57" customFormat="1" ht="37.5" customHeight="1">
      <c r="A48" s="55"/>
      <c r="B48" s="246" t="s">
        <v>551</v>
      </c>
      <c r="C48" s="61" t="s">
        <v>2</v>
      </c>
      <c r="D48" s="62" t="s">
        <v>533</v>
      </c>
      <c r="E48" s="190">
        <f>E47*100/(E16+3)</f>
        <v>10.079999999999998</v>
      </c>
      <c r="F48" s="190">
        <f aca="true" t="shared" si="23" ref="F48:M48">F47*100/(F16+3)</f>
        <v>20.571428571428573</v>
      </c>
      <c r="G48" s="190">
        <f t="shared" si="23"/>
        <v>20.571428571428573</v>
      </c>
      <c r="H48" s="190">
        <f t="shared" si="23"/>
        <v>20.571428571428573</v>
      </c>
      <c r="I48" s="190">
        <f t="shared" si="23"/>
        <v>52.662857142857135</v>
      </c>
      <c r="J48" s="190">
        <f t="shared" si="23"/>
        <v>52.662857142857135</v>
      </c>
      <c r="K48" s="190">
        <f t="shared" si="23"/>
        <v>74.26285714285714</v>
      </c>
      <c r="L48" s="190">
        <f t="shared" si="23"/>
        <v>74.26285714285714</v>
      </c>
      <c r="M48" s="190">
        <f t="shared" si="23"/>
        <v>99.5657142857143</v>
      </c>
    </row>
    <row r="49" spans="1:13" s="57" customFormat="1" ht="37.5" customHeight="1">
      <c r="A49" s="55"/>
      <c r="B49" s="245" t="s">
        <v>554</v>
      </c>
      <c r="C49" s="61"/>
      <c r="D49" s="69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 s="57" customFormat="1" ht="37.5" customHeight="1">
      <c r="A50" s="55"/>
      <c r="B50" s="246" t="s">
        <v>556</v>
      </c>
      <c r="C50" s="61" t="s">
        <v>2</v>
      </c>
      <c r="D50" s="62" t="s">
        <v>533</v>
      </c>
      <c r="E50" s="190">
        <f>(0.4*E9*E45*E17/1000)*2</f>
        <v>16.128</v>
      </c>
      <c r="F50" s="190">
        <f aca="true" t="shared" si="24" ref="F50:M50">(0.4*F9*F45*F17/1000)*2</f>
        <v>23.04</v>
      </c>
      <c r="G50" s="190">
        <f t="shared" si="24"/>
        <v>23.04</v>
      </c>
      <c r="H50" s="190">
        <f t="shared" si="24"/>
        <v>23.04</v>
      </c>
      <c r="I50" s="190">
        <f t="shared" si="24"/>
        <v>36.864</v>
      </c>
      <c r="J50" s="190">
        <f t="shared" si="24"/>
        <v>36.864</v>
      </c>
      <c r="K50" s="190">
        <f t="shared" si="24"/>
        <v>43.776</v>
      </c>
      <c r="L50" s="190">
        <f t="shared" si="24"/>
        <v>43.776</v>
      </c>
      <c r="M50" s="190">
        <f t="shared" si="24"/>
        <v>50.688</v>
      </c>
    </row>
    <row r="51" spans="1:13" s="57" customFormat="1" ht="37.5" customHeight="1">
      <c r="A51" s="72" t="s">
        <v>552</v>
      </c>
      <c r="B51" s="248" t="s">
        <v>562</v>
      </c>
      <c r="C51" s="74"/>
      <c r="D51" s="74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s="57" customFormat="1" ht="37.5" customHeight="1">
      <c r="A52" s="63"/>
      <c r="B52" s="246" t="s">
        <v>677</v>
      </c>
      <c r="C52" s="61" t="s">
        <v>2</v>
      </c>
      <c r="D52" s="62" t="s">
        <v>533</v>
      </c>
      <c r="E52" s="186">
        <f>(0.4*E9*(E20/10)*(E22/10)/1000)</f>
        <v>10.56</v>
      </c>
      <c r="F52" s="186">
        <f aca="true" t="shared" si="25" ref="F52:M52">(0.4*F9*(F20/10)*(F22/10)/1000)</f>
        <v>14.4</v>
      </c>
      <c r="G52" s="186">
        <f t="shared" si="25"/>
        <v>18.72</v>
      </c>
      <c r="H52" s="186">
        <f t="shared" si="25"/>
        <v>22.5792</v>
      </c>
      <c r="I52" s="186">
        <f t="shared" si="25"/>
        <v>23.52</v>
      </c>
      <c r="J52" s="186">
        <f t="shared" si="25"/>
        <v>30.72</v>
      </c>
      <c r="K52" s="186">
        <f t="shared" si="25"/>
        <v>38.88</v>
      </c>
      <c r="L52" s="186">
        <f t="shared" si="25"/>
        <v>48</v>
      </c>
      <c r="M52" s="186">
        <f t="shared" si="25"/>
        <v>63.36000000000001</v>
      </c>
    </row>
    <row r="53" spans="1:13" s="57" customFormat="1" ht="37.5" customHeight="1">
      <c r="A53" s="55"/>
      <c r="B53" s="246" t="s">
        <v>678</v>
      </c>
      <c r="C53" s="61" t="s">
        <v>2</v>
      </c>
      <c r="D53" s="62" t="s">
        <v>533</v>
      </c>
      <c r="E53" s="194">
        <f>0.3*4000*(0.1*E20-E14*(E13+0.2))*(E22/10)/1000</f>
        <v>10.296</v>
      </c>
      <c r="F53" s="194">
        <f aca="true" t="shared" si="26" ref="F53:M53">0.3*4000*(0.1*F20-F14*(F13+0.2))*(F22/10)/1000</f>
        <v>13.248</v>
      </c>
      <c r="G53" s="194">
        <f t="shared" si="26"/>
        <v>18.252</v>
      </c>
      <c r="H53" s="194">
        <f t="shared" si="26"/>
        <v>21.888</v>
      </c>
      <c r="I53" s="194">
        <f t="shared" si="26"/>
        <v>22.008</v>
      </c>
      <c r="J53" s="194">
        <f t="shared" si="26"/>
        <v>27.84</v>
      </c>
      <c r="K53" s="194">
        <f t="shared" si="26"/>
        <v>34.344</v>
      </c>
      <c r="L53" s="194">
        <f t="shared" si="26"/>
        <v>44.16</v>
      </c>
      <c r="M53" s="194">
        <f t="shared" si="26"/>
        <v>58.872</v>
      </c>
    </row>
    <row r="54" spans="1:13" s="57" customFormat="1" ht="37.5" customHeight="1">
      <c r="A54" s="75">
        <v>9</v>
      </c>
      <c r="B54" s="249" t="s">
        <v>565</v>
      </c>
      <c r="C54" s="77"/>
      <c r="D54" s="78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s="71" customFormat="1" ht="37.5" customHeight="1">
      <c r="A55" s="55"/>
      <c r="B55" s="241" t="s">
        <v>666</v>
      </c>
      <c r="C55" s="61" t="s">
        <v>2</v>
      </c>
      <c r="D55" s="62" t="s">
        <v>566</v>
      </c>
      <c r="E55" s="197">
        <f>E33/E14/2</f>
        <v>0.48576</v>
      </c>
      <c r="F55" s="197">
        <f aca="true" t="shared" si="27" ref="F55:K55">F33/F14/2</f>
        <v>0.57024</v>
      </c>
      <c r="G55" s="197">
        <f t="shared" si="27"/>
        <v>0.8459792</v>
      </c>
      <c r="H55" s="197">
        <f t="shared" si="27"/>
        <v>1.3529296000000002</v>
      </c>
      <c r="I55" s="197">
        <f t="shared" si="27"/>
        <v>1.0258247999999999</v>
      </c>
      <c r="J55" s="197">
        <f t="shared" si="27"/>
        <v>1.25136</v>
      </c>
      <c r="K55" s="197">
        <f t="shared" si="27"/>
        <v>1.3102232000000003</v>
      </c>
      <c r="L55" s="197">
        <f>L33/L14</f>
        <v>3.3651199999999997</v>
      </c>
      <c r="M55" s="197">
        <f>M33/M14</f>
        <v>3.902176457142857</v>
      </c>
    </row>
    <row r="56" spans="1:13" s="71" customFormat="1" ht="37.5" customHeight="1">
      <c r="A56" s="55"/>
      <c r="B56" s="241" t="s">
        <v>573</v>
      </c>
      <c r="C56" s="61" t="s">
        <v>2</v>
      </c>
      <c r="D56" s="62" t="s">
        <v>528</v>
      </c>
      <c r="E56" s="197">
        <f>((E33*(E16+3))/100)/2</f>
        <v>0.06800640000000001</v>
      </c>
      <c r="F56" s="197">
        <f aca="true" t="shared" si="28" ref="F56:K56">((F33*(F16+3))/100)/2</f>
        <v>0.11975039999999998</v>
      </c>
      <c r="G56" s="197">
        <f t="shared" si="28"/>
        <v>0.17765563200000004</v>
      </c>
      <c r="H56" s="197">
        <f t="shared" si="28"/>
        <v>0.284115216</v>
      </c>
      <c r="I56" s="197">
        <f t="shared" si="28"/>
        <v>0.287230944</v>
      </c>
      <c r="J56" s="197">
        <f t="shared" si="28"/>
        <v>0.43797600000000003</v>
      </c>
      <c r="K56" s="197">
        <f t="shared" si="28"/>
        <v>0.5502937440000001</v>
      </c>
      <c r="L56" s="197">
        <f>(L33*(L16+3))/100</f>
        <v>1.4133504</v>
      </c>
      <c r="M56" s="197">
        <f>(M33*(M16+3))/100</f>
        <v>1.912066464</v>
      </c>
    </row>
    <row r="57" spans="1:13" s="255" customFormat="1" ht="37.5" customHeight="1">
      <c r="A57" s="250"/>
      <c r="B57" s="251" t="s">
        <v>574</v>
      </c>
      <c r="C57" s="252" t="s">
        <v>2</v>
      </c>
      <c r="D57" s="253" t="s">
        <v>566</v>
      </c>
      <c r="E57" s="254">
        <f>(E56*'Torsion coeff1 '!B21*100)</f>
        <v>1.1334400000000002</v>
      </c>
      <c r="F57" s="254">
        <f>F56*'Torsion coeff1 '!D21*100</f>
        <v>0.9979199999999997</v>
      </c>
      <c r="G57" s="254">
        <f>G56*'Torsion coeff1 '!D21*100</f>
        <v>1.4804636000000002</v>
      </c>
      <c r="H57" s="254">
        <f>H56*'Torsion coeff1 '!D21*100</f>
        <v>2.3676268</v>
      </c>
      <c r="I57" s="254">
        <f>I56*'Torsion coeff1 '!F21*100</f>
        <v>1.43615472</v>
      </c>
      <c r="J57" s="254">
        <f>J56*'Torsion coeff1 '!H21*100</f>
        <v>1.45992</v>
      </c>
      <c r="K57" s="254">
        <f>K56*'Torsion coeff1 '!J21*100</f>
        <v>1.3102232000000003</v>
      </c>
      <c r="L57" s="254">
        <f>L56*'Torsion coeff1 '!J21*100</f>
        <v>3.3651199999999992</v>
      </c>
      <c r="M57" s="254">
        <f>M56*'Torsion coeff1 '!L21*100</f>
        <v>3.4144044</v>
      </c>
    </row>
    <row r="58" spans="1:13" s="256" customFormat="1" ht="37.5" customHeight="1">
      <c r="A58" s="250"/>
      <c r="B58" s="251" t="s">
        <v>572</v>
      </c>
      <c r="C58" s="252" t="s">
        <v>2</v>
      </c>
      <c r="D58" s="253" t="s">
        <v>566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  <c r="K58" s="254">
        <v>0</v>
      </c>
      <c r="L58" s="254">
        <v>0</v>
      </c>
      <c r="M58" s="254">
        <v>0</v>
      </c>
    </row>
    <row r="59" spans="1:13" s="256" customFormat="1" ht="37.5" customHeight="1">
      <c r="A59" s="250"/>
      <c r="B59" s="251" t="s">
        <v>575</v>
      </c>
      <c r="C59" s="252" t="s">
        <v>2</v>
      </c>
      <c r="D59" s="253" t="s">
        <v>566</v>
      </c>
      <c r="E59" s="257">
        <f>SQRT(E55*E55+E57*E57)</f>
        <v>1.2331459813014842</v>
      </c>
      <c r="F59" s="257">
        <f aca="true" t="shared" si="29" ref="F59:M59">SQRT(F55*F55+F57*F57)</f>
        <v>1.1493554645974409</v>
      </c>
      <c r="G59" s="257">
        <f t="shared" si="29"/>
        <v>1.7051255900248523</v>
      </c>
      <c r="H59" s="257">
        <f t="shared" si="29"/>
        <v>2.7269167876256146</v>
      </c>
      <c r="I59" s="257">
        <f t="shared" si="29"/>
        <v>1.7648957193197898</v>
      </c>
      <c r="J59" s="257">
        <f t="shared" si="29"/>
        <v>1.9228281920130046</v>
      </c>
      <c r="K59" s="257">
        <f t="shared" si="29"/>
        <v>1.8529354191758767</v>
      </c>
      <c r="L59" s="257">
        <f t="shared" si="29"/>
        <v>4.758998343012949</v>
      </c>
      <c r="M59" s="257">
        <f t="shared" si="29"/>
        <v>5.185088090806109</v>
      </c>
    </row>
    <row r="60" spans="1:13" s="256" customFormat="1" ht="37.5" customHeight="1">
      <c r="A60" s="250"/>
      <c r="B60" s="251" t="s">
        <v>576</v>
      </c>
      <c r="C60" s="252" t="s">
        <v>2</v>
      </c>
      <c r="D60" s="253" t="s">
        <v>566</v>
      </c>
      <c r="E60" s="254">
        <f aca="true" t="shared" si="30" ref="E60:M60">1.45*(3.14*E13*E13/4)</f>
        <v>4.553</v>
      </c>
      <c r="F60" s="254">
        <f t="shared" si="30"/>
        <v>4.553</v>
      </c>
      <c r="G60" s="254">
        <f t="shared" si="30"/>
        <v>4.553</v>
      </c>
      <c r="H60" s="254">
        <f t="shared" si="30"/>
        <v>4.553</v>
      </c>
      <c r="I60" s="254">
        <f t="shared" si="30"/>
        <v>4.553</v>
      </c>
      <c r="J60" s="254">
        <f t="shared" si="30"/>
        <v>4.553</v>
      </c>
      <c r="K60" s="254">
        <f t="shared" si="30"/>
        <v>4.553</v>
      </c>
      <c r="L60" s="254">
        <f t="shared" si="30"/>
        <v>4.553</v>
      </c>
      <c r="M60" s="254">
        <f t="shared" si="30"/>
        <v>4.553</v>
      </c>
    </row>
    <row r="61" spans="1:13" s="37" customFormat="1" ht="14.25">
      <c r="A61" s="38"/>
      <c r="B61" s="38"/>
      <c r="C61" s="39"/>
      <c r="D61" s="38"/>
      <c r="E61" s="39"/>
      <c r="F61" s="38"/>
      <c r="G61" s="38"/>
      <c r="H61" s="38"/>
      <c r="I61" s="38"/>
      <c r="J61" s="38"/>
      <c r="K61" s="38"/>
      <c r="L61" s="38"/>
      <c r="M61" s="38"/>
    </row>
    <row r="62" spans="1:13" s="37" customFormat="1" ht="14.25">
      <c r="A62" s="38"/>
      <c r="B62" s="38"/>
      <c r="C62" s="39"/>
      <c r="D62" s="40"/>
      <c r="E62" s="41"/>
      <c r="F62" s="38"/>
      <c r="G62" s="38"/>
      <c r="H62" s="38"/>
      <c r="I62" s="38"/>
      <c r="J62" s="38"/>
      <c r="K62" s="38"/>
      <c r="L62" s="38"/>
      <c r="M62" s="38"/>
    </row>
    <row r="63" spans="1:13" s="37" customFormat="1" ht="14.25">
      <c r="A63" s="38"/>
      <c r="B63" s="38"/>
      <c r="C63" s="38"/>
      <c r="D63" s="38"/>
      <c r="E63" s="39"/>
      <c r="F63" s="38"/>
      <c r="G63" s="38"/>
      <c r="H63" s="38"/>
      <c r="I63" s="38"/>
      <c r="J63" s="38"/>
      <c r="K63" s="38"/>
      <c r="L63" s="38"/>
      <c r="M63" s="38"/>
    </row>
    <row r="64" spans="1:13" s="37" customFormat="1" ht="14.25">
      <c r="A64" s="38"/>
      <c r="B64" s="42"/>
      <c r="C64" s="43"/>
      <c r="D64" s="42"/>
      <c r="E64" s="43"/>
      <c r="F64" s="38"/>
      <c r="G64" s="38"/>
      <c r="H64" s="38"/>
      <c r="I64" s="38"/>
      <c r="J64" s="38"/>
      <c r="K64" s="38"/>
      <c r="L64" s="38"/>
      <c r="M64" s="38"/>
    </row>
    <row r="65" spans="1:13" s="37" customFormat="1" ht="14.25">
      <c r="A65" s="38"/>
      <c r="B65" s="38"/>
      <c r="C65" s="38"/>
      <c r="D65" s="38"/>
      <c r="E65" s="39"/>
      <c r="F65" s="38"/>
      <c r="G65" s="38"/>
      <c r="H65" s="38"/>
      <c r="I65" s="38"/>
      <c r="J65" s="38"/>
      <c r="K65" s="38"/>
      <c r="L65" s="38"/>
      <c r="M65" s="38"/>
    </row>
    <row r="66" spans="1:13" s="37" customFormat="1" ht="14.25">
      <c r="A66" s="38"/>
      <c r="B66" s="38"/>
      <c r="C66" s="38"/>
      <c r="D66" s="38"/>
      <c r="E66" s="39"/>
      <c r="F66" s="38"/>
      <c r="G66" s="38"/>
      <c r="H66" s="38"/>
      <c r="I66" s="38"/>
      <c r="J66" s="38"/>
      <c r="K66" s="38"/>
      <c r="L66" s="38"/>
      <c r="M66" s="38"/>
    </row>
    <row r="67" spans="1:13" s="37" customFormat="1" ht="14.25">
      <c r="A67" s="38"/>
      <c r="B67" s="38"/>
      <c r="C67" s="38"/>
      <c r="D67" s="38"/>
      <c r="E67" s="39"/>
      <c r="F67" s="38"/>
      <c r="G67" s="38"/>
      <c r="H67" s="38"/>
      <c r="I67" s="38"/>
      <c r="J67" s="38"/>
      <c r="K67" s="38"/>
      <c r="L67" s="38"/>
      <c r="M67" s="38"/>
    </row>
    <row r="68" spans="1:13" s="37" customFormat="1" ht="14.25">
      <c r="A68" s="38"/>
      <c r="B68" s="38"/>
      <c r="C68" s="38"/>
      <c r="D68" s="38"/>
      <c r="E68" s="39"/>
      <c r="F68" s="38"/>
      <c r="G68" s="38"/>
      <c r="H68" s="38"/>
      <c r="I68" s="38"/>
      <c r="J68" s="38"/>
      <c r="K68" s="38"/>
      <c r="L68" s="38"/>
      <c r="M68" s="38"/>
    </row>
    <row r="69" spans="1:13" s="37" customFormat="1" ht="14.25">
      <c r="A69" s="38"/>
      <c r="B69" s="38"/>
      <c r="C69" s="38"/>
      <c r="D69" s="38"/>
      <c r="E69" s="39"/>
      <c r="F69" s="38"/>
      <c r="G69" s="38"/>
      <c r="H69" s="38"/>
      <c r="I69" s="38"/>
      <c r="J69" s="38"/>
      <c r="K69" s="38"/>
      <c r="L69" s="38"/>
      <c r="M69" s="38"/>
    </row>
    <row r="70" spans="1:13" s="37" customFormat="1" ht="14.25">
      <c r="A70" s="38"/>
      <c r="B70" s="38"/>
      <c r="C70" s="38"/>
      <c r="D70" s="38"/>
      <c r="E70" s="39"/>
      <c r="F70" s="38"/>
      <c r="G70" s="38"/>
      <c r="H70" s="38"/>
      <c r="I70" s="38"/>
      <c r="J70" s="38"/>
      <c r="K70" s="38"/>
      <c r="L70" s="38"/>
      <c r="M70" s="38"/>
    </row>
    <row r="71" spans="1:13" s="37" customFormat="1" ht="14.25">
      <c r="A71" s="38"/>
      <c r="B71" s="38"/>
      <c r="C71" s="38"/>
      <c r="D71" s="38"/>
      <c r="E71" s="39"/>
      <c r="F71" s="38"/>
      <c r="G71" s="38"/>
      <c r="H71" s="38"/>
      <c r="I71" s="38"/>
      <c r="J71" s="38"/>
      <c r="K71" s="38"/>
      <c r="L71" s="38"/>
      <c r="M71" s="38"/>
    </row>
    <row r="72" spans="1:13" s="37" customFormat="1" ht="14.25">
      <c r="A72" s="38"/>
      <c r="B72" s="38"/>
      <c r="C72" s="38"/>
      <c r="D72" s="38"/>
      <c r="E72" s="39"/>
      <c r="F72" s="38"/>
      <c r="G72" s="38"/>
      <c r="H72" s="38"/>
      <c r="I72" s="38"/>
      <c r="J72" s="38"/>
      <c r="K72" s="38"/>
      <c r="L72" s="38"/>
      <c r="M72" s="38"/>
    </row>
    <row r="73" spans="1:13" s="37" customFormat="1" ht="14.25">
      <c r="A73" s="38"/>
      <c r="B73" s="38"/>
      <c r="C73" s="38"/>
      <c r="D73" s="38"/>
      <c r="E73" s="39"/>
      <c r="F73" s="38"/>
      <c r="G73" s="38"/>
      <c r="H73" s="38"/>
      <c r="I73" s="38"/>
      <c r="J73" s="38"/>
      <c r="K73" s="38"/>
      <c r="L73" s="38"/>
      <c r="M73" s="38"/>
    </row>
    <row r="74" spans="1:13" s="37" customFormat="1" ht="14.25">
      <c r="A74" s="38"/>
      <c r="B74" s="38"/>
      <c r="C74" s="38"/>
      <c r="D74" s="38"/>
      <c r="E74" s="39"/>
      <c r="F74" s="38"/>
      <c r="G74" s="38"/>
      <c r="H74" s="38"/>
      <c r="I74" s="38"/>
      <c r="J74" s="38"/>
      <c r="K74" s="38"/>
      <c r="L74" s="38"/>
      <c r="M74" s="38"/>
    </row>
    <row r="75" spans="1:13" s="37" customFormat="1" ht="14.25">
      <c r="A75" s="38"/>
      <c r="B75" s="38"/>
      <c r="C75" s="38"/>
      <c r="D75" s="38"/>
      <c r="E75" s="39"/>
      <c r="F75" s="38"/>
      <c r="G75" s="38"/>
      <c r="H75" s="38"/>
      <c r="I75" s="38"/>
      <c r="J75" s="38"/>
      <c r="K75" s="38"/>
      <c r="L75" s="38"/>
      <c r="M75" s="38"/>
    </row>
    <row r="76" spans="1:13" s="37" customFormat="1" ht="14.25">
      <c r="A76" s="38"/>
      <c r="B76" s="38"/>
      <c r="C76" s="38"/>
      <c r="D76" s="38"/>
      <c r="E76" s="39"/>
      <c r="F76" s="38"/>
      <c r="G76" s="38"/>
      <c r="H76" s="38"/>
      <c r="I76" s="38"/>
      <c r="J76" s="38"/>
      <c r="K76" s="38"/>
      <c r="L76" s="38"/>
      <c r="M76" s="38"/>
    </row>
    <row r="77" spans="1:13" s="37" customFormat="1" ht="14.25">
      <c r="A77" s="38"/>
      <c r="B77" s="38"/>
      <c r="C77" s="38"/>
      <c r="D77" s="38"/>
      <c r="E77" s="39"/>
      <c r="F77" s="38"/>
      <c r="G77" s="38"/>
      <c r="H77" s="38"/>
      <c r="I77" s="38"/>
      <c r="J77" s="38"/>
      <c r="K77" s="38"/>
      <c r="L77" s="38"/>
      <c r="M77" s="38"/>
    </row>
    <row r="78" spans="1:13" s="37" customFormat="1" ht="14.25">
      <c r="A78" s="38"/>
      <c r="B78" s="38"/>
      <c r="C78" s="38"/>
      <c r="D78" s="38"/>
      <c r="E78" s="39"/>
      <c r="F78" s="38"/>
      <c r="G78" s="38"/>
      <c r="H78" s="38"/>
      <c r="I78" s="38"/>
      <c r="J78" s="38"/>
      <c r="K78" s="38"/>
      <c r="L78" s="38"/>
      <c r="M78" s="38"/>
    </row>
    <row r="79" spans="1:13" s="37" customFormat="1" ht="14.25">
      <c r="A79" s="38"/>
      <c r="B79" s="38"/>
      <c r="C79" s="38"/>
      <c r="D79" s="38"/>
      <c r="E79" s="39"/>
      <c r="F79" s="38"/>
      <c r="G79" s="38"/>
      <c r="H79" s="38"/>
      <c r="I79" s="38"/>
      <c r="J79" s="38"/>
      <c r="K79" s="38"/>
      <c r="L79" s="38"/>
      <c r="M79" s="38"/>
    </row>
    <row r="80" spans="1:13" s="37" customFormat="1" ht="14.25">
      <c r="A80" s="38"/>
      <c r="B80" s="38"/>
      <c r="C80" s="38"/>
      <c r="D80" s="38"/>
      <c r="E80" s="39"/>
      <c r="F80" s="38"/>
      <c r="G80" s="38"/>
      <c r="H80" s="38"/>
      <c r="I80" s="38"/>
      <c r="J80" s="38"/>
      <c r="K80" s="38"/>
      <c r="L80" s="38"/>
      <c r="M80" s="38"/>
    </row>
    <row r="81" s="37" customFormat="1" ht="14.25">
      <c r="E81" s="44"/>
    </row>
    <row r="82" s="37" customFormat="1" ht="14.25">
      <c r="E82" s="44"/>
    </row>
    <row r="83" s="37" customFormat="1" ht="14.25">
      <c r="E83" s="44"/>
    </row>
    <row r="84" s="37" customFormat="1" ht="14.25">
      <c r="E84" s="44"/>
    </row>
    <row r="85" s="37" customFormat="1" ht="14.25">
      <c r="E85" s="44"/>
    </row>
    <row r="86" s="37" customFormat="1" ht="14.25">
      <c r="E86" s="44"/>
    </row>
    <row r="87" s="37" customFormat="1" ht="14.25">
      <c r="E87" s="44"/>
    </row>
    <row r="88" s="37" customFormat="1" ht="14.25">
      <c r="E88" s="44"/>
    </row>
    <row r="89" s="37" customFormat="1" ht="14.25">
      <c r="E89" s="44"/>
    </row>
    <row r="90" s="37" customFormat="1" ht="14.25">
      <c r="E90" s="44"/>
    </row>
    <row r="91" s="37" customFormat="1" ht="14.25">
      <c r="E91" s="44"/>
    </row>
    <row r="92" s="37" customFormat="1" ht="14.25">
      <c r="E92" s="44"/>
    </row>
    <row r="93" s="37" customFormat="1" ht="14.25">
      <c r="E93" s="44"/>
    </row>
    <row r="94" s="37" customFormat="1" ht="14.25">
      <c r="E94" s="44"/>
    </row>
    <row r="95" s="37" customFormat="1" ht="14.25">
      <c r="E95" s="44"/>
    </row>
    <row r="96" s="37" customFormat="1" ht="14.25">
      <c r="E96" s="44"/>
    </row>
    <row r="97" s="37" customFormat="1" ht="14.25">
      <c r="E97" s="44"/>
    </row>
    <row r="98" s="37" customFormat="1" ht="14.25">
      <c r="E98" s="44"/>
    </row>
    <row r="99" s="37" customFormat="1" ht="14.25">
      <c r="E99" s="44"/>
    </row>
    <row r="100" s="37" customFormat="1" ht="14.25">
      <c r="E100" s="44"/>
    </row>
    <row r="101" s="37" customFormat="1" ht="14.25">
      <c r="E101" s="44"/>
    </row>
    <row r="102" s="37" customFormat="1" ht="14.25">
      <c r="E102" s="44"/>
    </row>
    <row r="103" s="37" customFormat="1" ht="14.25">
      <c r="E103" s="44"/>
    </row>
    <row r="104" s="37" customFormat="1" ht="14.25">
      <c r="E104" s="44"/>
    </row>
    <row r="105" s="37" customFormat="1" ht="14.25">
      <c r="E105" s="44"/>
    </row>
    <row r="106" s="37" customFormat="1" ht="14.25">
      <c r="E106" s="44"/>
    </row>
    <row r="107" s="37" customFormat="1" ht="14.25">
      <c r="E107" s="44"/>
    </row>
    <row r="108" s="37" customFormat="1" ht="14.25">
      <c r="E108" s="44"/>
    </row>
    <row r="109" s="37" customFormat="1" ht="14.25">
      <c r="E109" s="44"/>
    </row>
    <row r="110" s="37" customFormat="1" ht="14.25">
      <c r="E110" s="44"/>
    </row>
    <row r="111" s="37" customFormat="1" ht="14.25">
      <c r="E111" s="44"/>
    </row>
    <row r="112" s="37" customFormat="1" ht="14.25">
      <c r="E112" s="44"/>
    </row>
    <row r="113" s="37" customFormat="1" ht="14.25">
      <c r="E113" s="44"/>
    </row>
    <row r="114" s="37" customFormat="1" ht="14.25">
      <c r="E114" s="44"/>
    </row>
    <row r="115" s="37" customFormat="1" ht="14.25">
      <c r="E115" s="44"/>
    </row>
    <row r="116" s="37" customFormat="1" ht="14.25">
      <c r="E116" s="44"/>
    </row>
    <row r="117" s="37" customFormat="1" ht="14.25">
      <c r="E117" s="44"/>
    </row>
    <row r="118" s="37" customFormat="1" ht="14.25">
      <c r="E118" s="44"/>
    </row>
    <row r="119" s="37" customFormat="1" ht="14.25">
      <c r="E119" s="44"/>
    </row>
    <row r="120" s="37" customFormat="1" ht="14.25">
      <c r="E120" s="44"/>
    </row>
  </sheetData>
  <dataValidations count="1">
    <dataValidation type="list" allowBlank="1" showInputMessage="1" showErrorMessage="1" sqref="E8:M8">
      <formula1>st_name</formula1>
    </dataValidation>
  </dataValidations>
  <printOptions/>
  <pageMargins left="0.94" right="0.41" top="0.37" bottom="0.33" header="0.26" footer="0.25"/>
  <pageSetup fitToHeight="1" fitToWidth="1" horizontalDpi="600" verticalDpi="600" orientation="landscape" paperSize="9" scale="25" r:id="rId4"/>
  <drawing r:id="rId3"/>
  <legacyDrawing r:id="rId2"/>
  <oleObjects>
    <oleObject progId="MSPhotoEd.3" shapeId="101068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C15" sqref="C15"/>
    </sheetView>
  </sheetViews>
  <sheetFormatPr defaultColWidth="9.140625" defaultRowHeight="21.75"/>
  <cols>
    <col min="1" max="1" width="21.00390625" style="0" customWidth="1"/>
    <col min="4" max="5" width="9.140625" style="33" customWidth="1"/>
  </cols>
  <sheetData>
    <row r="1" spans="2:12" ht="16.5" customHeight="1">
      <c r="B1" s="34" t="s">
        <v>567</v>
      </c>
      <c r="C1" s="34"/>
      <c r="D1" s="35" t="s">
        <v>568</v>
      </c>
      <c r="E1" s="35"/>
      <c r="F1" s="34" t="s">
        <v>569</v>
      </c>
      <c r="H1" s="34" t="s">
        <v>591</v>
      </c>
      <c r="J1" s="34" t="s">
        <v>592</v>
      </c>
      <c r="L1" s="34" t="s">
        <v>668</v>
      </c>
    </row>
    <row r="2" spans="2:12" ht="16.5" customHeight="1">
      <c r="B2" s="33">
        <v>2</v>
      </c>
      <c r="D2" s="33">
        <v>3</v>
      </c>
      <c r="F2" s="33">
        <v>4</v>
      </c>
      <c r="H2" s="33">
        <v>5</v>
      </c>
      <c r="J2" s="33">
        <v>6</v>
      </c>
      <c r="L2" s="33">
        <v>7</v>
      </c>
    </row>
    <row r="3" spans="2:12" ht="16.5" customHeight="1">
      <c r="B3" s="33"/>
      <c r="C3" s="33"/>
      <c r="F3" s="33"/>
      <c r="H3" s="33"/>
      <c r="J3" s="33"/>
      <c r="L3" s="33"/>
    </row>
    <row r="4" spans="2:12" ht="16.5" customHeight="1">
      <c r="B4" s="33"/>
      <c r="C4" s="33"/>
      <c r="F4" s="33"/>
      <c r="H4" s="33"/>
      <c r="J4" s="33"/>
      <c r="L4" s="33"/>
    </row>
    <row r="5" spans="2:12" ht="16.5" customHeight="1">
      <c r="B5" s="33"/>
      <c r="C5" s="33"/>
      <c r="F5" s="33"/>
      <c r="H5" s="33"/>
      <c r="J5" s="33"/>
      <c r="L5" s="33"/>
    </row>
    <row r="6" spans="2:12" ht="16.5" customHeight="1">
      <c r="B6" s="33">
        <v>6</v>
      </c>
      <c r="C6" s="33"/>
      <c r="D6" s="33">
        <v>6</v>
      </c>
      <c r="F6" s="33">
        <v>6</v>
      </c>
      <c r="H6" s="33">
        <v>6</v>
      </c>
      <c r="J6" s="33">
        <v>6</v>
      </c>
      <c r="L6" s="33">
        <v>6</v>
      </c>
    </row>
    <row r="7" spans="2:12" ht="16.5" customHeight="1">
      <c r="B7" s="33"/>
      <c r="C7" s="33"/>
      <c r="F7" s="33"/>
      <c r="H7" s="33"/>
      <c r="J7" s="33"/>
      <c r="L7" s="33"/>
    </row>
    <row r="8" spans="4:12" ht="16.5" customHeight="1">
      <c r="D8" s="33">
        <v>6</v>
      </c>
      <c r="F8" s="33">
        <v>6</v>
      </c>
      <c r="H8" s="33">
        <v>6</v>
      </c>
      <c r="J8" s="33">
        <v>6</v>
      </c>
      <c r="L8" s="33">
        <v>6</v>
      </c>
    </row>
    <row r="9" spans="6:12" ht="16.5" customHeight="1">
      <c r="F9" s="33"/>
      <c r="H9" s="33"/>
      <c r="J9" s="33"/>
      <c r="L9" s="33"/>
    </row>
    <row r="10" spans="6:12" ht="16.5" customHeight="1">
      <c r="F10" s="33">
        <v>6</v>
      </c>
      <c r="H10" s="33">
        <v>6</v>
      </c>
      <c r="J10" s="33">
        <v>6</v>
      </c>
      <c r="L10" s="33">
        <v>6</v>
      </c>
    </row>
    <row r="11" spans="6:12" ht="16.5" customHeight="1">
      <c r="F11" s="33"/>
      <c r="H11" s="33"/>
      <c r="J11" s="33"/>
      <c r="L11" s="33"/>
    </row>
    <row r="12" spans="6:12" ht="16.5" customHeight="1">
      <c r="F12" s="33"/>
      <c r="H12" s="33">
        <v>6</v>
      </c>
      <c r="J12" s="33">
        <v>6</v>
      </c>
      <c r="L12" s="33">
        <v>6</v>
      </c>
    </row>
    <row r="13" spans="6:12" ht="16.5" customHeight="1">
      <c r="F13" s="33"/>
      <c r="H13" s="33"/>
      <c r="J13" s="33"/>
      <c r="L13" s="33"/>
    </row>
    <row r="14" spans="6:12" ht="16.5" customHeight="1">
      <c r="F14" s="33"/>
      <c r="H14" s="33"/>
      <c r="J14" s="33">
        <v>6</v>
      </c>
      <c r="L14" s="33">
        <v>6</v>
      </c>
    </row>
    <row r="15" spans="6:12" ht="16.5" customHeight="1">
      <c r="F15" s="33"/>
      <c r="H15" s="33"/>
      <c r="J15" s="33"/>
      <c r="L15" s="33"/>
    </row>
    <row r="16" spans="6:12" ht="16.5" customHeight="1">
      <c r="F16" s="33"/>
      <c r="H16" s="33"/>
      <c r="J16" s="33"/>
      <c r="L16" s="33">
        <v>6</v>
      </c>
    </row>
    <row r="17" spans="6:12" ht="16.5" customHeight="1">
      <c r="F17" s="33"/>
      <c r="H17" s="33"/>
      <c r="J17" s="33"/>
      <c r="L17" s="33"/>
    </row>
    <row r="18" spans="6:12" ht="16.5" customHeight="1">
      <c r="F18" s="33"/>
      <c r="H18" s="33"/>
      <c r="J18" s="33"/>
      <c r="L18" s="33"/>
    </row>
    <row r="19" spans="1:12" ht="25.5" customHeight="1">
      <c r="A19" s="161" t="s">
        <v>662</v>
      </c>
      <c r="B19">
        <f>2*(B6/2)^2</f>
        <v>18</v>
      </c>
      <c r="D19" s="33">
        <f>2*(D6*D6)</f>
        <v>72</v>
      </c>
      <c r="F19">
        <f>2*(F6+0.5*F8)^2+2*(0.5*F8)^2</f>
        <v>180</v>
      </c>
      <c r="H19">
        <f>2*(H6+H8)^2+2*(H8*H8)</f>
        <v>360</v>
      </c>
      <c r="J19">
        <f>2*(J6+J8+0.5*J10)^2+2*(J8+0.5*J10)^2+2*(J10*0.5)^2</f>
        <v>630</v>
      </c>
      <c r="L19">
        <f>2*(L6+L8+L10)^2+2*(L8+L10)^2+2*(L10)^2</f>
        <v>1008</v>
      </c>
    </row>
    <row r="20" ht="16.5" customHeight="1">
      <c r="A20" s="161" t="s">
        <v>570</v>
      </c>
    </row>
    <row r="21" spans="1:12" ht="16.5" customHeight="1">
      <c r="A21" s="161" t="s">
        <v>571</v>
      </c>
      <c r="B21">
        <f>0.5*B6/B19</f>
        <v>0.16666666666666666</v>
      </c>
      <c r="D21">
        <f>(D6)/D19</f>
        <v>0.08333333333333333</v>
      </c>
      <c r="E21"/>
      <c r="F21">
        <f>(0.5*F8+F6)/F19</f>
        <v>0.05</v>
      </c>
      <c r="H21">
        <f>(H6+H8)/H19</f>
        <v>0.03333333333333333</v>
      </c>
      <c r="J21">
        <f>(J6+J8+0.5*J10)/J19</f>
        <v>0.023809523809523808</v>
      </c>
      <c r="L21">
        <f>(L6+L8+L10)/L19</f>
        <v>0.017857142857142856</v>
      </c>
    </row>
  </sheetData>
  <printOptions/>
  <pageMargins left="0.75" right="0.75" top="0.95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23" sqref="D23"/>
    </sheetView>
  </sheetViews>
  <sheetFormatPr defaultColWidth="9.140625" defaultRowHeight="21.75"/>
  <cols>
    <col min="1" max="1" width="21.00390625" style="0" customWidth="1"/>
    <col min="4" max="5" width="9.140625" style="33" customWidth="1"/>
  </cols>
  <sheetData>
    <row r="1" spans="2:12" ht="16.5" customHeight="1">
      <c r="B1" s="34" t="s">
        <v>567</v>
      </c>
      <c r="C1" s="34"/>
      <c r="D1" s="35" t="s">
        <v>568</v>
      </c>
      <c r="E1" s="35"/>
      <c r="F1" s="34" t="s">
        <v>569</v>
      </c>
      <c r="H1" s="34" t="s">
        <v>591</v>
      </c>
      <c r="J1" s="34" t="s">
        <v>592</v>
      </c>
      <c r="L1" s="34" t="s">
        <v>669</v>
      </c>
    </row>
    <row r="2" spans="2:12" ht="16.5" customHeight="1">
      <c r="B2" s="33">
        <v>2</v>
      </c>
      <c r="D2" s="33">
        <v>3</v>
      </c>
      <c r="F2" s="33">
        <v>4</v>
      </c>
      <c r="H2" s="33">
        <v>5</v>
      </c>
      <c r="J2" s="33">
        <v>6</v>
      </c>
      <c r="L2" s="33">
        <v>7</v>
      </c>
    </row>
    <row r="3" spans="2:12" ht="16.5" customHeight="1">
      <c r="B3" s="33"/>
      <c r="C3" s="33"/>
      <c r="F3" s="33"/>
      <c r="H3" s="33"/>
      <c r="J3" s="33"/>
      <c r="L3" s="33"/>
    </row>
    <row r="4" spans="2:12" ht="16.5" customHeight="1">
      <c r="B4" s="49">
        <v>6</v>
      </c>
      <c r="C4" s="49"/>
      <c r="D4" s="49">
        <v>6</v>
      </c>
      <c r="E4" s="49"/>
      <c r="F4" s="49">
        <v>6</v>
      </c>
      <c r="G4" s="50"/>
      <c r="H4" s="49">
        <v>6</v>
      </c>
      <c r="I4" s="50"/>
      <c r="J4" s="49">
        <v>6</v>
      </c>
      <c r="L4" s="49">
        <v>6</v>
      </c>
    </row>
    <row r="5" spans="2:12" ht="16.5" customHeight="1">
      <c r="B5" s="46"/>
      <c r="C5" s="46"/>
      <c r="D5" s="46"/>
      <c r="E5" s="46"/>
      <c r="F5" s="46"/>
      <c r="G5" s="47"/>
      <c r="H5" s="46"/>
      <c r="I5" s="47"/>
      <c r="J5" s="48"/>
      <c r="L5" s="48"/>
    </row>
    <row r="6" spans="2:12" ht="16.5" customHeight="1">
      <c r="B6" s="48">
        <v>6</v>
      </c>
      <c r="C6" s="46"/>
      <c r="D6" s="48">
        <v>6</v>
      </c>
      <c r="E6" s="46"/>
      <c r="F6" s="48">
        <v>6</v>
      </c>
      <c r="G6" s="47"/>
      <c r="H6" s="48">
        <v>6</v>
      </c>
      <c r="I6" s="47"/>
      <c r="J6" s="48">
        <v>6</v>
      </c>
      <c r="L6" s="48">
        <v>6</v>
      </c>
    </row>
    <row r="7" spans="2:12" ht="16.5" customHeight="1">
      <c r="B7" s="46"/>
      <c r="C7" s="46"/>
      <c r="D7" s="46"/>
      <c r="E7" s="46"/>
      <c r="F7" s="48"/>
      <c r="G7" s="47"/>
      <c r="H7" s="48"/>
      <c r="I7" s="47"/>
      <c r="J7" s="48"/>
      <c r="L7" s="48"/>
    </row>
    <row r="8" spans="2:12" ht="16.5" customHeight="1">
      <c r="B8" s="47"/>
      <c r="C8" s="47"/>
      <c r="D8" s="48">
        <v>6</v>
      </c>
      <c r="E8" s="46"/>
      <c r="F8" s="48">
        <v>6</v>
      </c>
      <c r="G8" s="47"/>
      <c r="H8" s="48">
        <v>6</v>
      </c>
      <c r="I8" s="47"/>
      <c r="J8" s="48">
        <v>6</v>
      </c>
      <c r="L8" s="48">
        <v>6</v>
      </c>
    </row>
    <row r="9" spans="2:12" ht="16.5" customHeight="1">
      <c r="B9" s="47"/>
      <c r="C9" s="47"/>
      <c r="D9" s="46"/>
      <c r="E9" s="46"/>
      <c r="F9" s="48"/>
      <c r="G9" s="47"/>
      <c r="H9" s="48"/>
      <c r="I9" s="47"/>
      <c r="J9" s="48"/>
      <c r="L9" s="48"/>
    </row>
    <row r="10" spans="2:12" ht="16.5" customHeight="1">
      <c r="B10" s="47"/>
      <c r="C10" s="47"/>
      <c r="D10" s="46"/>
      <c r="E10" s="46"/>
      <c r="F10" s="48">
        <v>6</v>
      </c>
      <c r="G10" s="47"/>
      <c r="H10" s="48">
        <v>6</v>
      </c>
      <c r="I10" s="47"/>
      <c r="J10" s="48">
        <v>6</v>
      </c>
      <c r="L10" s="48">
        <v>6</v>
      </c>
    </row>
    <row r="11" spans="2:12" ht="16.5" customHeight="1">
      <c r="B11" s="47"/>
      <c r="C11" s="47"/>
      <c r="D11" s="46"/>
      <c r="E11" s="46"/>
      <c r="F11" s="46"/>
      <c r="G11" s="47"/>
      <c r="H11" s="48"/>
      <c r="I11" s="47"/>
      <c r="J11" s="48"/>
      <c r="L11" s="48"/>
    </row>
    <row r="12" spans="2:12" ht="16.5" customHeight="1">
      <c r="B12" s="47"/>
      <c r="C12" s="47"/>
      <c r="D12" s="46"/>
      <c r="E12" s="46"/>
      <c r="F12" s="46"/>
      <c r="G12" s="47"/>
      <c r="H12" s="48">
        <v>6</v>
      </c>
      <c r="I12" s="47"/>
      <c r="J12" s="48">
        <v>6</v>
      </c>
      <c r="L12" s="48">
        <v>6</v>
      </c>
    </row>
    <row r="13" spans="2:12" ht="16.5" customHeight="1">
      <c r="B13" s="47"/>
      <c r="C13" s="47"/>
      <c r="D13" s="46"/>
      <c r="E13" s="46"/>
      <c r="F13" s="46"/>
      <c r="G13" s="47"/>
      <c r="H13" s="46"/>
      <c r="I13" s="47"/>
      <c r="J13" s="48"/>
      <c r="L13" s="48"/>
    </row>
    <row r="14" spans="2:12" ht="16.5" customHeight="1">
      <c r="B14" s="47"/>
      <c r="C14" s="47"/>
      <c r="D14" s="46"/>
      <c r="E14" s="46"/>
      <c r="F14" s="46"/>
      <c r="G14" s="47"/>
      <c r="H14" s="46"/>
      <c r="I14" s="47"/>
      <c r="J14" s="48">
        <v>6</v>
      </c>
      <c r="L14" s="48">
        <v>6</v>
      </c>
    </row>
    <row r="15" spans="2:12" ht="16.5" customHeight="1">
      <c r="B15" s="47"/>
      <c r="C15" s="47"/>
      <c r="D15" s="46"/>
      <c r="E15" s="46"/>
      <c r="F15" s="46"/>
      <c r="G15" s="47"/>
      <c r="H15" s="46"/>
      <c r="I15" s="47"/>
      <c r="J15" s="48"/>
      <c r="L15" s="48"/>
    </row>
    <row r="16" spans="2:12" ht="16.5" customHeight="1">
      <c r="B16" s="47"/>
      <c r="C16" s="47"/>
      <c r="D16" s="46"/>
      <c r="E16" s="46"/>
      <c r="F16" s="46"/>
      <c r="G16" s="47"/>
      <c r="H16" s="46"/>
      <c r="I16" s="47"/>
      <c r="J16" s="48"/>
      <c r="L16" s="48">
        <v>6</v>
      </c>
    </row>
    <row r="17" spans="6:12" ht="16.5" customHeight="1">
      <c r="F17" s="33"/>
      <c r="H17" s="33"/>
      <c r="J17" s="33"/>
      <c r="L17" s="33"/>
    </row>
    <row r="18" spans="1:12" ht="25.5" customHeight="1">
      <c r="A18" s="161" t="s">
        <v>582</v>
      </c>
      <c r="B18">
        <f>4*(B6/2)^2+4*(0.5*B4)^2</f>
        <v>72</v>
      </c>
      <c r="D18" s="164">
        <f>4*(D6)^2+6*(0.5*D4)^2</f>
        <v>198</v>
      </c>
      <c r="F18">
        <f>4*(F6+0.5*F8)^2+4*(0.5*F8)^2+8*(0.5*F4)^2</f>
        <v>432</v>
      </c>
      <c r="H18">
        <f>4*(H6+H8)^2+4*(H8^2)+10*(0.5*H4)^2</f>
        <v>810</v>
      </c>
      <c r="J18">
        <f>4*(J6+J8+0.5*J10)^2+4*(J8+0.5*J10)^2+4*(J10*0.5)^2+12*(0.5*J4)^2</f>
        <v>1368</v>
      </c>
      <c r="L18">
        <f>4*(L6+L8+L10)^2+4*(L8+L10)^2+4*(L10)^2+14*(0.5*L4)^2</f>
        <v>2142</v>
      </c>
    </row>
    <row r="19" spans="1:4" ht="16.5" customHeight="1">
      <c r="A19" s="161" t="s">
        <v>570</v>
      </c>
      <c r="D19" s="164"/>
    </row>
    <row r="20" spans="1:12" ht="16.5" customHeight="1">
      <c r="A20" s="161" t="s">
        <v>571</v>
      </c>
      <c r="B20">
        <f>0.5*$B$6/B18</f>
        <v>0.041666666666666664</v>
      </c>
      <c r="D20" s="165">
        <f>(D6)/D18</f>
        <v>0.030303030303030304</v>
      </c>
      <c r="E20"/>
      <c r="F20">
        <f>(0.5*F8+F6)/F18</f>
        <v>0.020833333333333332</v>
      </c>
      <c r="H20">
        <f>(H6+H8)/H18</f>
        <v>0.014814814814814815</v>
      </c>
      <c r="J20">
        <f>(J6+J8+0.5*J10)/J18</f>
        <v>0.010964912280701754</v>
      </c>
      <c r="L20">
        <f>(L6+L8+L10)/L18</f>
        <v>0.008403361344537815</v>
      </c>
    </row>
    <row r="21" spans="1:12" ht="21.75">
      <c r="A21" s="161" t="s">
        <v>593</v>
      </c>
      <c r="B21">
        <f>0.5*B4/B18</f>
        <v>0.041666666666666664</v>
      </c>
      <c r="D21" s="165">
        <f>0.5*D4/D18</f>
        <v>0.015151515151515152</v>
      </c>
      <c r="E21"/>
      <c r="F21">
        <f>0.5*F4/F18</f>
        <v>0.006944444444444444</v>
      </c>
      <c r="H21">
        <f>0.5*H4/H18</f>
        <v>0.003703703703703704</v>
      </c>
      <c r="J21">
        <f>0.5*J4/J18</f>
        <v>0.0021929824561403508</v>
      </c>
      <c r="L21">
        <f>0.5*L4/L18</f>
        <v>0.0014005602240896359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narate</cp:lastModifiedBy>
  <cp:lastPrinted>2007-02-26T03:17:13Z</cp:lastPrinted>
  <dcterms:created xsi:type="dcterms:W3CDTF">2000-01-07T03:26:28Z</dcterms:created>
  <dcterms:modified xsi:type="dcterms:W3CDTF">2007-02-26T03:17:23Z</dcterms:modified>
  <cp:category/>
  <cp:version/>
  <cp:contentType/>
  <cp:contentStatus/>
</cp:coreProperties>
</file>