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15" windowHeight="5970" activeTab="1"/>
  </bookViews>
  <sheets>
    <sheet name="area" sheetId="1" r:id="rId1"/>
    <sheet name="data" sheetId="2" r:id="rId2"/>
    <sheet name="น้ำเสีย" sheetId="3" r:id="rId3"/>
    <sheet name="Backfiushing" sheetId="4" r:id="rId4"/>
    <sheet name="ระเหย" sheetId="5" r:id="rId5"/>
  </sheets>
  <externalReferences>
    <externalReference r:id="rId8"/>
  </externalReferences>
  <definedNames>
    <definedName name="_xlnm.Print_Area" localSheetId="0">'area'!$A$1:$Q$37</definedName>
    <definedName name="_xlnm.Print_Area" localSheetId="1">'data'!$A$6:$I$64</definedName>
    <definedName name="_xlnm.Print_Area" localSheetId="2">'น้ำเสีย'!$A$1:$I$44</definedName>
    <definedName name="_xlnm.Print_Titles" localSheetId="0">'area'!$1:$5</definedName>
    <definedName name="_xlnm.Print_Titles" localSheetId="1">'data'!$1:$5</definedName>
  </definedNames>
  <calcPr fullCalcOnLoad="1"/>
</workbook>
</file>

<file path=xl/sharedStrings.xml><?xml version="1.0" encoding="utf-8"?>
<sst xmlns="http://schemas.openxmlformats.org/spreadsheetml/2006/main" count="388" uniqueCount="231">
  <si>
    <t xml:space="preserve">        ท่อระบายน้ำในโครงการ</t>
  </si>
  <si>
    <t>1.  ข้อมูลทั่วไป</t>
  </si>
  <si>
    <t>2. ข้อมูลและเงื่อนไขการออกแบบ</t>
  </si>
  <si>
    <t>=</t>
  </si>
  <si>
    <t xml:space="preserve">  ตารางเมตร</t>
  </si>
  <si>
    <t xml:space="preserve">  %</t>
  </si>
  <si>
    <t xml:space="preserve">รวมเป็นพื้นที่โครงการทั้งสิ้น  </t>
  </si>
  <si>
    <t xml:space="preserve">Cofficient  of  Runoff  :  C  </t>
  </si>
  <si>
    <t xml:space="preserve">Return  Period  </t>
  </si>
  <si>
    <t xml:space="preserve">  ปี</t>
  </si>
  <si>
    <t xml:space="preserve">Rainfall  Intensity  Rate  :  I  </t>
  </si>
  <si>
    <t xml:space="preserve">  มม./วินาที</t>
  </si>
  <si>
    <t xml:space="preserve">ความเร็วการไหลในท่อต้องไม่น้อยกว่า  </t>
  </si>
  <si>
    <t xml:space="preserve">  ม./วินาที</t>
  </si>
  <si>
    <t>3. คำนวณปริมาณน้ำฝนสูงสุดที่ไหลในท่อ  (Q1)</t>
  </si>
  <si>
    <t>Retional  Method</t>
  </si>
  <si>
    <t xml:space="preserve">Q  </t>
  </si>
  <si>
    <t>When</t>
  </si>
  <si>
    <t>Q  =</t>
  </si>
  <si>
    <t xml:space="preserve">   Peak  Runoff    -  cu.m./sec.</t>
  </si>
  <si>
    <t>C  =</t>
  </si>
  <si>
    <t xml:space="preserve">   Coefficient  of  Runoff</t>
  </si>
  <si>
    <t xml:space="preserve">   Rainfall  Intersity  Rate  -  mm./hr</t>
  </si>
  <si>
    <t>I  =</t>
  </si>
  <si>
    <t>A  =</t>
  </si>
  <si>
    <t xml:space="preserve">   Drainge  Area  -  sq.m.</t>
  </si>
  <si>
    <r>
      <t xml:space="preserve">    0.278 C I A x 10</t>
    </r>
    <r>
      <rPr>
        <vertAlign val="superscript"/>
        <sz val="14"/>
        <rFont val="Cordia New"/>
        <family val="2"/>
      </rPr>
      <t>-6</t>
    </r>
  </si>
  <si>
    <t xml:space="preserve">  ลิตร/คน/วัน</t>
  </si>
  <si>
    <t xml:space="preserve">ร้อยละของปริมาณน้ำเสียที่บำบัดต่อปริมาณการใช้น้ำ  </t>
  </si>
  <si>
    <t xml:space="preserve">ปริมาณน้ำเสียที่บำบัดแล้วต่อหน่วย  </t>
  </si>
  <si>
    <t xml:space="preserve">  ลิตร/วัน</t>
  </si>
  <si>
    <t xml:space="preserve">  ลบ.ม./วินาที</t>
  </si>
  <si>
    <t xml:space="preserve">กำหนดอัตราการซึม  </t>
  </si>
  <si>
    <t xml:space="preserve">  ลบ.ม./วัน/กม.</t>
  </si>
  <si>
    <t xml:space="preserve">   100 / (24x3600)</t>
  </si>
  <si>
    <t xml:space="preserve">  ลบ.ม./วินาที/กม.</t>
  </si>
  <si>
    <t xml:space="preserve">ปริมาณน้ำซึมสำหรับออกแบบ  </t>
  </si>
  <si>
    <t xml:space="preserve"> x ความยาวสะสม</t>
  </si>
  <si>
    <t>Manning  Formula</t>
  </si>
  <si>
    <r>
      <t xml:space="preserve">   (A.R</t>
    </r>
    <r>
      <rPr>
        <vertAlign val="superscript"/>
        <sz val="14"/>
        <rFont val="Cordia New"/>
        <family val="2"/>
      </rPr>
      <t>2/3</t>
    </r>
    <r>
      <rPr>
        <sz val="14"/>
        <rFont val="Cordia New"/>
        <family val="0"/>
      </rPr>
      <t>.S</t>
    </r>
    <r>
      <rPr>
        <vertAlign val="superscript"/>
        <sz val="14"/>
        <rFont val="Cordia New"/>
        <family val="2"/>
      </rPr>
      <t>1/2</t>
    </r>
    <r>
      <rPr>
        <sz val="14"/>
        <rFont val="Cordia New"/>
        <family val="2"/>
      </rPr>
      <t>) / n</t>
    </r>
  </si>
  <si>
    <t xml:space="preserve">  ปริมาณน้ำสูงสุดในท่อ  (Q1 + Q2 + Q3)</t>
  </si>
  <si>
    <t>n  =</t>
  </si>
  <si>
    <t xml:space="preserve">  สัมประสิทธิความขรุขระของผิวท่อ</t>
  </si>
  <si>
    <t>R  =</t>
  </si>
  <si>
    <t xml:space="preserve">  รัศมีชลศาสตร์</t>
  </si>
  <si>
    <t>S  =</t>
  </si>
  <si>
    <t xml:space="preserve">  ความลาดชันของท่อ</t>
  </si>
  <si>
    <t xml:space="preserve">  พื้นที่หน้าตัดของท่อ</t>
  </si>
  <si>
    <t>D  =</t>
  </si>
  <si>
    <t xml:space="preserve">  เส้นผ่าศูนย์กลางของท่อ</t>
  </si>
  <si>
    <t>ลบ.ม./วินาที</t>
  </si>
  <si>
    <t>เมตร</t>
  </si>
  <si>
    <t>ม./ม.</t>
  </si>
  <si>
    <t>ตารางเมตร</t>
  </si>
  <si>
    <t>แทนค่าใน  Manning  Formula</t>
  </si>
  <si>
    <t xml:space="preserve">D  </t>
  </si>
  <si>
    <r>
      <t xml:space="preserve">   (1/n) R</t>
    </r>
    <r>
      <rPr>
        <vertAlign val="superscript"/>
        <sz val="14"/>
        <rFont val="Cordia New"/>
        <family val="2"/>
      </rPr>
      <t>2/3</t>
    </r>
    <r>
      <rPr>
        <sz val="14"/>
        <rFont val="Cordia New"/>
        <family val="0"/>
      </rPr>
      <t>.S</t>
    </r>
    <r>
      <rPr>
        <vertAlign val="superscript"/>
        <sz val="14"/>
        <rFont val="Cordia New"/>
        <family val="2"/>
      </rPr>
      <t>1/2</t>
    </r>
  </si>
  <si>
    <t xml:space="preserve">V  </t>
  </si>
  <si>
    <t xml:space="preserve">  เมตร/วินาที</t>
  </si>
  <si>
    <t>ตารางคำนวณขนาดท่อระบายน้ำ</t>
  </si>
  <si>
    <t xml:space="preserve">   I     =  </t>
  </si>
  <si>
    <t xml:space="preserve">mm/hr.  ,  </t>
  </si>
  <si>
    <t xml:space="preserve">   C    =</t>
  </si>
  <si>
    <t>ปริมาณน้ำซึม   =</t>
  </si>
  <si>
    <t xml:space="preserve">  L</t>
  </si>
  <si>
    <t xml:space="preserve">ACCU. L  </t>
  </si>
  <si>
    <t>ACCU. A</t>
  </si>
  <si>
    <t>STORM WATER</t>
  </si>
  <si>
    <t>SEWAGE</t>
  </si>
  <si>
    <t>INFILRATION</t>
  </si>
  <si>
    <t>TOTAL Q</t>
  </si>
  <si>
    <t xml:space="preserve">  SLOPE</t>
  </si>
  <si>
    <t>PIPE DIA.</t>
  </si>
  <si>
    <t>COMPUTED</t>
  </si>
  <si>
    <t>VELOCITY</t>
  </si>
  <si>
    <t>(m.)</t>
  </si>
  <si>
    <t xml:space="preserve">   (m.)</t>
  </si>
  <si>
    <t xml:space="preserve">  (sq.m.)</t>
  </si>
  <si>
    <t xml:space="preserve">   Q1 (m.3/Sec)</t>
  </si>
  <si>
    <t>Q2(m3/Sec)</t>
  </si>
  <si>
    <t xml:space="preserve">  Q3(m.3/Sec)</t>
  </si>
  <si>
    <t xml:space="preserve"> (m.3/Sec)</t>
  </si>
  <si>
    <t>S (m/m)</t>
  </si>
  <si>
    <t xml:space="preserve">  D.(m.)</t>
  </si>
  <si>
    <t xml:space="preserve">   D.(m.)</t>
  </si>
  <si>
    <t xml:space="preserve">  (m./Sec)</t>
  </si>
  <si>
    <r>
      <t>(m</t>
    </r>
    <r>
      <rPr>
        <vertAlign val="superscript"/>
        <sz val="16"/>
        <rFont val="AngsanaUPC"/>
        <family val="1"/>
      </rPr>
      <t>3</t>
    </r>
    <r>
      <rPr>
        <sz val="16"/>
        <rFont val="AngsanaUPC"/>
        <family val="1"/>
      </rPr>
      <t>/sce/km)</t>
    </r>
  </si>
  <si>
    <r>
      <t xml:space="preserve">   0.321 Q</t>
    </r>
    <r>
      <rPr>
        <vertAlign val="superscript"/>
        <sz val="14"/>
        <rFont val="Cordia New"/>
        <family val="2"/>
      </rPr>
      <t>3/8</t>
    </r>
    <r>
      <rPr>
        <sz val="14"/>
        <rFont val="Cordia New"/>
        <family val="0"/>
      </rPr>
      <t>.S</t>
    </r>
    <r>
      <rPr>
        <vertAlign val="superscript"/>
        <sz val="14"/>
        <rFont val="Cordia New"/>
        <family val="2"/>
      </rPr>
      <t>-3//16</t>
    </r>
  </si>
  <si>
    <t>Line</t>
  </si>
  <si>
    <t>No</t>
  </si>
  <si>
    <t>A1-A2</t>
  </si>
  <si>
    <t>A3-A4</t>
  </si>
  <si>
    <t>A6-A7</t>
  </si>
  <si>
    <t>B1-B2</t>
  </si>
  <si>
    <t>B3-B4</t>
  </si>
  <si>
    <t>B5-B4</t>
  </si>
  <si>
    <t>B4-B7</t>
  </si>
  <si>
    <t>C1-C3</t>
  </si>
  <si>
    <t>C2-C3</t>
  </si>
  <si>
    <t>C5-C6</t>
  </si>
  <si>
    <t>C3-C4</t>
  </si>
  <si>
    <t>D1-D2</t>
  </si>
  <si>
    <t>D3-D2</t>
  </si>
  <si>
    <t>D2-D4</t>
  </si>
  <si>
    <t>E1-E2</t>
  </si>
  <si>
    <t>F1-F2</t>
  </si>
  <si>
    <t>G1-G5</t>
  </si>
  <si>
    <t>G3-G4</t>
  </si>
  <si>
    <t>G2-G4</t>
  </si>
  <si>
    <t>G4-G5</t>
  </si>
  <si>
    <t>AREA</t>
  </si>
  <si>
    <t>SUM.AREA</t>
  </si>
  <si>
    <t>SUM</t>
  </si>
  <si>
    <t>POOL AREA</t>
  </si>
  <si>
    <t>ROOF AREA</t>
  </si>
  <si>
    <t>รายการคำนวณระบบระบายน้ำโครงการสวนน้ำภูเก็ต</t>
  </si>
  <si>
    <t>A5-A4</t>
  </si>
  <si>
    <t>A4-A6</t>
  </si>
  <si>
    <t>B7-B8</t>
  </si>
  <si>
    <t>G5-A7</t>
  </si>
  <si>
    <t>A7-B8</t>
  </si>
  <si>
    <t>B8-C4</t>
  </si>
  <si>
    <t>C4-F2</t>
  </si>
  <si>
    <t>E2-OUT</t>
  </si>
  <si>
    <t>F2-E2</t>
  </si>
  <si>
    <t>ไร่</t>
  </si>
  <si>
    <t xml:space="preserve">       และน้ำใช้จากอาคารที่บำบัดโดยบ่อบำบัดน้ำเสียเฉพาะแปลง  ก่อนระบายลงทางระบายน้ำสาธารณะ</t>
  </si>
  <si>
    <t xml:space="preserve"> 1.2 ท่อระบายในในโครงการจะระบายน้ำฝน น้ำซึมใต้ดิน น้ำจากการล้างระบบกรอง น้ำล้นสระน้ำ</t>
  </si>
  <si>
    <t>งานออกแบบระบบระบายน้ำโครงการสวนน้ำภูเก็ต</t>
  </si>
  <si>
    <t>พื้นที่ทั้งโครงการ</t>
  </si>
  <si>
    <t>พื้นที่สระน้ำ</t>
  </si>
  <si>
    <t>พื้นที่หลังคา</t>
  </si>
  <si>
    <t>พื้นที่ถนน</t>
  </si>
  <si>
    <t xml:space="preserve">คิดเป็นพื้นที่สระน้ำ  %  </t>
  </si>
  <si>
    <t xml:space="preserve">คิดเป็นพื้นที่สวน  %  </t>
  </si>
  <si>
    <t xml:space="preserve">คิดเป็นพื้นที่หลังคา + ถนน%  </t>
  </si>
  <si>
    <t xml:space="preserve">   (0.6126x0.60+0.1394x0.85+0.248x0.85)</t>
  </si>
  <si>
    <t>จำนวนผู้ใช้</t>
  </si>
  <si>
    <t xml:space="preserve">  คน/หลัง</t>
  </si>
  <si>
    <t>1.OFFICE BUILDING</t>
  </si>
  <si>
    <t xml:space="preserve">ปริมาณน้ำเสียที่ใช้ออกแบบ  </t>
  </si>
  <si>
    <t xml:space="preserve">    0.95x40x750</t>
  </si>
  <si>
    <t>2.MEDICAL CENTER</t>
  </si>
  <si>
    <t>ปริมาณน้ำเสียที่ผ่านการบำบัดแล้ว</t>
  </si>
  <si>
    <t xml:space="preserve">    0.95x100x200</t>
  </si>
  <si>
    <t xml:space="preserve">    0.95x60x200</t>
  </si>
  <si>
    <t xml:space="preserve">  คน/จุด</t>
  </si>
  <si>
    <t>3.REST ROOM</t>
  </si>
  <si>
    <t>4.SHOWER</t>
  </si>
  <si>
    <t>4. คำนวณปริมาณน้ำซึมในท่อ  (Q3)</t>
  </si>
  <si>
    <t>5. คำนวณขนาดท่อระบายน้ำ  (D)</t>
  </si>
  <si>
    <t>6. ความเร็วน้ำไหลในท่อระบายน้ำ  (V)</t>
  </si>
  <si>
    <t>5.RESTURANT</t>
  </si>
  <si>
    <t>6.CARIBEN BAR</t>
  </si>
  <si>
    <t>ปริมาณความต้องการใช้น้ำ</t>
  </si>
  <si>
    <t>ลิตร/วัน</t>
  </si>
  <si>
    <t>ลบ.ม./วัน</t>
  </si>
  <si>
    <t>หรือ</t>
  </si>
  <si>
    <t>7. คำนวณปริมาณน้ำเสียที่บำบัดแล้ว  (Q2)</t>
  </si>
  <si>
    <t xml:space="preserve"> 1.1 อาคารย่อยทุกหลัง  ใช้ระบบบำบัดน้ำเสียแบบเติมอากาศ   เฉพาะแหล่งก่อนลง</t>
  </si>
  <si>
    <t>ที่ดิน</t>
  </si>
  <si>
    <t>ตรม.  OR</t>
  </si>
  <si>
    <t>วิศวกรโยธา : นายเอกพล ฉิมพงษ์ สย.6751</t>
  </si>
  <si>
    <t>ขอบเขตงาน  : คำนวณหาความต้องการใช้น้ำของโครงการ  ออกแบบระบบระบายน้ำและปริมาณเก็บน้ำสำรอง</t>
  </si>
  <si>
    <t>โปรแกรมออกแบบระบบระบายน้ำ</t>
  </si>
  <si>
    <t>เช่น ทะเลเทียม และเครื่องเล่น การออกแบบใช้ Excal เขียนโปรแกรมช่วยในการคำนวณ</t>
  </si>
  <si>
    <t>ของโครงการฯ โดยใช้ตัวอย่างของโครงการสวนน้ำภูเก็ต เป็นโครงการลักษณะให้บริการสวนสนุกโดยเฉพาะสวนน้ำ</t>
  </si>
  <si>
    <t>Backfiushing</t>
  </si>
  <si>
    <t>Pool</t>
  </si>
  <si>
    <t>พื้นที่ผิว</t>
  </si>
  <si>
    <t>ความสูงน้ำ</t>
  </si>
  <si>
    <t>ปริมาตร</t>
  </si>
  <si>
    <t>ปริมาตรรวม</t>
  </si>
  <si>
    <t>จำนวนถังกรอง</t>
  </si>
  <si>
    <t>อัตรากรอง/ถัง</t>
  </si>
  <si>
    <t>เวลากรอง</t>
  </si>
  <si>
    <t>Cleaning Water</t>
  </si>
  <si>
    <t>(sq.m)</t>
  </si>
  <si>
    <t>(m)</t>
  </si>
  <si>
    <t>(cq.m)</t>
  </si>
  <si>
    <t>(No.)</t>
  </si>
  <si>
    <t>(cq.m)/hr</t>
  </si>
  <si>
    <t>hr/day</t>
  </si>
  <si>
    <t>(cq.m)/day</t>
  </si>
  <si>
    <t>A1</t>
  </si>
  <si>
    <t>pool</t>
  </si>
  <si>
    <t>B1</t>
  </si>
  <si>
    <t>Relax Pool</t>
  </si>
  <si>
    <t>C1</t>
  </si>
  <si>
    <t>Lazy River</t>
  </si>
  <si>
    <t>C2</t>
  </si>
  <si>
    <t>Children  Pool</t>
  </si>
  <si>
    <t>C3</t>
  </si>
  <si>
    <t>Adventure Pool</t>
  </si>
  <si>
    <t>C4</t>
  </si>
  <si>
    <t>Wave Pool</t>
  </si>
  <si>
    <t>D1</t>
  </si>
  <si>
    <t>Kamikaes</t>
  </si>
  <si>
    <t>E1</t>
  </si>
  <si>
    <t>Zig Zag+Tornado</t>
  </si>
  <si>
    <t>F1</t>
  </si>
  <si>
    <t>6 row Slider</t>
  </si>
  <si>
    <t>G1</t>
  </si>
  <si>
    <t>Twister</t>
  </si>
  <si>
    <t>การระเหยต่อวันสูงสุด (เดือนเมษายน)</t>
  </si>
  <si>
    <t>อัตราการระเหย</t>
  </si>
  <si>
    <t>ปริมาตรการสูญเสียน้ำ</t>
  </si>
  <si>
    <t>(m.m.)/day</t>
  </si>
  <si>
    <t>ความต้องการใช้น้ำต่อวันสูงสุดช่วงเดือนเมษายน</t>
  </si>
  <si>
    <t>รายการ</t>
  </si>
  <si>
    <t>จำนวน</t>
  </si>
  <si>
    <t>ลิตร/หน่วย</t>
  </si>
  <si>
    <t>1. ลูกค้า</t>
  </si>
  <si>
    <t>2.พนักงาน</t>
  </si>
  <si>
    <t>3.จากการล้างถังกรอง</t>
  </si>
  <si>
    <t>4.จากการระเหย</t>
  </si>
  <si>
    <t>5.ต้นไม้</t>
  </si>
  <si>
    <t>sum</t>
  </si>
  <si>
    <t>คำนวณหาปริมาตรน้ำสำรอง</t>
  </si>
  <si>
    <t>ถังเก็บน้ำ คสล</t>
  </si>
  <si>
    <t>ลบ.ม.</t>
  </si>
  <si>
    <t>บ่อน้ำดิบ</t>
  </si>
  <si>
    <t>น้ำบาดาล</t>
  </si>
  <si>
    <t>-</t>
  </si>
  <si>
    <t>ถังน้ำเฉพาะจุดของอาคาร</t>
  </si>
  <si>
    <t>(5@50 ลบ.ม./ถัง)</t>
  </si>
  <si>
    <t>จำนวนวันที่สำรองน้ำได้</t>
  </si>
  <si>
    <t>วัน</t>
  </si>
  <si>
    <t>ดังนั้นสรุปได้ว่าโครงการนี้ต้องมีถังสำรองน้ำ  1,875 ลูกบาศก์เมตร</t>
  </si>
  <si>
    <t>ในช่วงความต้องการใช้น้ำสูงสุดเดือนเมษายน อยู่ที่วันละ 252 ลูกบาศก์เมตร</t>
  </si>
  <si>
    <t>โครงการจะสามารถสำรองน้ำได้ 7 วัน</t>
  </si>
</sst>
</file>

<file path=xl/styles.xml><?xml version="1.0" encoding="utf-8"?>
<styleSheet xmlns="http://schemas.openxmlformats.org/spreadsheetml/2006/main">
  <numFmts count="7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00_-;\-* #,##0.000_-;_-* &quot;-&quot;??_-;_-@_-"/>
    <numFmt numFmtId="188" formatCode="_-* #,##0.0000_-;\-* #,##0.0000_-;_-* &quot;-&quot;??_-;_-@_-"/>
    <numFmt numFmtId="189" formatCode="_-* #,##0.00000_-;\-* #,##0.00000_-;_-* &quot;-&quot;??_-;_-@_-"/>
    <numFmt numFmtId="190" formatCode="_-* #,##0.000000_-;\-* #,##0.000000_-;_-* &quot;-&quot;??_-;_-@_-"/>
    <numFmt numFmtId="191" formatCode="_-* #,##0.0000000_-;\-* #,##0.0000000_-;_-* &quot;-&quot;??_-;_-@_-"/>
    <numFmt numFmtId="192" formatCode="_-* #,##0.00000000_-;\-* #,##0.00000000_-;_-* &quot;-&quot;??_-;_-@_-"/>
    <numFmt numFmtId="193" formatCode="_-* #,##0.0000000_-;\-* #,##0.0000000_-;_-* &quot;-&quot;???????_-;_-@_-"/>
    <numFmt numFmtId="194" formatCode="_-* #,##0.000000_-;\-* #,##0.000000_-;_-* &quot;-&quot;??????_-;_-@_-"/>
    <numFmt numFmtId="195" formatCode="0.00000000"/>
    <numFmt numFmtId="196" formatCode="0.0000000"/>
    <numFmt numFmtId="197" formatCode="0.000000"/>
    <numFmt numFmtId="198" formatCode="_-* #,##0.0_-;\-* #,##0.0_-;_-* &quot;-&quot;??_-;_-@_-"/>
    <numFmt numFmtId="199" formatCode="_-* #,##0_-;\-* #,##0_-;_-* &quot;-&quot;??_-;_-@_-"/>
    <numFmt numFmtId="200" formatCode="&quot;฿&quot;#,##0_);\(&quot;฿&quot;#,##0\)"/>
    <numFmt numFmtId="201" formatCode="&quot;฿&quot;#,##0_);[Red]\(&quot;฿&quot;#,##0\)"/>
    <numFmt numFmtId="202" formatCode="&quot;฿&quot;#,##0.00_);\(&quot;฿&quot;#,##0.00\)"/>
    <numFmt numFmtId="203" formatCode="&quot;฿&quot;#,##0.00_);[Red]\(&quot;฿&quot;#,##0.00\)"/>
    <numFmt numFmtId="204" formatCode="_(&quot;฿&quot;* #,##0_);_(&quot;฿&quot;* \(#,##0\);_(&quot;฿&quot;* &quot;-&quot;_);_(@_)"/>
    <numFmt numFmtId="205" formatCode="_(* #,##0_);_(* \(#,##0\);_(* &quot;-&quot;_);_(@_)"/>
    <numFmt numFmtId="206" formatCode="_(&quot;฿&quot;* #,##0.00_);_(&quot;฿&quot;* \(#,##0.00\);_(&quot;฿&quot;* &quot;-&quot;??_);_(@_)"/>
    <numFmt numFmtId="207" formatCode="_(* #,##0.00_);_(* \(#,##0.00\);_(* &quot;-&quot;??_);_(@_)"/>
    <numFmt numFmtId="208" formatCode="t#,##0_);\(t#,##0\)"/>
    <numFmt numFmtId="209" formatCode="t#,##0_);[Red]\(t#,##0\)"/>
    <numFmt numFmtId="210" formatCode="_(&quot;฿&quot;* t#,##0_);_(&quot;฿&quot;* \(t#,##0\);_(&quot;฿&quot;* &quot;-&quot;_);_(@_)"/>
    <numFmt numFmtId="211" formatCode="d\ ดดดด\ &quot;พ.ศ.&quot;\ bbbb"/>
    <numFmt numFmtId="212" formatCode="ว\ ดดดด\ &quot;ค.ศ.&quot;\ คคคค"/>
    <numFmt numFmtId="213" formatCode="&quot;วันที่&quot;\ ว\ ดดดด\ ปปปป"/>
    <numFmt numFmtId="214" formatCode="d\ ดดด\ bb"/>
    <numFmt numFmtId="215" formatCode="ว\ ดดด\ ปป"/>
    <numFmt numFmtId="216" formatCode="วว/ดด/ปป"/>
    <numFmt numFmtId="217" formatCode="ชช:นน:ทท"/>
    <numFmt numFmtId="218" formatCode="ช\.นน\ &quot;น.&quot;"/>
    <numFmt numFmtId="219" formatCode="t0.00E+00"/>
    <numFmt numFmtId="220" formatCode="&quot;฿&quot;t#,##0_);\(&quot;฿&quot;t#,##0\)"/>
    <numFmt numFmtId="221" formatCode="&quot;฿&quot;t#,##0_);[Red]\(&quot;฿&quot;t#,##0\)"/>
    <numFmt numFmtId="222" formatCode="0.000"/>
    <numFmt numFmtId="223" formatCode="0.00000"/>
    <numFmt numFmtId="224" formatCode="0.000E+00"/>
    <numFmt numFmtId="225" formatCode="0.0E+00"/>
    <numFmt numFmtId="226" formatCode="0E+00"/>
    <numFmt numFmtId="227" formatCode="0.0000E+00"/>
    <numFmt numFmtId="228" formatCode="_(* #,##0.000_);_(* \(#,##0.000\);_(* &quot;-&quot;??_);_(@_)"/>
    <numFmt numFmtId="229" formatCode="_(* #,##0.0000_);_(* \(#,##0.0000\);_(* &quot;-&quot;??_);_(@_)"/>
    <numFmt numFmtId="230" formatCode="_(* #,##0.00000_);_(* \(#,##0.00000\);_(* &quot;-&quot;??_);_(@_)"/>
    <numFmt numFmtId="231" formatCode="_(* #,##0.000000_);_(* \(#,##0.000000\);_(* &quot;-&quot;??_);_(@_)"/>
    <numFmt numFmtId="232" formatCode="_(* #,##0.0000000_);_(* \(#,##0.0000000\);_(* &quot;-&quot;??_);_(@_)"/>
    <numFmt numFmtId="233" formatCode="_(* #,##0.00000000_);_(* \(#,##0.00000000\);_(* &quot;-&quot;??_);_(@_)"/>
    <numFmt numFmtId="234" formatCode="_(* #,##0.000000000_);_(* \(#,##0.000000000\);_(* &quot;-&quot;??_);_(@_)"/>
    <numFmt numFmtId="235" formatCode="_-* #,##0.00000000_-;\-* #,##0.00000000_-;_-* &quot;-&quot;????????_-;_-@_-"/>
    <numFmt numFmtId="236" formatCode="0.0000"/>
    <numFmt numFmtId="237" formatCode="#,##0.00_ ;\-#,##0.00\ "/>
    <numFmt numFmtId="238" formatCode="0.0"/>
    <numFmt numFmtId="239" formatCode="_-* #,##0.000_-;\-* #,##0.000_-;_-* &quot;-&quot;???_-;_-@_-"/>
    <numFmt numFmtId="240" formatCode="#,##0_ ;\-#,##0\ "/>
    <numFmt numFmtId="241" formatCode="0.0000000000"/>
    <numFmt numFmtId="242" formatCode="0.00000000000"/>
    <numFmt numFmtId="243" formatCode="0.000000000"/>
    <numFmt numFmtId="244" formatCode="#,##0.0"/>
  </numFmts>
  <fonts count="24">
    <font>
      <sz val="14"/>
      <name val="Cordia New"/>
      <family val="0"/>
    </font>
    <font>
      <sz val="14"/>
      <color indexed="14"/>
      <name val="Cordia New"/>
      <family val="2"/>
    </font>
    <font>
      <b/>
      <sz val="16"/>
      <name val="Angsana New"/>
      <family val="1"/>
    </font>
    <font>
      <vertAlign val="superscript"/>
      <sz val="14"/>
      <name val="Cordia New"/>
      <family val="2"/>
    </font>
    <font>
      <sz val="16"/>
      <name val="AngsanaUPC"/>
      <family val="0"/>
    </font>
    <font>
      <b/>
      <sz val="20"/>
      <color indexed="18"/>
      <name val="AngsanaUPC"/>
      <family val="0"/>
    </font>
    <font>
      <sz val="16"/>
      <color indexed="18"/>
      <name val="AngsanaUPC"/>
      <family val="0"/>
    </font>
    <font>
      <sz val="16"/>
      <color indexed="12"/>
      <name val="AngsanaUPC"/>
      <family val="0"/>
    </font>
    <font>
      <vertAlign val="superscript"/>
      <sz val="16"/>
      <name val="AngsanaUPC"/>
      <family val="1"/>
    </font>
    <font>
      <b/>
      <sz val="16"/>
      <name val="AngsanaUPC"/>
      <family val="0"/>
    </font>
    <font>
      <b/>
      <sz val="22"/>
      <color indexed="62"/>
      <name val="AngsanaUPC"/>
      <family val="1"/>
    </font>
    <font>
      <b/>
      <sz val="16"/>
      <color indexed="8"/>
      <name val="AngsanaUPC"/>
      <family val="1"/>
    </font>
    <font>
      <b/>
      <sz val="20"/>
      <color indexed="8"/>
      <name val="AngsanaUPC"/>
      <family val="1"/>
    </font>
    <font>
      <sz val="16"/>
      <color indexed="8"/>
      <name val="AngsanaUPC"/>
      <family val="1"/>
    </font>
    <font>
      <b/>
      <sz val="16"/>
      <color indexed="12"/>
      <name val="AngsanaUPC"/>
      <family val="1"/>
    </font>
    <font>
      <b/>
      <sz val="14"/>
      <name val="Cordia New"/>
      <family val="2"/>
    </font>
    <font>
      <sz val="12"/>
      <name val="AngsanaUPC"/>
      <family val="0"/>
    </font>
    <font>
      <b/>
      <sz val="18"/>
      <color indexed="18"/>
      <name val="Angsana New"/>
      <family val="1"/>
    </font>
    <font>
      <sz val="14"/>
      <color indexed="12"/>
      <name val="Cordia New"/>
      <family val="2"/>
    </font>
    <font>
      <sz val="10"/>
      <name val="Arial"/>
      <family val="0"/>
    </font>
    <font>
      <sz val="8"/>
      <name val="Arial"/>
      <family val="0"/>
    </font>
    <font>
      <b/>
      <sz val="10"/>
      <color indexed="53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7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19" fillId="0" borderId="0">
      <alignment/>
      <protection/>
    </xf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43" fontId="0" fillId="0" borderId="0" xfId="15" applyAlignment="1">
      <alignment/>
    </xf>
    <xf numFmtId="43" fontId="0" fillId="0" borderId="0" xfId="15" applyFont="1" applyAlignment="1">
      <alignment/>
    </xf>
    <xf numFmtId="190" fontId="0" fillId="0" borderId="0" xfId="15" applyNumberFormat="1" applyFont="1" applyAlignment="1">
      <alignment/>
    </xf>
    <xf numFmtId="191" fontId="0" fillId="0" borderId="0" xfId="15" applyNumberFormat="1" applyFont="1" applyAlignment="1">
      <alignment/>
    </xf>
    <xf numFmtId="190" fontId="0" fillId="0" borderId="0" xfId="15" applyNumberFormat="1" applyAlignment="1">
      <alignment/>
    </xf>
    <xf numFmtId="0" fontId="0" fillId="0" borderId="0" xfId="15" applyNumberFormat="1" applyFont="1" applyAlignment="1">
      <alignment/>
    </xf>
    <xf numFmtId="0" fontId="5" fillId="0" borderId="1" xfId="20" applyFont="1" applyFill="1" applyBorder="1">
      <alignment/>
      <protection/>
    </xf>
    <xf numFmtId="0" fontId="6" fillId="0" borderId="1" xfId="20" applyFont="1" applyFill="1" applyBorder="1">
      <alignment/>
      <protection/>
    </xf>
    <xf numFmtId="0" fontId="4" fillId="0" borderId="2" xfId="20" applyFont="1" applyBorder="1">
      <alignment/>
      <protection/>
    </xf>
    <xf numFmtId="0" fontId="4" fillId="0" borderId="0" xfId="20" applyFont="1" applyBorder="1">
      <alignment/>
      <protection/>
    </xf>
    <xf numFmtId="233" fontId="7" fillId="0" borderId="0" xfId="17" applyNumberFormat="1" applyFont="1" applyFill="1" applyBorder="1" applyAlignment="1">
      <alignment/>
    </xf>
    <xf numFmtId="0" fontId="4" fillId="0" borderId="3" xfId="20" applyFont="1" applyBorder="1">
      <alignment/>
      <protection/>
    </xf>
    <xf numFmtId="0" fontId="9" fillId="0" borderId="3" xfId="20" applyFont="1" applyBorder="1" applyAlignment="1" quotePrefix="1">
      <alignment horizontal="left"/>
      <protection/>
    </xf>
    <xf numFmtId="0" fontId="9" fillId="0" borderId="0" xfId="20" applyFont="1" applyBorder="1">
      <alignment/>
      <protection/>
    </xf>
    <xf numFmtId="0" fontId="4" fillId="0" borderId="0" xfId="20" applyFont="1" applyBorder="1" applyAlignment="1" quotePrefix="1">
      <alignment horizontal="left"/>
      <protection/>
    </xf>
    <xf numFmtId="43" fontId="7" fillId="0" borderId="0" xfId="20" applyNumberFormat="1" applyFont="1" applyBorder="1" applyAlignment="1">
      <alignment horizontal="center"/>
      <protection/>
    </xf>
    <xf numFmtId="191" fontId="7" fillId="0" borderId="0" xfId="15" applyNumberFormat="1" applyFont="1" applyBorder="1" applyAlignment="1">
      <alignment/>
    </xf>
    <xf numFmtId="43" fontId="0" fillId="0" borderId="0" xfId="15" applyAlignment="1">
      <alignment/>
    </xf>
    <xf numFmtId="43" fontId="0" fillId="0" borderId="0" xfId="15" applyFont="1" applyAlignment="1">
      <alignment/>
    </xf>
    <xf numFmtId="191" fontId="0" fillId="0" borderId="0" xfId="15" applyNumberFormat="1" applyFont="1" applyAlignment="1">
      <alignment/>
    </xf>
    <xf numFmtId="0" fontId="12" fillId="0" borderId="1" xfId="20" applyFont="1" applyFill="1" applyBorder="1">
      <alignment/>
      <protection/>
    </xf>
    <xf numFmtId="0" fontId="13" fillId="0" borderId="0" xfId="20" applyFont="1" applyBorder="1">
      <alignment/>
      <protection/>
    </xf>
    <xf numFmtId="0" fontId="11" fillId="0" borderId="0" xfId="20" applyFont="1" applyBorder="1">
      <alignment/>
      <protection/>
    </xf>
    <xf numFmtId="0" fontId="13" fillId="0" borderId="0" xfId="20" applyFont="1" applyBorder="1" applyAlignment="1" quotePrefix="1">
      <alignment horizontal="left"/>
      <protection/>
    </xf>
    <xf numFmtId="0" fontId="13" fillId="0" borderId="0" xfId="20" applyFont="1" applyBorder="1" applyAlignment="1">
      <alignment horizontal="center"/>
      <protection/>
    </xf>
    <xf numFmtId="0" fontId="13" fillId="0" borderId="1" xfId="20" applyFont="1" applyFill="1" applyBorder="1">
      <alignment/>
      <protection/>
    </xf>
    <xf numFmtId="0" fontId="7" fillId="0" borderId="1" xfId="20" applyFont="1" applyFill="1" applyBorder="1">
      <alignment/>
      <protection/>
    </xf>
    <xf numFmtId="0" fontId="7" fillId="0" borderId="0" xfId="20" applyFont="1" applyBorder="1">
      <alignment/>
      <protection/>
    </xf>
    <xf numFmtId="0" fontId="14" fillId="0" borderId="0" xfId="20" applyFont="1" applyBorder="1">
      <alignment/>
      <protection/>
    </xf>
    <xf numFmtId="0" fontId="7" fillId="0" borderId="0" xfId="20" applyFont="1" applyBorder="1" applyAlignment="1" quotePrefix="1">
      <alignment horizontal="left"/>
      <protection/>
    </xf>
    <xf numFmtId="2" fontId="7" fillId="0" borderId="0" xfId="20" applyNumberFormat="1" applyFont="1" applyBorder="1">
      <alignment/>
      <protection/>
    </xf>
    <xf numFmtId="0" fontId="13" fillId="0" borderId="0" xfId="20" applyFont="1" applyBorder="1" applyAlignment="1">
      <alignment horizontal="right"/>
      <protection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14" fontId="0" fillId="0" borderId="0" xfId="0" applyNumberFormat="1" applyFont="1" applyBorder="1" applyAlignment="1">
      <alignment/>
    </xf>
    <xf numFmtId="0" fontId="15" fillId="0" borderId="0" xfId="0" applyFont="1" applyAlignment="1">
      <alignment/>
    </xf>
    <xf numFmtId="43" fontId="0" fillId="0" borderId="0" xfId="0" applyNumberFormat="1" applyAlignment="1">
      <alignment/>
    </xf>
    <xf numFmtId="240" fontId="0" fillId="0" borderId="0" xfId="0" applyNumberFormat="1" applyAlignment="1">
      <alignment/>
    </xf>
    <xf numFmtId="199" fontId="0" fillId="0" borderId="0" xfId="15" applyNumberFormat="1" applyAlignment="1">
      <alignment/>
    </xf>
    <xf numFmtId="0" fontId="4" fillId="0" borderId="0" xfId="20" applyFont="1" applyFill="1" applyBorder="1">
      <alignment/>
      <protection/>
    </xf>
    <xf numFmtId="0" fontId="4" fillId="0" borderId="4" xfId="20" applyFont="1" applyFill="1" applyBorder="1" applyAlignment="1">
      <alignment horizontal="center"/>
      <protection/>
    </xf>
    <xf numFmtId="0" fontId="4" fillId="0" borderId="5" xfId="20" applyFont="1" applyFill="1" applyBorder="1" applyAlignment="1">
      <alignment horizontal="center"/>
      <protection/>
    </xf>
    <xf numFmtId="0" fontId="9" fillId="0" borderId="6" xfId="20" applyFont="1" applyFill="1" applyBorder="1" applyAlignment="1">
      <alignment horizontal="center"/>
      <protection/>
    </xf>
    <xf numFmtId="0" fontId="4" fillId="0" borderId="6" xfId="20" applyFont="1" applyFill="1" applyBorder="1" applyAlignment="1">
      <alignment horizontal="center"/>
      <protection/>
    </xf>
    <xf numFmtId="4" fontId="4" fillId="0" borderId="6" xfId="20" applyNumberFormat="1" applyFont="1" applyFill="1" applyBorder="1" applyAlignment="1">
      <alignment horizontal="center"/>
      <protection/>
    </xf>
    <xf numFmtId="197" fontId="4" fillId="0" borderId="6" xfId="20" applyNumberFormat="1" applyFont="1" applyFill="1" applyBorder="1" applyAlignment="1">
      <alignment horizontal="center"/>
      <protection/>
    </xf>
    <xf numFmtId="3" fontId="4" fillId="0" borderId="6" xfId="20" applyNumberFormat="1" applyFont="1" applyFill="1" applyBorder="1" applyAlignment="1">
      <alignment horizontal="center"/>
      <protection/>
    </xf>
    <xf numFmtId="2" fontId="4" fillId="0" borderId="6" xfId="20" applyNumberFormat="1" applyFont="1" applyFill="1" applyBorder="1" applyAlignment="1">
      <alignment horizontal="center"/>
      <protection/>
    </xf>
    <xf numFmtId="196" fontId="4" fillId="0" borderId="6" xfId="20" applyNumberFormat="1" applyFont="1" applyFill="1" applyBorder="1" applyAlignment="1">
      <alignment horizontal="center"/>
      <protection/>
    </xf>
    <xf numFmtId="223" fontId="4" fillId="0" borderId="6" xfId="20" applyNumberFormat="1" applyFont="1" applyFill="1" applyBorder="1" applyAlignment="1">
      <alignment horizontal="center"/>
      <protection/>
    </xf>
    <xf numFmtId="0" fontId="4" fillId="0" borderId="0" xfId="20" applyFont="1" applyFill="1">
      <alignment/>
      <protection/>
    </xf>
    <xf numFmtId="4" fontId="4" fillId="0" borderId="0" xfId="20" applyNumberFormat="1" applyFont="1" applyFill="1" applyBorder="1">
      <alignment/>
      <protection/>
    </xf>
    <xf numFmtId="0" fontId="9" fillId="0" borderId="7" xfId="20" applyFont="1" applyFill="1" applyBorder="1" applyAlignment="1">
      <alignment horizontal="center"/>
      <protection/>
    </xf>
    <xf numFmtId="0" fontId="4" fillId="0" borderId="7" xfId="20" applyFont="1" applyFill="1" applyBorder="1" applyAlignment="1">
      <alignment horizontal="center"/>
      <protection/>
    </xf>
    <xf numFmtId="4" fontId="4" fillId="0" borderId="7" xfId="20" applyNumberFormat="1" applyFont="1" applyFill="1" applyBorder="1" applyAlignment="1">
      <alignment horizontal="center"/>
      <protection/>
    </xf>
    <xf numFmtId="197" fontId="4" fillId="0" borderId="7" xfId="20" applyNumberFormat="1" applyFont="1" applyFill="1" applyBorder="1" applyAlignment="1">
      <alignment horizontal="center"/>
      <protection/>
    </xf>
    <xf numFmtId="3" fontId="4" fillId="0" borderId="7" xfId="20" applyNumberFormat="1" applyFont="1" applyFill="1" applyBorder="1" applyAlignment="1">
      <alignment horizontal="center"/>
      <protection/>
    </xf>
    <xf numFmtId="2" fontId="4" fillId="0" borderId="7" xfId="20" applyNumberFormat="1" applyFont="1" applyFill="1" applyBorder="1" applyAlignment="1">
      <alignment horizontal="center"/>
      <protection/>
    </xf>
    <xf numFmtId="0" fontId="5" fillId="0" borderId="8" xfId="20" applyFont="1" applyFill="1" applyBorder="1">
      <alignment/>
      <protection/>
    </xf>
    <xf numFmtId="0" fontId="6" fillId="0" borderId="9" xfId="20" applyFont="1" applyFill="1" applyBorder="1">
      <alignment/>
      <protection/>
    </xf>
    <xf numFmtId="0" fontId="4" fillId="0" borderId="10" xfId="20" applyFont="1" applyFill="1" applyBorder="1">
      <alignment/>
      <protection/>
    </xf>
    <xf numFmtId="0" fontId="4" fillId="0" borderId="11" xfId="20" applyFont="1" applyFill="1" applyBorder="1" applyAlignment="1">
      <alignment horizontal="center"/>
      <protection/>
    </xf>
    <xf numFmtId="0" fontId="4" fillId="0" borderId="11" xfId="20" applyFont="1" applyFill="1" applyBorder="1">
      <alignment/>
      <protection/>
    </xf>
    <xf numFmtId="0" fontId="4" fillId="0" borderId="12" xfId="20" applyFont="1" applyFill="1" applyBorder="1">
      <alignment/>
      <protection/>
    </xf>
    <xf numFmtId="0" fontId="5" fillId="0" borderId="13" xfId="20" applyFont="1" applyFill="1" applyBorder="1">
      <alignment/>
      <protection/>
    </xf>
    <xf numFmtId="0" fontId="4" fillId="0" borderId="14" xfId="20" applyFont="1" applyFill="1" applyBorder="1">
      <alignment/>
      <protection/>
    </xf>
    <xf numFmtId="0" fontId="9" fillId="0" borderId="15" xfId="20" applyFont="1" applyFill="1" applyBorder="1" applyAlignment="1">
      <alignment horizontal="center"/>
      <protection/>
    </xf>
    <xf numFmtId="0" fontId="9" fillId="0" borderId="16" xfId="20" applyFont="1" applyFill="1" applyBorder="1" applyAlignment="1">
      <alignment horizontal="center"/>
      <protection/>
    </xf>
    <xf numFmtId="0" fontId="9" fillId="0" borderId="16" xfId="20" applyFont="1" applyFill="1" applyBorder="1">
      <alignment/>
      <protection/>
    </xf>
    <xf numFmtId="0" fontId="16" fillId="0" borderId="16" xfId="20" applyFont="1" applyFill="1" applyBorder="1" applyAlignment="1">
      <alignment horizontal="center"/>
      <protection/>
    </xf>
    <xf numFmtId="0" fontId="9" fillId="0" borderId="17" xfId="20" applyFont="1" applyFill="1" applyBorder="1">
      <alignment/>
      <protection/>
    </xf>
    <xf numFmtId="197" fontId="7" fillId="0" borderId="7" xfId="20" applyNumberFormat="1" applyFont="1" applyFill="1" applyBorder="1" applyAlignment="1">
      <alignment horizontal="center"/>
      <protection/>
    </xf>
    <xf numFmtId="197" fontId="7" fillId="0" borderId="6" xfId="20" applyNumberFormat="1" applyFont="1" applyFill="1" applyBorder="1" applyAlignment="1">
      <alignment horizontal="center"/>
      <protection/>
    </xf>
    <xf numFmtId="223" fontId="7" fillId="0" borderId="6" xfId="20" applyNumberFormat="1" applyFont="1" applyFill="1" applyBorder="1" applyAlignment="1">
      <alignment horizontal="center"/>
      <protection/>
    </xf>
    <xf numFmtId="2" fontId="7" fillId="0" borderId="7" xfId="20" applyNumberFormat="1" applyFont="1" applyFill="1" applyBorder="1" applyAlignment="1">
      <alignment horizontal="center"/>
      <protection/>
    </xf>
    <xf numFmtId="2" fontId="7" fillId="0" borderId="6" xfId="20" applyNumberFormat="1" applyFont="1" applyFill="1" applyBorder="1" applyAlignment="1">
      <alignment horizontal="center"/>
      <protection/>
    </xf>
    <xf numFmtId="0" fontId="0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9" fillId="0" borderId="0" xfId="21" applyAlignment="1">
      <alignment horizontal="center"/>
      <protection/>
    </xf>
    <xf numFmtId="0" fontId="21" fillId="0" borderId="0" xfId="21" applyFont="1">
      <alignment/>
      <protection/>
    </xf>
    <xf numFmtId="0" fontId="19" fillId="0" borderId="0" xfId="21">
      <alignment/>
      <protection/>
    </xf>
    <xf numFmtId="0" fontId="19" fillId="0" borderId="18" xfId="21" applyBorder="1" applyAlignment="1">
      <alignment horizontal="center"/>
      <protection/>
    </xf>
    <xf numFmtId="0" fontId="9" fillId="0" borderId="18" xfId="21" applyFont="1" applyBorder="1" applyAlignment="1">
      <alignment horizontal="center"/>
      <protection/>
    </xf>
    <xf numFmtId="0" fontId="19" fillId="0" borderId="18" xfId="21" applyBorder="1">
      <alignment/>
      <protection/>
    </xf>
    <xf numFmtId="0" fontId="19" fillId="0" borderId="18" xfId="21" applyFill="1" applyBorder="1" applyAlignment="1">
      <alignment horizontal="center"/>
      <protection/>
    </xf>
    <xf numFmtId="0" fontId="19" fillId="0" borderId="4" xfId="21" applyBorder="1" applyAlignment="1">
      <alignment horizontal="center"/>
      <protection/>
    </xf>
    <xf numFmtId="0" fontId="9" fillId="0" borderId="4" xfId="21" applyFont="1" applyBorder="1" applyAlignment="1">
      <alignment horizontal="center"/>
      <protection/>
    </xf>
    <xf numFmtId="0" fontId="19" fillId="0" borderId="19" xfId="21" applyBorder="1" applyAlignment="1">
      <alignment horizontal="center"/>
      <protection/>
    </xf>
    <xf numFmtId="0" fontId="19" fillId="0" borderId="19" xfId="21" applyBorder="1">
      <alignment/>
      <protection/>
    </xf>
    <xf numFmtId="0" fontId="19" fillId="0" borderId="20" xfId="21" applyBorder="1" applyAlignment="1">
      <alignment horizontal="center"/>
      <protection/>
    </xf>
    <xf numFmtId="0" fontId="19" fillId="0" borderId="20" xfId="21" applyBorder="1">
      <alignment/>
      <protection/>
    </xf>
    <xf numFmtId="0" fontId="19" fillId="0" borderId="21" xfId="21" applyBorder="1" applyAlignment="1">
      <alignment horizontal="center"/>
      <protection/>
    </xf>
    <xf numFmtId="0" fontId="19" fillId="0" borderId="21" xfId="21" applyBorder="1">
      <alignment/>
      <protection/>
    </xf>
    <xf numFmtId="0" fontId="22" fillId="0" borderId="4" xfId="21" applyFont="1" applyBorder="1" applyAlignment="1">
      <alignment horizontal="center"/>
      <protection/>
    </xf>
    <xf numFmtId="0" fontId="22" fillId="0" borderId="4" xfId="21" applyFont="1" applyBorder="1">
      <alignment/>
      <protection/>
    </xf>
    <xf numFmtId="4" fontId="19" fillId="0" borderId="19" xfId="21" applyNumberFormat="1" applyBorder="1">
      <alignment/>
      <protection/>
    </xf>
    <xf numFmtId="4" fontId="19" fillId="0" borderId="20" xfId="21" applyNumberFormat="1" applyBorder="1">
      <alignment/>
      <protection/>
    </xf>
    <xf numFmtId="4" fontId="19" fillId="0" borderId="21" xfId="21" applyNumberFormat="1" applyBorder="1">
      <alignment/>
      <protection/>
    </xf>
    <xf numFmtId="4" fontId="19" fillId="0" borderId="18" xfId="21" applyNumberFormat="1" applyBorder="1">
      <alignment/>
      <protection/>
    </xf>
    <xf numFmtId="4" fontId="22" fillId="0" borderId="4" xfId="21" applyNumberFormat="1" applyFont="1" applyBorder="1">
      <alignment/>
      <protection/>
    </xf>
    <xf numFmtId="0" fontId="22" fillId="0" borderId="0" xfId="21" applyFont="1">
      <alignment/>
      <protection/>
    </xf>
    <xf numFmtId="0" fontId="22" fillId="0" borderId="5" xfId="21" applyFont="1" applyBorder="1" applyAlignment="1">
      <alignment horizontal="center"/>
      <protection/>
    </xf>
    <xf numFmtId="0" fontId="22" fillId="0" borderId="5" xfId="21" applyFont="1" applyBorder="1">
      <alignment/>
      <protection/>
    </xf>
    <xf numFmtId="3" fontId="19" fillId="0" borderId="19" xfId="21" applyNumberFormat="1" applyBorder="1">
      <alignment/>
      <protection/>
    </xf>
    <xf numFmtId="3" fontId="19" fillId="0" borderId="20" xfId="21" applyNumberFormat="1" applyBorder="1">
      <alignment/>
      <protection/>
    </xf>
    <xf numFmtId="3" fontId="19" fillId="0" borderId="21" xfId="21" applyNumberFormat="1" applyBorder="1">
      <alignment/>
      <protection/>
    </xf>
    <xf numFmtId="4" fontId="22" fillId="0" borderId="5" xfId="21" applyNumberFormat="1" applyFont="1" applyBorder="1">
      <alignment/>
      <protection/>
    </xf>
    <xf numFmtId="4" fontId="19" fillId="0" borderId="0" xfId="21" applyNumberFormat="1">
      <alignment/>
      <protection/>
    </xf>
    <xf numFmtId="4" fontId="22" fillId="0" borderId="0" xfId="21" applyNumberFormat="1" applyFont="1">
      <alignment/>
      <protection/>
    </xf>
    <xf numFmtId="244" fontId="22" fillId="0" borderId="0" xfId="21" applyNumberFormat="1" applyFont="1">
      <alignment/>
      <protection/>
    </xf>
    <xf numFmtId="0" fontId="19" fillId="0" borderId="0" xfId="21" applyAlignment="1">
      <alignment horizontal="left"/>
      <protection/>
    </xf>
    <xf numFmtId="0" fontId="23" fillId="0" borderId="0" xfId="21" applyFont="1" applyAlignment="1">
      <alignment horizontal="left"/>
      <protection/>
    </xf>
    <xf numFmtId="0" fontId="23" fillId="0" borderId="0" xfId="21" applyFont="1">
      <alignment/>
      <protection/>
    </xf>
    <xf numFmtId="0" fontId="10" fillId="0" borderId="22" xfId="20" applyFont="1" applyBorder="1" applyAlignment="1">
      <alignment horizontal="center"/>
      <protection/>
    </xf>
    <xf numFmtId="0" fontId="10" fillId="0" borderId="23" xfId="20" applyFont="1" applyBorder="1" applyAlignment="1">
      <alignment horizontal="center"/>
      <protection/>
    </xf>
    <xf numFmtId="0" fontId="10" fillId="0" borderId="24" xfId="20" applyFont="1" applyBorder="1" applyAlignment="1">
      <alignment horizontal="center"/>
      <protection/>
    </xf>
    <xf numFmtId="0" fontId="17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เครื่องหมายจุลภาค_TABLEQ" xfId="17"/>
    <cellStyle name="Currency" xfId="18"/>
    <cellStyle name="Currency [0]" xfId="19"/>
    <cellStyle name="ปกติ_TABLEQ" xfId="20"/>
    <cellStyle name="ปกติ_ความต้องการน้ำ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588;&#3623;&#3634;&#3617;&#3605;&#3657;&#3629;&#3591;&#3585;&#3634;&#3619;&#3651;&#3594;&#3657;&#3609;&#3657;&#3635;\&#3588;&#3623;&#3634;&#3617;&#3605;&#3657;&#3629;&#3591;&#3585;&#3634;&#3619;&#3609;&#3657;&#36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ckfiushing"/>
      <sheetName val="ระเหย"/>
      <sheetName val="Sheet2"/>
      <sheetName val="Sheet3"/>
    </sheetNames>
    <sheetDataSet>
      <sheetData sheetId="0">
        <row r="22">
          <cell r="J22">
            <v>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8"/>
  <sheetViews>
    <sheetView showGridLines="0" workbookViewId="0" topLeftCell="F2">
      <selection activeCell="P8" sqref="P8"/>
    </sheetView>
  </sheetViews>
  <sheetFormatPr defaultColWidth="9.140625" defaultRowHeight="21.75"/>
  <cols>
    <col min="1" max="1" width="6.28125" style="17" customWidth="1"/>
    <col min="2" max="2" width="19.140625" style="27" customWidth="1"/>
    <col min="3" max="3" width="4.8515625" style="27" customWidth="1"/>
    <col min="4" max="4" width="9.140625" style="15" customWidth="1"/>
    <col min="5" max="5" width="9.140625" style="33" customWidth="1"/>
    <col min="6" max="6" width="9.421875" style="27" customWidth="1"/>
    <col min="7" max="7" width="9.421875" style="15" customWidth="1"/>
    <col min="8" max="8" width="9.28125" style="15" customWidth="1"/>
    <col min="9" max="9" width="15.8515625" style="15" customWidth="1"/>
    <col min="10" max="10" width="10.7109375" style="15" customWidth="1"/>
    <col min="11" max="11" width="9.8515625" style="15" customWidth="1"/>
    <col min="12" max="12" width="13.140625" style="15" customWidth="1"/>
    <col min="13" max="13" width="9.7109375" style="15" customWidth="1"/>
    <col min="14" max="14" width="9.421875" style="15" bestFit="1" customWidth="1"/>
    <col min="15" max="15" width="9.140625" style="15" customWidth="1"/>
    <col min="16" max="16" width="12.421875" style="15" customWidth="1"/>
    <col min="17" max="17" width="12.140625" style="15" customWidth="1"/>
    <col min="18" max="16384" width="9.140625" style="15" customWidth="1"/>
  </cols>
  <sheetData>
    <row r="1" spans="1:17" ht="31.5">
      <c r="A1" s="119" t="s">
        <v>115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1"/>
    </row>
    <row r="2" spans="1:17" s="14" customFormat="1" ht="29.25">
      <c r="A2" s="64" t="s">
        <v>59</v>
      </c>
      <c r="B2" s="26"/>
      <c r="C2" s="26"/>
      <c r="D2" s="12"/>
      <c r="E2" s="32"/>
      <c r="F2" s="31"/>
      <c r="G2" s="13"/>
      <c r="H2" s="13"/>
      <c r="I2" s="13"/>
      <c r="J2" s="13"/>
      <c r="K2" s="13"/>
      <c r="L2" s="13"/>
      <c r="M2" s="13"/>
      <c r="N2" s="13"/>
      <c r="O2" s="13"/>
      <c r="P2" s="13"/>
      <c r="Q2" s="65"/>
    </row>
    <row r="3" spans="1:17" ht="30" thickBot="1">
      <c r="A3" s="70"/>
      <c r="B3" s="37" t="s">
        <v>60</v>
      </c>
      <c r="C3" s="30">
        <v>80</v>
      </c>
      <c r="D3" s="15" t="s">
        <v>61</v>
      </c>
      <c r="G3" s="33" t="s">
        <v>62</v>
      </c>
      <c r="H3" s="21">
        <f>data!G26</f>
        <v>0.69685</v>
      </c>
      <c r="L3" s="22"/>
      <c r="N3" s="15" t="s">
        <v>63</v>
      </c>
      <c r="P3" s="16">
        <f>data!G46</f>
        <v>0.0011574074074074076</v>
      </c>
      <c r="Q3" s="71" t="s">
        <v>86</v>
      </c>
    </row>
    <row r="4" spans="1:17" s="45" customFormat="1" ht="23.25">
      <c r="A4" s="72" t="s">
        <v>89</v>
      </c>
      <c r="B4" s="73" t="s">
        <v>88</v>
      </c>
      <c r="C4" s="74" t="s">
        <v>64</v>
      </c>
      <c r="D4" s="73" t="s">
        <v>110</v>
      </c>
      <c r="E4" s="75" t="s">
        <v>111</v>
      </c>
      <c r="F4" s="75" t="s">
        <v>113</v>
      </c>
      <c r="G4" s="75" t="s">
        <v>114</v>
      </c>
      <c r="H4" s="74" t="s">
        <v>66</v>
      </c>
      <c r="I4" s="74" t="s">
        <v>67</v>
      </c>
      <c r="J4" s="74" t="s">
        <v>68</v>
      </c>
      <c r="K4" s="73" t="s">
        <v>65</v>
      </c>
      <c r="L4" s="74" t="s">
        <v>69</v>
      </c>
      <c r="M4" s="74" t="s">
        <v>70</v>
      </c>
      <c r="N4" s="74" t="s">
        <v>71</v>
      </c>
      <c r="O4" s="74" t="s">
        <v>72</v>
      </c>
      <c r="P4" s="74" t="s">
        <v>73</v>
      </c>
      <c r="Q4" s="76" t="s">
        <v>74</v>
      </c>
    </row>
    <row r="5" spans="1:17" s="45" customFormat="1" ht="24" thickBot="1">
      <c r="A5" s="66"/>
      <c r="B5" s="67" t="s">
        <v>75</v>
      </c>
      <c r="C5" s="68" t="s">
        <v>75</v>
      </c>
      <c r="D5" s="68" t="s">
        <v>77</v>
      </c>
      <c r="E5" s="68" t="s">
        <v>77</v>
      </c>
      <c r="F5" s="68" t="s">
        <v>77</v>
      </c>
      <c r="G5" s="68" t="s">
        <v>77</v>
      </c>
      <c r="H5" s="68" t="s">
        <v>77</v>
      </c>
      <c r="I5" s="68" t="s">
        <v>78</v>
      </c>
      <c r="J5" s="68" t="s">
        <v>79</v>
      </c>
      <c r="K5" s="67" t="s">
        <v>76</v>
      </c>
      <c r="L5" s="68" t="s">
        <v>80</v>
      </c>
      <c r="M5" s="68" t="s">
        <v>81</v>
      </c>
      <c r="N5" s="68" t="s">
        <v>82</v>
      </c>
      <c r="O5" s="68" t="s">
        <v>83</v>
      </c>
      <c r="P5" s="68" t="s">
        <v>84</v>
      </c>
      <c r="Q5" s="69" t="s">
        <v>85</v>
      </c>
    </row>
    <row r="6" spans="1:17" s="45" customFormat="1" ht="23.25">
      <c r="A6" s="46">
        <v>1</v>
      </c>
      <c r="B6" s="58" t="s">
        <v>90</v>
      </c>
      <c r="C6" s="59">
        <v>130</v>
      </c>
      <c r="D6" s="59">
        <v>16</v>
      </c>
      <c r="E6" s="60">
        <f>C6*D6</f>
        <v>2080</v>
      </c>
      <c r="F6" s="60"/>
      <c r="G6" s="60"/>
      <c r="H6" s="60">
        <f>E6</f>
        <v>2080</v>
      </c>
      <c r="I6" s="61">
        <f>0.278*$H$3*$C$3*H6/10^6</f>
        <v>0.03223572352</v>
      </c>
      <c r="J6" s="61"/>
      <c r="K6" s="62">
        <f>C6</f>
        <v>130</v>
      </c>
      <c r="L6" s="61">
        <f>$P$3*K6/1000</f>
        <v>0.000150462962962963</v>
      </c>
      <c r="M6" s="77">
        <f>I6+J6+L6</f>
        <v>0.032386186482962966</v>
      </c>
      <c r="N6" s="59">
        <f>1/500</f>
        <v>0.002</v>
      </c>
      <c r="O6" s="63">
        <f>0.321*M6^(3/8)*N6^(-3/16)</f>
        <v>0.2844112936985949</v>
      </c>
      <c r="P6" s="80">
        <v>0.4</v>
      </c>
      <c r="Q6" s="63">
        <f>1/0.015*(P6/4)^(2/3)*N6^0.5</f>
        <v>0.6423283226659976</v>
      </c>
    </row>
    <row r="7" spans="1:17" s="45" customFormat="1" ht="23.25">
      <c r="A7" s="47">
        <v>2</v>
      </c>
      <c r="B7" s="48" t="s">
        <v>91</v>
      </c>
      <c r="C7" s="49">
        <v>146</v>
      </c>
      <c r="D7" s="49">
        <v>20</v>
      </c>
      <c r="E7" s="50">
        <f aca="true" t="shared" si="0" ref="E7:E28">C7*D7</f>
        <v>2920</v>
      </c>
      <c r="F7" s="50"/>
      <c r="G7" s="50"/>
      <c r="H7" s="50">
        <f>H6+E7</f>
        <v>5000</v>
      </c>
      <c r="I7" s="51">
        <f aca="true" t="shared" si="1" ref="I7:I34">0.278*$H$3*$C$3*H7/10^6</f>
        <v>0.07748972</v>
      </c>
      <c r="J7" s="51"/>
      <c r="K7" s="52">
        <f>K6+C7</f>
        <v>276</v>
      </c>
      <c r="L7" s="51">
        <f aca="true" t="shared" si="2" ref="L7:L34">$P$3*K7/1000</f>
        <v>0.00031944444444444446</v>
      </c>
      <c r="M7" s="78">
        <f aca="true" t="shared" si="3" ref="M7:M34">I7+J7+L7</f>
        <v>0.07780916444444444</v>
      </c>
      <c r="N7" s="49">
        <f>1/500</f>
        <v>0.002</v>
      </c>
      <c r="O7" s="53">
        <f aca="true" t="shared" si="4" ref="O7:O34">0.321*M7^(3/8)*N7^(-3/16)</f>
        <v>0.39509218568461096</v>
      </c>
      <c r="P7" s="81">
        <v>0.4</v>
      </c>
      <c r="Q7" s="53">
        <f aca="true" t="shared" si="5" ref="Q7:Q34">1/0.015*(P7/4)^(2/3)*N7^0.5</f>
        <v>0.6423283226659976</v>
      </c>
    </row>
    <row r="8" spans="1:17" s="45" customFormat="1" ht="23.25">
      <c r="A8" s="47">
        <v>3</v>
      </c>
      <c r="B8" s="48" t="s">
        <v>116</v>
      </c>
      <c r="C8" s="49">
        <v>150</v>
      </c>
      <c r="D8" s="49">
        <v>17</v>
      </c>
      <c r="E8" s="50">
        <f t="shared" si="0"/>
        <v>2550</v>
      </c>
      <c r="F8" s="50"/>
      <c r="G8" s="50"/>
      <c r="H8" s="50">
        <f>E8</f>
        <v>2550</v>
      </c>
      <c r="I8" s="51">
        <f t="shared" si="1"/>
        <v>0.0395197572</v>
      </c>
      <c r="J8" s="51"/>
      <c r="K8" s="52">
        <f aca="true" t="shared" si="6" ref="K8:K28">K7+C8</f>
        <v>426</v>
      </c>
      <c r="L8" s="51">
        <f t="shared" si="2"/>
        <v>0.0004930555555555556</v>
      </c>
      <c r="M8" s="78">
        <f t="shared" si="3"/>
        <v>0.04001281275555556</v>
      </c>
      <c r="N8" s="49">
        <f>1/500</f>
        <v>0.002</v>
      </c>
      <c r="O8" s="53">
        <f t="shared" si="4"/>
        <v>0.3078836055858244</v>
      </c>
      <c r="P8" s="81">
        <v>0.5</v>
      </c>
      <c r="Q8" s="53">
        <f t="shared" si="5"/>
        <v>0.7453559924999301</v>
      </c>
    </row>
    <row r="9" spans="1:17" s="45" customFormat="1" ht="23.25">
      <c r="A9" s="47">
        <v>4</v>
      </c>
      <c r="B9" s="48" t="s">
        <v>117</v>
      </c>
      <c r="C9" s="49">
        <v>160</v>
      </c>
      <c r="D9" s="49">
        <v>17</v>
      </c>
      <c r="E9" s="50">
        <f>C9*D9</f>
        <v>2720</v>
      </c>
      <c r="F9" s="50"/>
      <c r="G9" s="50"/>
      <c r="H9" s="50">
        <f>E9+H7</f>
        <v>7720</v>
      </c>
      <c r="I9" s="51">
        <f t="shared" si="1"/>
        <v>0.11964412768</v>
      </c>
      <c r="J9" s="47">
        <f>0.0003299</f>
        <v>0.0003299</v>
      </c>
      <c r="K9" s="52">
        <f t="shared" si="6"/>
        <v>586</v>
      </c>
      <c r="L9" s="51">
        <f t="shared" si="2"/>
        <v>0.0006782407407407408</v>
      </c>
      <c r="M9" s="78">
        <f t="shared" si="3"/>
        <v>0.12065226842074074</v>
      </c>
      <c r="N9" s="49">
        <f>1/500</f>
        <v>0.002</v>
      </c>
      <c r="O9" s="53">
        <f t="shared" si="4"/>
        <v>0.46573375728387434</v>
      </c>
      <c r="P9" s="81">
        <v>0.6</v>
      </c>
      <c r="Q9" s="53">
        <f t="shared" si="5"/>
        <v>0.8416882119417742</v>
      </c>
    </row>
    <row r="10" spans="1:17" s="45" customFormat="1" ht="23.25">
      <c r="A10" s="47">
        <v>5</v>
      </c>
      <c r="B10" s="48" t="s">
        <v>92</v>
      </c>
      <c r="C10" s="49">
        <v>145</v>
      </c>
      <c r="D10" s="49">
        <v>13</v>
      </c>
      <c r="E10" s="50">
        <f t="shared" si="0"/>
        <v>1885</v>
      </c>
      <c r="F10" s="50"/>
      <c r="G10" s="50">
        <v>1050</v>
      </c>
      <c r="H10" s="50">
        <f>E10+H9+G10</f>
        <v>10655</v>
      </c>
      <c r="I10" s="51">
        <f t="shared" si="1"/>
        <v>0.16513059332000002</v>
      </c>
      <c r="J10" s="47">
        <f>0.0003299</f>
        <v>0.0003299</v>
      </c>
      <c r="K10" s="52">
        <f t="shared" si="6"/>
        <v>731</v>
      </c>
      <c r="L10" s="51">
        <f t="shared" si="2"/>
        <v>0.0008460648148148149</v>
      </c>
      <c r="M10" s="78">
        <f t="shared" si="3"/>
        <v>0.16630655813481482</v>
      </c>
      <c r="N10" s="49">
        <f>1/500</f>
        <v>0.002</v>
      </c>
      <c r="O10" s="53">
        <f t="shared" si="4"/>
        <v>0.5252945851707027</v>
      </c>
      <c r="P10" s="81">
        <v>0.6</v>
      </c>
      <c r="Q10" s="53">
        <f t="shared" si="5"/>
        <v>0.8416882119417742</v>
      </c>
    </row>
    <row r="11" spans="1:17" s="45" customFormat="1" ht="23.25">
      <c r="A11" s="47">
        <v>6</v>
      </c>
      <c r="B11" s="49" t="s">
        <v>93</v>
      </c>
      <c r="C11" s="49">
        <v>46</v>
      </c>
      <c r="D11" s="49">
        <v>20</v>
      </c>
      <c r="E11" s="50">
        <f t="shared" si="0"/>
        <v>920</v>
      </c>
      <c r="F11" s="50"/>
      <c r="G11" s="50"/>
      <c r="H11" s="50">
        <f>E11</f>
        <v>920</v>
      </c>
      <c r="I11" s="51">
        <f t="shared" si="1"/>
        <v>0.01425810848</v>
      </c>
      <c r="J11" s="54">
        <v>0.0001319</v>
      </c>
      <c r="K11" s="52">
        <v>46</v>
      </c>
      <c r="L11" s="51">
        <f t="shared" si="2"/>
        <v>5.324074074074075E-05</v>
      </c>
      <c r="M11" s="78">
        <f t="shared" si="3"/>
        <v>0.014443249220740742</v>
      </c>
      <c r="N11" s="49">
        <f aca="true" t="shared" si="7" ref="N11:N34">1/500</f>
        <v>0.002</v>
      </c>
      <c r="O11" s="53">
        <f t="shared" si="4"/>
        <v>0.21010493224041105</v>
      </c>
      <c r="P11" s="81">
        <v>0.4</v>
      </c>
      <c r="Q11" s="53">
        <f t="shared" si="5"/>
        <v>0.6423283226659976</v>
      </c>
    </row>
    <row r="12" spans="1:17" s="45" customFormat="1" ht="23.25">
      <c r="A12" s="47">
        <v>7</v>
      </c>
      <c r="B12" s="49" t="s">
        <v>94</v>
      </c>
      <c r="C12" s="49">
        <v>95</v>
      </c>
      <c r="D12" s="49">
        <v>30</v>
      </c>
      <c r="E12" s="50">
        <f t="shared" si="0"/>
        <v>2850</v>
      </c>
      <c r="F12" s="50"/>
      <c r="G12" s="50">
        <v>204</v>
      </c>
      <c r="H12" s="50">
        <f>G12+H11+E12</f>
        <v>3974</v>
      </c>
      <c r="I12" s="51">
        <f t="shared" si="1"/>
        <v>0.061588829456</v>
      </c>
      <c r="J12" s="54">
        <v>4.4E-05</v>
      </c>
      <c r="K12" s="52">
        <f t="shared" si="6"/>
        <v>141</v>
      </c>
      <c r="L12" s="51">
        <f t="shared" si="2"/>
        <v>0.0001631944444444445</v>
      </c>
      <c r="M12" s="78">
        <f t="shared" si="3"/>
        <v>0.06179602390044445</v>
      </c>
      <c r="N12" s="49">
        <f t="shared" si="7"/>
        <v>0.002</v>
      </c>
      <c r="O12" s="53">
        <f t="shared" si="4"/>
        <v>0.36238658125668205</v>
      </c>
      <c r="P12" s="81">
        <v>0.4</v>
      </c>
      <c r="Q12" s="53">
        <f t="shared" si="5"/>
        <v>0.6423283226659976</v>
      </c>
    </row>
    <row r="13" spans="1:17" s="45" customFormat="1" ht="23.25">
      <c r="A13" s="47">
        <v>8</v>
      </c>
      <c r="B13" s="49" t="s">
        <v>95</v>
      </c>
      <c r="C13" s="49">
        <v>110</v>
      </c>
      <c r="D13" s="49">
        <v>35</v>
      </c>
      <c r="E13" s="50">
        <f t="shared" si="0"/>
        <v>3850</v>
      </c>
      <c r="F13" s="50"/>
      <c r="G13" s="50"/>
      <c r="H13" s="50">
        <f>E13</f>
        <v>3850</v>
      </c>
      <c r="I13" s="51">
        <f t="shared" si="1"/>
        <v>0.0596670844</v>
      </c>
      <c r="J13" s="54">
        <f>J11*2</f>
        <v>0.0002638</v>
      </c>
      <c r="K13" s="52">
        <f t="shared" si="6"/>
        <v>251</v>
      </c>
      <c r="L13" s="51">
        <f t="shared" si="2"/>
        <v>0.0002905092592592593</v>
      </c>
      <c r="M13" s="78">
        <f t="shared" si="3"/>
        <v>0.06022139365925926</v>
      </c>
      <c r="N13" s="49">
        <f t="shared" si="7"/>
        <v>0.002</v>
      </c>
      <c r="O13" s="53">
        <f t="shared" si="4"/>
        <v>0.3588958685126977</v>
      </c>
      <c r="P13" s="81">
        <v>0.4</v>
      </c>
      <c r="Q13" s="53">
        <f t="shared" si="5"/>
        <v>0.6423283226659976</v>
      </c>
    </row>
    <row r="14" spans="1:17" s="45" customFormat="1" ht="23.25">
      <c r="A14" s="47">
        <v>9</v>
      </c>
      <c r="B14" s="49" t="s">
        <v>96</v>
      </c>
      <c r="C14" s="49">
        <v>55</v>
      </c>
      <c r="D14" s="49">
        <v>30</v>
      </c>
      <c r="E14" s="50">
        <f t="shared" si="0"/>
        <v>1650</v>
      </c>
      <c r="F14" s="50">
        <v>710</v>
      </c>
      <c r="G14" s="50"/>
      <c r="H14" s="50">
        <f>E14+F14+H13+H12</f>
        <v>10184</v>
      </c>
      <c r="I14" s="51">
        <f t="shared" si="1"/>
        <v>0.157831061696</v>
      </c>
      <c r="J14" s="54">
        <f>J13+J12+0.0002199</f>
        <v>0.0005277</v>
      </c>
      <c r="K14" s="52">
        <f t="shared" si="6"/>
        <v>306</v>
      </c>
      <c r="L14" s="51">
        <f t="shared" si="2"/>
        <v>0.00035416666666666675</v>
      </c>
      <c r="M14" s="78">
        <f t="shared" si="3"/>
        <v>0.15871292836266665</v>
      </c>
      <c r="N14" s="49">
        <f t="shared" si="7"/>
        <v>0.002</v>
      </c>
      <c r="O14" s="53">
        <f t="shared" si="4"/>
        <v>0.5161685297024979</v>
      </c>
      <c r="P14" s="81">
        <v>0.6</v>
      </c>
      <c r="Q14" s="53">
        <f t="shared" si="5"/>
        <v>0.8416882119417742</v>
      </c>
    </row>
    <row r="15" spans="1:17" s="45" customFormat="1" ht="23.25">
      <c r="A15" s="47">
        <v>10</v>
      </c>
      <c r="B15" s="49" t="s">
        <v>118</v>
      </c>
      <c r="C15" s="49">
        <v>230</v>
      </c>
      <c r="D15" s="49">
        <v>13</v>
      </c>
      <c r="E15" s="50">
        <f t="shared" si="0"/>
        <v>2990</v>
      </c>
      <c r="F15" s="50"/>
      <c r="G15" s="50">
        <v>180</v>
      </c>
      <c r="H15" s="50">
        <f>E15+G15+H14</f>
        <v>13354</v>
      </c>
      <c r="I15" s="51">
        <f t="shared" si="1"/>
        <v>0.206959544176</v>
      </c>
      <c r="J15" s="54">
        <f>SUM(J11:J14)</f>
        <v>0.0009674</v>
      </c>
      <c r="K15" s="52">
        <f t="shared" si="6"/>
        <v>536</v>
      </c>
      <c r="L15" s="51">
        <f t="shared" si="2"/>
        <v>0.0006203703703703704</v>
      </c>
      <c r="M15" s="78">
        <f t="shared" si="3"/>
        <v>0.20854731454637038</v>
      </c>
      <c r="N15" s="49">
        <f t="shared" si="7"/>
        <v>0.002</v>
      </c>
      <c r="O15" s="53">
        <f t="shared" si="4"/>
        <v>0.5718256520912366</v>
      </c>
      <c r="P15" s="81">
        <v>0.6</v>
      </c>
      <c r="Q15" s="53">
        <f t="shared" si="5"/>
        <v>0.8416882119417742</v>
      </c>
    </row>
    <row r="16" spans="1:17" s="45" customFormat="1" ht="23.25">
      <c r="A16" s="47">
        <v>11</v>
      </c>
      <c r="B16" s="48" t="s">
        <v>97</v>
      </c>
      <c r="C16" s="49">
        <v>100</v>
      </c>
      <c r="D16" s="49">
        <v>15</v>
      </c>
      <c r="E16" s="50">
        <f t="shared" si="0"/>
        <v>1500</v>
      </c>
      <c r="F16" s="50"/>
      <c r="G16" s="50"/>
      <c r="H16" s="50">
        <f>E16</f>
        <v>1500</v>
      </c>
      <c r="I16" s="51">
        <f t="shared" si="1"/>
        <v>0.023246916</v>
      </c>
      <c r="J16" s="55"/>
      <c r="K16" s="52">
        <v>100</v>
      </c>
      <c r="L16" s="51">
        <f t="shared" si="2"/>
        <v>0.00011574074074074076</v>
      </c>
      <c r="M16" s="78">
        <f t="shared" si="3"/>
        <v>0.02336265674074074</v>
      </c>
      <c r="N16" s="49">
        <f t="shared" si="7"/>
        <v>0.002</v>
      </c>
      <c r="O16" s="53">
        <f t="shared" si="4"/>
        <v>0.251627291985403</v>
      </c>
      <c r="P16" s="81">
        <v>0.4</v>
      </c>
      <c r="Q16" s="53">
        <f t="shared" si="5"/>
        <v>0.6423283226659976</v>
      </c>
    </row>
    <row r="17" spans="1:17" s="45" customFormat="1" ht="23.25">
      <c r="A17" s="47">
        <v>12</v>
      </c>
      <c r="B17" s="48" t="s">
        <v>98</v>
      </c>
      <c r="C17" s="49">
        <v>150</v>
      </c>
      <c r="D17" s="49">
        <v>15</v>
      </c>
      <c r="E17" s="50">
        <f t="shared" si="0"/>
        <v>2250</v>
      </c>
      <c r="F17" s="50">
        <v>351</v>
      </c>
      <c r="G17" s="50"/>
      <c r="H17" s="50">
        <f>E17+F17</f>
        <v>2601</v>
      </c>
      <c r="I17" s="51">
        <f t="shared" si="1"/>
        <v>0.040310152344000004</v>
      </c>
      <c r="J17" s="54">
        <v>0.0001319</v>
      </c>
      <c r="K17" s="52">
        <f t="shared" si="6"/>
        <v>250</v>
      </c>
      <c r="L17" s="51">
        <f t="shared" si="2"/>
        <v>0.0002893518518518519</v>
      </c>
      <c r="M17" s="78">
        <f t="shared" si="3"/>
        <v>0.040731404195851854</v>
      </c>
      <c r="N17" s="49">
        <f t="shared" si="7"/>
        <v>0.002</v>
      </c>
      <c r="O17" s="53">
        <f t="shared" si="4"/>
        <v>0.30994556514645044</v>
      </c>
      <c r="P17" s="81">
        <v>0.4</v>
      </c>
      <c r="Q17" s="53">
        <f t="shared" si="5"/>
        <v>0.6423283226659976</v>
      </c>
    </row>
    <row r="18" spans="1:17" s="45" customFormat="1" ht="23.25">
      <c r="A18" s="47">
        <v>13</v>
      </c>
      <c r="B18" s="48" t="s">
        <v>99</v>
      </c>
      <c r="C18" s="49">
        <v>100</v>
      </c>
      <c r="D18" s="49">
        <v>15</v>
      </c>
      <c r="E18" s="50">
        <f t="shared" si="0"/>
        <v>1500</v>
      </c>
      <c r="F18" s="50">
        <f>526+245</f>
        <v>771</v>
      </c>
      <c r="G18" s="50">
        <f>204+204</f>
        <v>408</v>
      </c>
      <c r="H18" s="50">
        <f>G18+F18+E18</f>
        <v>2679</v>
      </c>
      <c r="I18" s="51">
        <f t="shared" si="1"/>
        <v>0.041518991975999994</v>
      </c>
      <c r="J18" s="54">
        <f>J17+J12</f>
        <v>0.0001759</v>
      </c>
      <c r="K18" s="52">
        <f t="shared" si="6"/>
        <v>350</v>
      </c>
      <c r="L18" s="51">
        <f t="shared" si="2"/>
        <v>0.0004050925925925927</v>
      </c>
      <c r="M18" s="78">
        <f t="shared" si="3"/>
        <v>0.04209998456859259</v>
      </c>
      <c r="N18" s="49">
        <f t="shared" si="7"/>
        <v>0.002</v>
      </c>
      <c r="O18" s="53">
        <f t="shared" si="4"/>
        <v>0.31381061822142237</v>
      </c>
      <c r="P18" s="81">
        <v>0.4</v>
      </c>
      <c r="Q18" s="53">
        <f t="shared" si="5"/>
        <v>0.6423283226659976</v>
      </c>
    </row>
    <row r="19" spans="1:17" s="45" customFormat="1" ht="23.25">
      <c r="A19" s="47">
        <v>14</v>
      </c>
      <c r="B19" s="48" t="s">
        <v>100</v>
      </c>
      <c r="C19" s="49">
        <v>40</v>
      </c>
      <c r="D19" s="49">
        <v>15</v>
      </c>
      <c r="E19" s="50">
        <f t="shared" si="0"/>
        <v>600</v>
      </c>
      <c r="F19" s="50">
        <f>1863+2513</f>
        <v>4376</v>
      </c>
      <c r="G19" s="50"/>
      <c r="H19" s="50">
        <f>F19+H18+H17+H16</f>
        <v>11156</v>
      </c>
      <c r="I19" s="51">
        <f t="shared" si="1"/>
        <v>0.172895063264</v>
      </c>
      <c r="J19" s="54">
        <f>J18+J17</f>
        <v>0.0003078</v>
      </c>
      <c r="K19" s="52">
        <f t="shared" si="6"/>
        <v>390</v>
      </c>
      <c r="L19" s="51">
        <f t="shared" si="2"/>
        <v>0.000451388888888889</v>
      </c>
      <c r="M19" s="78">
        <f t="shared" si="3"/>
        <v>0.17365425215288888</v>
      </c>
      <c r="N19" s="49">
        <f t="shared" si="7"/>
        <v>0.002</v>
      </c>
      <c r="O19" s="53">
        <f t="shared" si="4"/>
        <v>0.5338803561178965</v>
      </c>
      <c r="P19" s="81">
        <v>0.6</v>
      </c>
      <c r="Q19" s="53">
        <f t="shared" si="5"/>
        <v>0.8416882119417742</v>
      </c>
    </row>
    <row r="20" spans="1:17" s="45" customFormat="1" ht="23.25">
      <c r="A20" s="47">
        <v>15</v>
      </c>
      <c r="B20" s="49" t="s">
        <v>101</v>
      </c>
      <c r="C20" s="49">
        <v>185</v>
      </c>
      <c r="D20" s="49">
        <v>30</v>
      </c>
      <c r="E20" s="50">
        <f t="shared" si="0"/>
        <v>5550</v>
      </c>
      <c r="F20" s="50">
        <v>290</v>
      </c>
      <c r="G20" s="50"/>
      <c r="H20" s="50">
        <f>E20+F20</f>
        <v>5840</v>
      </c>
      <c r="I20" s="51">
        <f t="shared" si="1"/>
        <v>0.09050799296</v>
      </c>
      <c r="J20" s="55"/>
      <c r="K20" s="52">
        <v>185</v>
      </c>
      <c r="L20" s="51">
        <f t="shared" si="2"/>
        <v>0.0002141203703703704</v>
      </c>
      <c r="M20" s="78">
        <f t="shared" si="3"/>
        <v>0.09072211333037038</v>
      </c>
      <c r="N20" s="49">
        <f t="shared" si="7"/>
        <v>0.002</v>
      </c>
      <c r="O20" s="53">
        <f t="shared" si="4"/>
        <v>0.4185085574017424</v>
      </c>
      <c r="P20" s="81">
        <v>0.6</v>
      </c>
      <c r="Q20" s="53">
        <f t="shared" si="5"/>
        <v>0.8416882119417742</v>
      </c>
    </row>
    <row r="21" spans="1:17" s="45" customFormat="1" ht="23.25">
      <c r="A21" s="47">
        <v>16</v>
      </c>
      <c r="B21" s="49" t="s">
        <v>102</v>
      </c>
      <c r="C21" s="49">
        <v>30</v>
      </c>
      <c r="D21" s="49">
        <v>40</v>
      </c>
      <c r="E21" s="50">
        <f t="shared" si="0"/>
        <v>1200</v>
      </c>
      <c r="F21" s="50"/>
      <c r="G21" s="50"/>
      <c r="H21" s="50">
        <f>E21</f>
        <v>1200</v>
      </c>
      <c r="I21" s="51">
        <f t="shared" si="1"/>
        <v>0.0185975328</v>
      </c>
      <c r="J21" s="55"/>
      <c r="K21" s="52">
        <f t="shared" si="6"/>
        <v>215</v>
      </c>
      <c r="L21" s="51">
        <f t="shared" si="2"/>
        <v>0.0002488425925925926</v>
      </c>
      <c r="M21" s="78">
        <f t="shared" si="3"/>
        <v>0.018846375392592592</v>
      </c>
      <c r="N21" s="49">
        <f t="shared" si="7"/>
        <v>0.002</v>
      </c>
      <c r="O21" s="53">
        <f t="shared" si="4"/>
        <v>0.23215195603501224</v>
      </c>
      <c r="P21" s="81">
        <v>0.6</v>
      </c>
      <c r="Q21" s="53">
        <f t="shared" si="5"/>
        <v>0.8416882119417742</v>
      </c>
    </row>
    <row r="22" spans="1:17" s="45" customFormat="1" ht="23.25">
      <c r="A22" s="47">
        <v>17</v>
      </c>
      <c r="B22" s="49" t="s">
        <v>103</v>
      </c>
      <c r="C22" s="49">
        <v>170</v>
      </c>
      <c r="D22" s="49">
        <v>30</v>
      </c>
      <c r="E22" s="50">
        <f t="shared" si="0"/>
        <v>5100</v>
      </c>
      <c r="F22" s="50">
        <v>200</v>
      </c>
      <c r="G22" s="50"/>
      <c r="H22" s="50">
        <f>E22+F22+H21+H20</f>
        <v>12340</v>
      </c>
      <c r="I22" s="51">
        <f t="shared" si="1"/>
        <v>0.19124462896</v>
      </c>
      <c r="J22" s="55"/>
      <c r="K22" s="52">
        <f t="shared" si="6"/>
        <v>385</v>
      </c>
      <c r="L22" s="51">
        <f t="shared" si="2"/>
        <v>0.0004456018518518519</v>
      </c>
      <c r="M22" s="78">
        <f t="shared" si="3"/>
        <v>0.19169023081185185</v>
      </c>
      <c r="N22" s="49">
        <f t="shared" si="7"/>
        <v>0.002</v>
      </c>
      <c r="O22" s="53">
        <f t="shared" si="4"/>
        <v>0.5540346167717969</v>
      </c>
      <c r="P22" s="81">
        <v>0.6</v>
      </c>
      <c r="Q22" s="53">
        <f t="shared" si="5"/>
        <v>0.8416882119417742</v>
      </c>
    </row>
    <row r="23" spans="1:17" s="45" customFormat="1" ht="23.25">
      <c r="A23" s="47">
        <v>18</v>
      </c>
      <c r="B23" s="49" t="s">
        <v>104</v>
      </c>
      <c r="C23" s="49">
        <v>80</v>
      </c>
      <c r="D23" s="49">
        <v>20</v>
      </c>
      <c r="E23" s="50">
        <f t="shared" si="0"/>
        <v>1600</v>
      </c>
      <c r="F23" s="50"/>
      <c r="G23" s="50">
        <v>1200</v>
      </c>
      <c r="H23" s="50">
        <f>E23+G23</f>
        <v>2800</v>
      </c>
      <c r="I23" s="51">
        <f t="shared" si="1"/>
        <v>0.0433942432</v>
      </c>
      <c r="J23" s="54">
        <v>0.0004398</v>
      </c>
      <c r="K23" s="52">
        <v>80</v>
      </c>
      <c r="L23" s="51">
        <f t="shared" si="2"/>
        <v>9.25925925925926E-05</v>
      </c>
      <c r="M23" s="78">
        <f t="shared" si="3"/>
        <v>0.043926635792592594</v>
      </c>
      <c r="N23" s="49">
        <f t="shared" si="7"/>
        <v>0.002</v>
      </c>
      <c r="O23" s="53">
        <f t="shared" si="4"/>
        <v>0.3188488734859657</v>
      </c>
      <c r="P23" s="81">
        <v>0.6</v>
      </c>
      <c r="Q23" s="53">
        <f t="shared" si="5"/>
        <v>0.8416882119417742</v>
      </c>
    </row>
    <row r="24" spans="1:17" s="45" customFormat="1" ht="23.25">
      <c r="A24" s="47">
        <v>19</v>
      </c>
      <c r="B24" s="49" t="s">
        <v>105</v>
      </c>
      <c r="C24" s="49">
        <v>45</v>
      </c>
      <c r="D24" s="49">
        <v>20</v>
      </c>
      <c r="E24" s="50">
        <f t="shared" si="0"/>
        <v>900</v>
      </c>
      <c r="F24" s="50"/>
      <c r="G24" s="50"/>
      <c r="H24" s="50">
        <f>E24</f>
        <v>900</v>
      </c>
      <c r="I24" s="51">
        <f t="shared" si="1"/>
        <v>0.013948149600000001</v>
      </c>
      <c r="J24" s="55"/>
      <c r="K24" s="52">
        <f t="shared" si="6"/>
        <v>125</v>
      </c>
      <c r="L24" s="51">
        <f t="shared" si="2"/>
        <v>0.00014467592592592594</v>
      </c>
      <c r="M24" s="78">
        <f t="shared" si="3"/>
        <v>0.014092825525925928</v>
      </c>
      <c r="N24" s="49">
        <f t="shared" si="7"/>
        <v>0.002</v>
      </c>
      <c r="O24" s="53">
        <f t="shared" si="4"/>
        <v>0.20817864930247632</v>
      </c>
      <c r="P24" s="81">
        <v>0.4</v>
      </c>
      <c r="Q24" s="53">
        <f t="shared" si="5"/>
        <v>0.6423283226659976</v>
      </c>
    </row>
    <row r="25" spans="1:17" s="45" customFormat="1" ht="23.25">
      <c r="A25" s="47">
        <v>20</v>
      </c>
      <c r="B25" s="48" t="s">
        <v>106</v>
      </c>
      <c r="C25" s="49">
        <v>180</v>
      </c>
      <c r="D25" s="49">
        <v>20</v>
      </c>
      <c r="E25" s="50">
        <f t="shared" si="0"/>
        <v>3600</v>
      </c>
      <c r="F25" s="50"/>
      <c r="G25" s="50"/>
      <c r="H25" s="50">
        <f>E25</f>
        <v>3600</v>
      </c>
      <c r="I25" s="51">
        <f t="shared" si="1"/>
        <v>0.055792598400000004</v>
      </c>
      <c r="J25" s="55"/>
      <c r="K25" s="52">
        <v>180</v>
      </c>
      <c r="L25" s="51">
        <f t="shared" si="2"/>
        <v>0.00020833333333333337</v>
      </c>
      <c r="M25" s="78">
        <f t="shared" si="3"/>
        <v>0.056000931733333335</v>
      </c>
      <c r="N25" s="49">
        <f t="shared" si="7"/>
        <v>0.002</v>
      </c>
      <c r="O25" s="53">
        <f t="shared" si="4"/>
        <v>0.34924896520462023</v>
      </c>
      <c r="P25" s="81">
        <v>0.6</v>
      </c>
      <c r="Q25" s="53">
        <f t="shared" si="5"/>
        <v>0.8416882119417742</v>
      </c>
    </row>
    <row r="26" spans="1:17" s="45" customFormat="1" ht="23.25">
      <c r="A26" s="47">
        <v>21</v>
      </c>
      <c r="B26" s="48" t="s">
        <v>107</v>
      </c>
      <c r="C26" s="49">
        <v>60</v>
      </c>
      <c r="D26" s="49">
        <v>40</v>
      </c>
      <c r="E26" s="50">
        <f t="shared" si="0"/>
        <v>2400</v>
      </c>
      <c r="F26" s="50"/>
      <c r="G26" s="50"/>
      <c r="H26" s="50">
        <f>E26</f>
        <v>2400</v>
      </c>
      <c r="I26" s="51">
        <f t="shared" si="1"/>
        <v>0.0371950656</v>
      </c>
      <c r="J26" s="55"/>
      <c r="K26" s="52">
        <f t="shared" si="6"/>
        <v>240</v>
      </c>
      <c r="L26" s="51">
        <f t="shared" si="2"/>
        <v>0.0002777777777777778</v>
      </c>
      <c r="M26" s="78">
        <f t="shared" si="3"/>
        <v>0.03747284337777778</v>
      </c>
      <c r="N26" s="49">
        <f t="shared" si="7"/>
        <v>0.002</v>
      </c>
      <c r="O26" s="53">
        <f t="shared" si="4"/>
        <v>0.3004039584994262</v>
      </c>
      <c r="P26" s="81">
        <v>0.4</v>
      </c>
      <c r="Q26" s="53">
        <f t="shared" si="5"/>
        <v>0.6423283226659976</v>
      </c>
    </row>
    <row r="27" spans="1:17" s="45" customFormat="1" ht="23.25">
      <c r="A27" s="47">
        <v>22</v>
      </c>
      <c r="B27" s="48" t="s">
        <v>108</v>
      </c>
      <c r="C27" s="49">
        <v>90</v>
      </c>
      <c r="D27" s="49">
        <v>25</v>
      </c>
      <c r="E27" s="50">
        <f t="shared" si="0"/>
        <v>2250</v>
      </c>
      <c r="F27" s="50"/>
      <c r="G27" s="50"/>
      <c r="H27" s="50">
        <f>E27</f>
        <v>2250</v>
      </c>
      <c r="I27" s="51">
        <f t="shared" si="1"/>
        <v>0.034870374</v>
      </c>
      <c r="J27" s="55"/>
      <c r="K27" s="52">
        <f t="shared" si="6"/>
        <v>330</v>
      </c>
      <c r="L27" s="51">
        <f t="shared" si="2"/>
        <v>0.00038194444444444446</v>
      </c>
      <c r="M27" s="78">
        <f t="shared" si="3"/>
        <v>0.035252318444444444</v>
      </c>
      <c r="N27" s="49">
        <f t="shared" si="7"/>
        <v>0.002</v>
      </c>
      <c r="O27" s="53">
        <f t="shared" si="4"/>
        <v>0.2936008374038557</v>
      </c>
      <c r="P27" s="81">
        <v>0.4</v>
      </c>
      <c r="Q27" s="53">
        <f t="shared" si="5"/>
        <v>0.6423283226659976</v>
      </c>
    </row>
    <row r="28" spans="1:17" s="45" customFormat="1" ht="23.25">
      <c r="A28" s="47">
        <v>23</v>
      </c>
      <c r="B28" s="48" t="s">
        <v>109</v>
      </c>
      <c r="C28" s="49">
        <v>55</v>
      </c>
      <c r="D28" s="49">
        <v>20</v>
      </c>
      <c r="E28" s="50">
        <f t="shared" si="0"/>
        <v>1100</v>
      </c>
      <c r="F28" s="50"/>
      <c r="G28" s="50"/>
      <c r="H28" s="50">
        <f>E28+H26+H27</f>
        <v>5750</v>
      </c>
      <c r="I28" s="51">
        <f t="shared" si="1"/>
        <v>0.089113178</v>
      </c>
      <c r="J28" s="55"/>
      <c r="K28" s="52">
        <f t="shared" si="6"/>
        <v>385</v>
      </c>
      <c r="L28" s="51">
        <f t="shared" si="2"/>
        <v>0.0004456018518518519</v>
      </c>
      <c r="M28" s="78">
        <f t="shared" si="3"/>
        <v>0.08955877985185186</v>
      </c>
      <c r="N28" s="49">
        <f t="shared" si="7"/>
        <v>0.002</v>
      </c>
      <c r="O28" s="53">
        <f t="shared" si="4"/>
        <v>0.41648797927356146</v>
      </c>
      <c r="P28" s="81">
        <v>0.6</v>
      </c>
      <c r="Q28" s="53">
        <f t="shared" si="5"/>
        <v>0.8416882119417742</v>
      </c>
    </row>
    <row r="29" spans="1:17" s="45" customFormat="1" ht="23.25">
      <c r="A29" s="47">
        <v>24</v>
      </c>
      <c r="B29" s="49" t="s">
        <v>119</v>
      </c>
      <c r="C29" s="49">
        <v>6</v>
      </c>
      <c r="D29" s="49"/>
      <c r="E29" s="50"/>
      <c r="F29" s="50"/>
      <c r="G29" s="50"/>
      <c r="H29" s="50">
        <f>H28+H25</f>
        <v>9350</v>
      </c>
      <c r="I29" s="51">
        <f t="shared" si="1"/>
        <v>0.1449057764</v>
      </c>
      <c r="J29" s="47">
        <f>0.0003299</f>
        <v>0.0003299</v>
      </c>
      <c r="K29" s="52">
        <f>K28</f>
        <v>385</v>
      </c>
      <c r="L29" s="51">
        <f t="shared" si="2"/>
        <v>0.0004456018518518519</v>
      </c>
      <c r="M29" s="78">
        <f t="shared" si="3"/>
        <v>0.14568127825185184</v>
      </c>
      <c r="N29" s="49">
        <f t="shared" si="7"/>
        <v>0.002</v>
      </c>
      <c r="O29" s="53">
        <f t="shared" si="4"/>
        <v>0.49984840658743473</v>
      </c>
      <c r="P29" s="81">
        <v>0.6</v>
      </c>
      <c r="Q29" s="53">
        <f t="shared" si="5"/>
        <v>0.8416882119417742</v>
      </c>
    </row>
    <row r="30" spans="1:17" s="45" customFormat="1" ht="23.25">
      <c r="A30" s="47">
        <v>25</v>
      </c>
      <c r="B30" s="49" t="s">
        <v>120</v>
      </c>
      <c r="C30" s="49">
        <v>30</v>
      </c>
      <c r="D30" s="49"/>
      <c r="E30" s="50"/>
      <c r="F30" s="50"/>
      <c r="G30" s="50"/>
      <c r="H30" s="50">
        <f>H10+H28+H25</f>
        <v>20005</v>
      </c>
      <c r="I30" s="51">
        <f t="shared" si="1"/>
        <v>0.31003636972000004</v>
      </c>
      <c r="J30" s="47">
        <f>0.0003299</f>
        <v>0.0003299</v>
      </c>
      <c r="K30" s="52">
        <f>K29+K10</f>
        <v>1116</v>
      </c>
      <c r="L30" s="51">
        <f t="shared" si="2"/>
        <v>0.0012916666666666667</v>
      </c>
      <c r="M30" s="78">
        <f t="shared" si="3"/>
        <v>0.3116579363866667</v>
      </c>
      <c r="N30" s="49">
        <f>1/500</f>
        <v>0.002</v>
      </c>
      <c r="O30" s="53">
        <f t="shared" si="4"/>
        <v>0.6648003351674046</v>
      </c>
      <c r="P30" s="81">
        <v>1</v>
      </c>
      <c r="Q30" s="53">
        <f t="shared" si="5"/>
        <v>1.1831788865851902</v>
      </c>
    </row>
    <row r="31" spans="1:17" s="45" customFormat="1" ht="23.25">
      <c r="A31" s="47">
        <v>26</v>
      </c>
      <c r="B31" s="49" t="s">
        <v>121</v>
      </c>
      <c r="C31" s="49">
        <v>6</v>
      </c>
      <c r="D31" s="49"/>
      <c r="E31" s="50"/>
      <c r="F31" s="50"/>
      <c r="G31" s="50"/>
      <c r="H31" s="50">
        <f>H30</f>
        <v>20005</v>
      </c>
      <c r="I31" s="51">
        <f t="shared" si="1"/>
        <v>0.31003636972000004</v>
      </c>
      <c r="J31" s="54">
        <f>J30+J15</f>
        <v>0.0012973</v>
      </c>
      <c r="K31" s="52">
        <f>K30+K15</f>
        <v>1652</v>
      </c>
      <c r="L31" s="51">
        <f t="shared" si="2"/>
        <v>0.0019120370370370372</v>
      </c>
      <c r="M31" s="78">
        <f t="shared" si="3"/>
        <v>0.31324570675703706</v>
      </c>
      <c r="N31" s="49">
        <f t="shared" si="7"/>
        <v>0.002</v>
      </c>
      <c r="O31" s="53">
        <f t="shared" si="4"/>
        <v>0.6660684013791425</v>
      </c>
      <c r="P31" s="81">
        <v>1</v>
      </c>
      <c r="Q31" s="53">
        <f t="shared" si="5"/>
        <v>1.1831788865851902</v>
      </c>
    </row>
    <row r="32" spans="1:17" s="45" customFormat="1" ht="23.25">
      <c r="A32" s="47">
        <v>27</v>
      </c>
      <c r="B32" s="49" t="s">
        <v>122</v>
      </c>
      <c r="C32" s="49">
        <v>30</v>
      </c>
      <c r="D32" s="49"/>
      <c r="E32" s="50"/>
      <c r="F32" s="50"/>
      <c r="G32" s="50"/>
      <c r="H32" s="50">
        <f>H31</f>
        <v>20005</v>
      </c>
      <c r="I32" s="51">
        <f t="shared" si="1"/>
        <v>0.31003636972000004</v>
      </c>
      <c r="J32" s="54">
        <f>J31+J17</f>
        <v>0.0014291999999999998</v>
      </c>
      <c r="K32" s="52">
        <f>K31+K19</f>
        <v>2042</v>
      </c>
      <c r="L32" s="51">
        <f t="shared" si="2"/>
        <v>0.002363425925925926</v>
      </c>
      <c r="M32" s="78">
        <f t="shared" si="3"/>
        <v>0.313828995645926</v>
      </c>
      <c r="N32" s="49">
        <f t="shared" si="7"/>
        <v>0.002</v>
      </c>
      <c r="O32" s="53">
        <f t="shared" si="4"/>
        <v>0.6665332335095607</v>
      </c>
      <c r="P32" s="81">
        <v>1</v>
      </c>
      <c r="Q32" s="53">
        <f t="shared" si="5"/>
        <v>1.1831788865851902</v>
      </c>
    </row>
    <row r="33" spans="1:17" s="45" customFormat="1" ht="23.25">
      <c r="A33" s="47">
        <v>28</v>
      </c>
      <c r="B33" s="49" t="s">
        <v>124</v>
      </c>
      <c r="C33" s="49">
        <v>10</v>
      </c>
      <c r="D33" s="49"/>
      <c r="E33" s="50"/>
      <c r="F33" s="50"/>
      <c r="G33" s="50"/>
      <c r="H33" s="50">
        <f>H32+H24</f>
        <v>20905</v>
      </c>
      <c r="I33" s="51">
        <f t="shared" si="1"/>
        <v>0.32398451932</v>
      </c>
      <c r="J33" s="54">
        <f>J32</f>
        <v>0.0014291999999999998</v>
      </c>
      <c r="K33" s="52">
        <f>K32+K24</f>
        <v>2167</v>
      </c>
      <c r="L33" s="51">
        <f t="shared" si="2"/>
        <v>0.002508101851851852</v>
      </c>
      <c r="M33" s="78">
        <f t="shared" si="3"/>
        <v>0.32792182117185187</v>
      </c>
      <c r="N33" s="49">
        <f t="shared" si="7"/>
        <v>0.002</v>
      </c>
      <c r="O33" s="53">
        <f t="shared" si="4"/>
        <v>0.6776037131471776</v>
      </c>
      <c r="P33" s="81">
        <v>1</v>
      </c>
      <c r="Q33" s="53">
        <f t="shared" si="5"/>
        <v>1.1831788865851902</v>
      </c>
    </row>
    <row r="34" spans="1:17" s="45" customFormat="1" ht="23.25">
      <c r="A34" s="47">
        <v>29</v>
      </c>
      <c r="B34" s="49" t="s">
        <v>123</v>
      </c>
      <c r="C34" s="49">
        <v>5</v>
      </c>
      <c r="D34" s="49"/>
      <c r="E34" s="50"/>
      <c r="F34" s="50"/>
      <c r="G34" s="50"/>
      <c r="H34" s="50">
        <f>H33+H23</f>
        <v>23705</v>
      </c>
      <c r="I34" s="51">
        <f t="shared" si="1"/>
        <v>0.36737876252</v>
      </c>
      <c r="J34" s="54">
        <f>J33+J23</f>
        <v>0.0018689999999999998</v>
      </c>
      <c r="K34" s="52">
        <f>K33+K23</f>
        <v>2247</v>
      </c>
      <c r="L34" s="51">
        <f t="shared" si="2"/>
        <v>0.0026006944444444445</v>
      </c>
      <c r="M34" s="78">
        <f t="shared" si="3"/>
        <v>0.37184845696444446</v>
      </c>
      <c r="N34" s="49">
        <f t="shared" si="7"/>
        <v>0.002</v>
      </c>
      <c r="O34" s="53">
        <f t="shared" si="4"/>
        <v>0.7103120006433299</v>
      </c>
      <c r="P34" s="81">
        <v>1</v>
      </c>
      <c r="Q34" s="53">
        <f t="shared" si="5"/>
        <v>1.1831788865851902</v>
      </c>
    </row>
    <row r="35" spans="1:17" s="45" customFormat="1" ht="23.25">
      <c r="A35" s="47"/>
      <c r="B35" s="48" t="s">
        <v>112</v>
      </c>
      <c r="C35" s="49"/>
      <c r="D35" s="49"/>
      <c r="E35" s="50">
        <f>SUM(E6:E30)</f>
        <v>53965</v>
      </c>
      <c r="F35" s="50">
        <f>SUM(F6:F30)</f>
        <v>6698</v>
      </c>
      <c r="G35" s="50">
        <f>SUM(G6:G30)</f>
        <v>3042</v>
      </c>
      <c r="H35" s="49"/>
      <c r="I35" s="55"/>
      <c r="J35" s="55"/>
      <c r="K35" s="52"/>
      <c r="L35" s="55"/>
      <c r="M35" s="79"/>
      <c r="N35" s="49"/>
      <c r="O35" s="53"/>
      <c r="P35" s="53"/>
      <c r="Q35" s="53"/>
    </row>
    <row r="36" s="45" customFormat="1" ht="23.25"/>
    <row r="37" spans="1:8" s="45" customFormat="1" ht="23.25">
      <c r="A37" s="56"/>
      <c r="D37" s="45" t="s">
        <v>160</v>
      </c>
      <c r="E37" s="57">
        <f>SUM(E35:G35)</f>
        <v>63705</v>
      </c>
      <c r="F37" s="45" t="s">
        <v>161</v>
      </c>
      <c r="G37" s="36">
        <f>E37/1600</f>
        <v>39.815625</v>
      </c>
      <c r="H37" s="27" t="s">
        <v>125</v>
      </c>
    </row>
    <row r="38" ht="23.25">
      <c r="E38" s="36"/>
    </row>
    <row r="39" spans="1:9" ht="23.25">
      <c r="A39" s="18"/>
      <c r="B39" s="28"/>
      <c r="D39" s="19"/>
      <c r="E39" s="34"/>
      <c r="F39" s="28"/>
      <c r="G39" s="19"/>
      <c r="H39" s="20"/>
      <c r="I39" s="20"/>
    </row>
    <row r="40" spans="2:9" ht="23.25">
      <c r="B40" s="29"/>
      <c r="E40" s="35"/>
      <c r="F40" s="29"/>
      <c r="G40" s="20"/>
      <c r="H40" s="20"/>
      <c r="I40" s="20"/>
    </row>
    <row r="41" spans="5:7" ht="23.25">
      <c r="E41" s="35"/>
      <c r="F41" s="29"/>
      <c r="G41" s="20"/>
    </row>
    <row r="42" spans="5:7" ht="23.25">
      <c r="E42" s="35"/>
      <c r="F42" s="29"/>
      <c r="G42" s="20"/>
    </row>
    <row r="43" spans="2:7" ht="23.25">
      <c r="B43" s="29"/>
      <c r="E43" s="35"/>
      <c r="F43" s="29"/>
      <c r="G43" s="20"/>
    </row>
    <row r="44" spans="5:7" ht="23.25">
      <c r="E44" s="35"/>
      <c r="F44" s="29"/>
      <c r="G44" s="20"/>
    </row>
    <row r="45" spans="5:7" ht="23.25">
      <c r="E45" s="35"/>
      <c r="F45" s="29"/>
      <c r="G45" s="20"/>
    </row>
    <row r="46" spans="2:7" ht="23.25">
      <c r="B46" s="29"/>
      <c r="E46" s="35"/>
      <c r="F46" s="29"/>
      <c r="G46" s="20"/>
    </row>
    <row r="47" spans="5:7" ht="23.25">
      <c r="E47" s="35"/>
      <c r="F47" s="29"/>
      <c r="G47" s="20"/>
    </row>
    <row r="48" spans="5:7" ht="23.25">
      <c r="E48" s="35"/>
      <c r="F48" s="29"/>
      <c r="G48" s="20"/>
    </row>
    <row r="49" ht="23.25">
      <c r="B49" s="29"/>
    </row>
    <row r="50" spans="5:7" ht="23.25">
      <c r="E50" s="35"/>
      <c r="F50" s="29"/>
      <c r="G50" s="20"/>
    </row>
    <row r="51" spans="5:7" ht="23.25">
      <c r="E51" s="35"/>
      <c r="F51" s="29"/>
      <c r="G51" s="20"/>
    </row>
    <row r="52" ht="23.25">
      <c r="B52" s="29"/>
    </row>
    <row r="53" spans="5:7" ht="23.25">
      <c r="E53" s="35"/>
      <c r="F53" s="29"/>
      <c r="G53" s="20"/>
    </row>
    <row r="54" spans="5:7" ht="23.25">
      <c r="E54" s="35"/>
      <c r="F54" s="29"/>
      <c r="G54" s="20"/>
    </row>
    <row r="55" ht="23.25">
      <c r="B55" s="29"/>
    </row>
    <row r="56" spans="2:11" ht="23.25">
      <c r="B56" s="29"/>
      <c r="H56" s="20"/>
      <c r="J56" s="20"/>
      <c r="K56" s="20"/>
    </row>
    <row r="57" spans="5:11" ht="23.25">
      <c r="E57" s="35"/>
      <c r="F57" s="29"/>
      <c r="G57" s="20"/>
      <c r="J57" s="20"/>
      <c r="K57" s="20"/>
    </row>
    <row r="58" spans="5:11" ht="23.25">
      <c r="E58" s="35"/>
      <c r="F58" s="29"/>
      <c r="G58" s="20"/>
      <c r="J58" s="20"/>
      <c r="K58" s="20"/>
    </row>
  </sheetData>
  <mergeCells count="1">
    <mergeCell ref="A1:Q1"/>
  </mergeCells>
  <printOptions/>
  <pageMargins left="0.64" right="0.39" top="1.21" bottom="1" header="0.56" footer="0.5"/>
  <pageSetup horizontalDpi="120" verticalDpi="12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3"/>
  <sheetViews>
    <sheetView tabSelected="1" workbookViewId="0" topLeftCell="A1">
      <selection activeCell="K5" sqref="K5"/>
    </sheetView>
  </sheetViews>
  <sheetFormatPr defaultColWidth="9.140625" defaultRowHeight="21.75"/>
  <cols>
    <col min="1" max="1" width="7.7109375" style="0" customWidth="1"/>
    <col min="2" max="5" width="12.7109375" style="0" customWidth="1"/>
    <col min="6" max="6" width="2.28125" style="0" customWidth="1"/>
    <col min="7" max="7" width="12.7109375" style="0" customWidth="1"/>
    <col min="8" max="8" width="18.7109375" style="0" customWidth="1"/>
    <col min="9" max="9" width="8.7109375" style="0" customWidth="1"/>
  </cols>
  <sheetData>
    <row r="1" spans="1:9" ht="26.25">
      <c r="A1" s="122" t="s">
        <v>164</v>
      </c>
      <c r="B1" s="122"/>
      <c r="C1" s="122"/>
      <c r="D1" s="122"/>
      <c r="E1" s="122"/>
      <c r="F1" s="122"/>
      <c r="G1" s="122"/>
      <c r="H1" s="122"/>
      <c r="I1" s="122"/>
    </row>
    <row r="2" spans="1:9" ht="21.75">
      <c r="A2" s="38"/>
      <c r="B2" s="83" t="s">
        <v>162</v>
      </c>
      <c r="C2" s="1"/>
      <c r="D2" s="1"/>
      <c r="E2" s="2"/>
      <c r="F2" s="2"/>
      <c r="G2" s="2"/>
      <c r="H2" s="2"/>
      <c r="I2" s="2"/>
    </row>
    <row r="3" spans="1:9" ht="21.75">
      <c r="A3" s="38"/>
      <c r="B3" s="1" t="s">
        <v>163</v>
      </c>
      <c r="C3" s="2"/>
      <c r="D3" s="1"/>
      <c r="E3" s="2"/>
      <c r="F3" s="2"/>
      <c r="G3" s="2"/>
      <c r="H3" s="2"/>
      <c r="I3" s="2"/>
    </row>
    <row r="4" spans="1:9" ht="21.75">
      <c r="A4" s="39"/>
      <c r="B4" s="82" t="s">
        <v>166</v>
      </c>
      <c r="C4" s="1"/>
      <c r="D4" s="1"/>
      <c r="E4" s="2"/>
      <c r="F4" s="2"/>
      <c r="G4" s="2"/>
      <c r="H4" s="2"/>
      <c r="I4" s="40"/>
    </row>
    <row r="5" ht="22.5" customHeight="1">
      <c r="B5" t="s">
        <v>165</v>
      </c>
    </row>
    <row r="6" spans="1:9" ht="26.25">
      <c r="A6" s="122" t="s">
        <v>128</v>
      </c>
      <c r="B6" s="122"/>
      <c r="C6" s="122"/>
      <c r="D6" s="122"/>
      <c r="E6" s="122"/>
      <c r="F6" s="122"/>
      <c r="G6" s="122"/>
      <c r="H6" s="122"/>
      <c r="I6" s="122"/>
    </row>
    <row r="8" ht="23.25">
      <c r="A8" s="3" t="s">
        <v>1</v>
      </c>
    </row>
    <row r="10" ht="21.75">
      <c r="B10" t="s">
        <v>159</v>
      </c>
    </row>
    <row r="11" ht="21.75">
      <c r="B11" t="s">
        <v>0</v>
      </c>
    </row>
    <row r="12" ht="21.75">
      <c r="B12" t="s">
        <v>127</v>
      </c>
    </row>
    <row r="13" ht="21.75">
      <c r="B13" t="s">
        <v>126</v>
      </c>
    </row>
    <row r="15" ht="23.25">
      <c r="A15" s="3" t="s">
        <v>2</v>
      </c>
    </row>
    <row r="16" ht="21.75">
      <c r="E16" s="4"/>
    </row>
    <row r="17" spans="5:8" ht="21.75">
      <c r="E17" s="4" t="s">
        <v>129</v>
      </c>
      <c r="F17" s="5" t="s">
        <v>3</v>
      </c>
      <c r="G17" s="6">
        <v>64000</v>
      </c>
      <c r="H17" t="s">
        <v>4</v>
      </c>
    </row>
    <row r="18" spans="5:8" ht="21.75">
      <c r="E18" s="4" t="s">
        <v>130</v>
      </c>
      <c r="F18" s="5" t="s">
        <v>3</v>
      </c>
      <c r="G18" s="6">
        <f>2231*4</f>
        <v>8924</v>
      </c>
      <c r="H18" t="s">
        <v>4</v>
      </c>
    </row>
    <row r="19" spans="5:8" ht="21.75">
      <c r="E19" s="4" t="s">
        <v>131</v>
      </c>
      <c r="F19" s="5" t="s">
        <v>3</v>
      </c>
      <c r="G19" s="6">
        <f>767.8*4</f>
        <v>3071.2</v>
      </c>
      <c r="H19" t="s">
        <v>4</v>
      </c>
    </row>
    <row r="20" spans="5:8" ht="21.75">
      <c r="E20" s="4" t="s">
        <v>132</v>
      </c>
      <c r="F20" s="5" t="s">
        <v>3</v>
      </c>
      <c r="G20" s="7">
        <f>G17*0.2</f>
        <v>12800</v>
      </c>
      <c r="H20" t="s">
        <v>4</v>
      </c>
    </row>
    <row r="21" spans="5:8" ht="21.75">
      <c r="E21" s="4" t="s">
        <v>6</v>
      </c>
      <c r="F21" s="5" t="s">
        <v>3</v>
      </c>
      <c r="G21" s="6">
        <v>64000</v>
      </c>
      <c r="H21" t="s">
        <v>4</v>
      </c>
    </row>
    <row r="22" spans="5:8" ht="21.75">
      <c r="E22" s="4" t="s">
        <v>133</v>
      </c>
      <c r="F22" s="5" t="s">
        <v>3</v>
      </c>
      <c r="G22" s="6">
        <f>G18/G21*100</f>
        <v>13.94375</v>
      </c>
      <c r="H22" t="s">
        <v>5</v>
      </c>
    </row>
    <row r="23" spans="5:8" ht="21.75">
      <c r="E23" s="4" t="s">
        <v>135</v>
      </c>
      <c r="F23" s="5" t="s">
        <v>3</v>
      </c>
      <c r="G23" s="6">
        <f>(G19+G20)/G17*100</f>
        <v>24.79875</v>
      </c>
      <c r="H23" t="s">
        <v>5</v>
      </c>
    </row>
    <row r="24" spans="5:8" ht="21.75">
      <c r="E24" s="4" t="s">
        <v>134</v>
      </c>
      <c r="F24" s="5" t="s">
        <v>3</v>
      </c>
      <c r="G24" s="6">
        <f>100-G22-G23</f>
        <v>61.25750000000001</v>
      </c>
      <c r="H24" t="s">
        <v>5</v>
      </c>
    </row>
    <row r="25" spans="5:7" ht="21.75">
      <c r="E25" s="4" t="s">
        <v>7</v>
      </c>
      <c r="F25" s="5" t="s">
        <v>3</v>
      </c>
      <c r="G25" s="7" t="s">
        <v>136</v>
      </c>
    </row>
    <row r="26" spans="5:7" ht="21.75">
      <c r="E26" s="4"/>
      <c r="F26" s="5" t="s">
        <v>3</v>
      </c>
      <c r="G26" s="7">
        <f>(0.6126*0.6)+(0.1394*0.85)+(0.248*0.85)</f>
        <v>0.69685</v>
      </c>
    </row>
    <row r="27" spans="5:8" ht="21.75">
      <c r="E27" s="4" t="s">
        <v>8</v>
      </c>
      <c r="F27" s="5" t="s">
        <v>3</v>
      </c>
      <c r="G27" s="6">
        <v>5</v>
      </c>
      <c r="H27" t="s">
        <v>9</v>
      </c>
    </row>
    <row r="28" spans="5:8" ht="21.75">
      <c r="E28" s="4" t="s">
        <v>10</v>
      </c>
      <c r="F28" s="5" t="s">
        <v>3</v>
      </c>
      <c r="G28" s="6">
        <v>80</v>
      </c>
      <c r="H28" t="s">
        <v>11</v>
      </c>
    </row>
    <row r="29" spans="5:8" ht="21.75">
      <c r="E29" s="4" t="s">
        <v>12</v>
      </c>
      <c r="F29" s="5" t="s">
        <v>3</v>
      </c>
      <c r="G29" s="6">
        <v>0.32</v>
      </c>
      <c r="H29" t="s">
        <v>13</v>
      </c>
    </row>
    <row r="30" spans="6:7" ht="21.75">
      <c r="F30" s="5"/>
      <c r="G30" s="6"/>
    </row>
    <row r="31" spans="1:7" ht="23.25">
      <c r="A31" s="3" t="s">
        <v>14</v>
      </c>
      <c r="G31" s="6"/>
    </row>
    <row r="32" ht="21.75">
      <c r="G32" s="6"/>
    </row>
    <row r="33" ht="23.25">
      <c r="B33" s="3" t="s">
        <v>15</v>
      </c>
    </row>
    <row r="34" spans="5:7" ht="24.75">
      <c r="E34" s="4" t="s">
        <v>16</v>
      </c>
      <c r="F34" s="5" t="s">
        <v>3</v>
      </c>
      <c r="G34" t="s">
        <v>26</v>
      </c>
    </row>
    <row r="35" spans="3:6" ht="23.25">
      <c r="C35" s="3" t="s">
        <v>17</v>
      </c>
      <c r="E35" s="4"/>
      <c r="F35" s="5"/>
    </row>
    <row r="36" spans="3:6" ht="21.75">
      <c r="C36" s="4" t="s">
        <v>18</v>
      </c>
      <c r="D36" t="s">
        <v>19</v>
      </c>
      <c r="E36" s="4"/>
      <c r="F36" s="5"/>
    </row>
    <row r="37" spans="3:6" ht="21.75">
      <c r="C37" s="4" t="s">
        <v>20</v>
      </c>
      <c r="D37" t="s">
        <v>21</v>
      </c>
      <c r="E37" s="4"/>
      <c r="F37" s="5"/>
    </row>
    <row r="38" spans="3:6" ht="21.75">
      <c r="C38" s="4" t="s">
        <v>23</v>
      </c>
      <c r="D38" t="s">
        <v>22</v>
      </c>
      <c r="E38" s="4"/>
      <c r="F38" s="5"/>
    </row>
    <row r="39" spans="3:6" ht="21.75">
      <c r="C39" s="4" t="s">
        <v>24</v>
      </c>
      <c r="D39" t="s">
        <v>25</v>
      </c>
      <c r="E39" s="4"/>
      <c r="F39" s="5"/>
    </row>
    <row r="40" spans="5:6" ht="21.75">
      <c r="E40" s="4"/>
      <c r="F40" s="5"/>
    </row>
    <row r="41" spans="1:7" ht="23.25">
      <c r="A41" s="3" t="s">
        <v>149</v>
      </c>
      <c r="E41" s="4"/>
      <c r="F41" s="5"/>
      <c r="G41" s="9"/>
    </row>
    <row r="42" spans="5:7" ht="21.75">
      <c r="E42" s="4"/>
      <c r="F42" s="5"/>
      <c r="G42" s="9"/>
    </row>
    <row r="43" spans="5:8" ht="21.75">
      <c r="E43" s="4" t="s">
        <v>32</v>
      </c>
      <c r="F43" s="5" t="s">
        <v>3</v>
      </c>
      <c r="G43" s="6">
        <v>100</v>
      </c>
      <c r="H43" t="s">
        <v>33</v>
      </c>
    </row>
    <row r="44" spans="5:7" ht="21.75">
      <c r="E44" s="4"/>
      <c r="F44" s="5" t="s">
        <v>3</v>
      </c>
      <c r="G44" s="7" t="s">
        <v>34</v>
      </c>
    </row>
    <row r="45" spans="5:8" ht="21.75">
      <c r="E45" s="4"/>
      <c r="F45" s="5" t="s">
        <v>3</v>
      </c>
      <c r="G45" s="10">
        <f>G43/24/3600</f>
        <v>0.0011574074074074076</v>
      </c>
      <c r="H45" t="s">
        <v>35</v>
      </c>
    </row>
    <row r="46" spans="5:8" ht="21.75">
      <c r="E46" s="4" t="s">
        <v>36</v>
      </c>
      <c r="F46" s="5" t="s">
        <v>3</v>
      </c>
      <c r="G46" s="8">
        <f>G45</f>
        <v>0.0011574074074074076</v>
      </c>
      <c r="H46" t="s">
        <v>37</v>
      </c>
    </row>
    <row r="47" spans="1:7" ht="23.25">
      <c r="A47" s="3" t="s">
        <v>150</v>
      </c>
      <c r="E47" s="4"/>
      <c r="F47" s="5"/>
      <c r="G47" s="8"/>
    </row>
    <row r="48" spans="5:7" ht="21.75">
      <c r="E48" s="4"/>
      <c r="F48" s="5"/>
      <c r="G48" s="8"/>
    </row>
    <row r="49" spans="2:7" ht="23.25">
      <c r="B49" s="3" t="s">
        <v>38</v>
      </c>
      <c r="E49" s="4"/>
      <c r="F49" s="5"/>
      <c r="G49" s="6"/>
    </row>
    <row r="50" spans="5:7" ht="24.75">
      <c r="E50" s="4" t="s">
        <v>16</v>
      </c>
      <c r="F50" s="5" t="s">
        <v>3</v>
      </c>
      <c r="G50" s="11" t="s">
        <v>39</v>
      </c>
    </row>
    <row r="51" spans="3:6" ht="23.25">
      <c r="C51" s="3" t="s">
        <v>17</v>
      </c>
      <c r="E51" s="4"/>
      <c r="F51" s="5"/>
    </row>
    <row r="52" spans="3:8" ht="21.75">
      <c r="C52" s="4" t="s">
        <v>18</v>
      </c>
      <c r="D52" t="s">
        <v>40</v>
      </c>
      <c r="E52" s="4"/>
      <c r="F52" s="5"/>
      <c r="H52" t="s">
        <v>50</v>
      </c>
    </row>
    <row r="53" spans="3:6" ht="21.75">
      <c r="C53" s="4" t="s">
        <v>41</v>
      </c>
      <c r="D53" t="s">
        <v>42</v>
      </c>
      <c r="E53" s="4"/>
      <c r="F53" s="5"/>
    </row>
    <row r="54" spans="3:8" ht="21.75">
      <c r="C54" s="4" t="s">
        <v>43</v>
      </c>
      <c r="D54" t="s">
        <v>44</v>
      </c>
      <c r="E54" s="4"/>
      <c r="F54" s="5"/>
      <c r="H54" t="s">
        <v>51</v>
      </c>
    </row>
    <row r="55" spans="3:8" ht="21.75">
      <c r="C55" s="4" t="s">
        <v>45</v>
      </c>
      <c r="D55" t="s">
        <v>46</v>
      </c>
      <c r="E55" s="4"/>
      <c r="F55" s="5"/>
      <c r="H55" t="s">
        <v>52</v>
      </c>
    </row>
    <row r="56" spans="3:8" ht="21.75">
      <c r="C56" s="4" t="s">
        <v>24</v>
      </c>
      <c r="D56" t="s">
        <v>47</v>
      </c>
      <c r="E56" s="4"/>
      <c r="H56" t="s">
        <v>53</v>
      </c>
    </row>
    <row r="57" spans="3:8" ht="21.75">
      <c r="C57" s="4" t="s">
        <v>48</v>
      </c>
      <c r="D57" t="s">
        <v>49</v>
      </c>
      <c r="H57" t="s">
        <v>51</v>
      </c>
    </row>
    <row r="58" ht="23.25">
      <c r="B58" s="3" t="s">
        <v>54</v>
      </c>
    </row>
    <row r="59" spans="5:7" ht="24.75">
      <c r="E59" s="4" t="s">
        <v>55</v>
      </c>
      <c r="F59" s="5" t="s">
        <v>3</v>
      </c>
      <c r="G59" s="11" t="s">
        <v>87</v>
      </c>
    </row>
    <row r="61" ht="23.25">
      <c r="A61" s="3" t="s">
        <v>151</v>
      </c>
    </row>
    <row r="63" spans="5:8" ht="24.75">
      <c r="E63" s="4" t="s">
        <v>57</v>
      </c>
      <c r="F63" s="5" t="s">
        <v>3</v>
      </c>
      <c r="G63" s="11" t="s">
        <v>56</v>
      </c>
      <c r="H63" t="s">
        <v>58</v>
      </c>
    </row>
    <row r="64" ht="23.25" customHeight="1"/>
  </sheetData>
  <mergeCells count="2">
    <mergeCell ref="A6:I6"/>
    <mergeCell ref="A1:I1"/>
  </mergeCells>
  <printOptions/>
  <pageMargins left="0.51" right="0.44" top="0.66" bottom="0.71" header="0.5" footer="0.5"/>
  <pageSetup horizontalDpi="300" verticalDpi="300" orientation="portrait" paperSize="9" r:id="rId1"/>
  <rowBreaks count="1" manualBreakCount="1">
    <brk id="34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46"/>
  <sheetViews>
    <sheetView workbookViewId="0" topLeftCell="A1">
      <selection activeCell="C44" sqref="C44"/>
    </sheetView>
  </sheetViews>
  <sheetFormatPr defaultColWidth="9.140625" defaultRowHeight="21.75"/>
  <cols>
    <col min="1" max="1" width="7.7109375" style="0" customWidth="1"/>
    <col min="2" max="5" width="12.7109375" style="0" customWidth="1"/>
    <col min="6" max="6" width="2.28125" style="0" customWidth="1"/>
    <col min="7" max="7" width="12.7109375" style="0" customWidth="1"/>
    <col min="8" max="8" width="18.57421875" style="0" customWidth="1"/>
    <col min="9" max="9" width="8.8515625" style="0" hidden="1" customWidth="1"/>
    <col min="11" max="11" width="12.00390625" style="0" bestFit="1" customWidth="1"/>
  </cols>
  <sheetData>
    <row r="1" spans="1:6" ht="23.25">
      <c r="A1" s="3" t="s">
        <v>158</v>
      </c>
      <c r="E1" s="4"/>
      <c r="F1" s="5"/>
    </row>
    <row r="2" spans="2:6" ht="21.75">
      <c r="B2" s="41" t="s">
        <v>139</v>
      </c>
      <c r="E2" s="4"/>
      <c r="F2" s="5"/>
    </row>
    <row r="3" spans="5:8" ht="21.75">
      <c r="E3" s="4" t="s">
        <v>143</v>
      </c>
      <c r="F3" s="5" t="s">
        <v>3</v>
      </c>
      <c r="G3" s="23">
        <v>40</v>
      </c>
      <c r="H3" t="s">
        <v>27</v>
      </c>
    </row>
    <row r="4" spans="5:8" ht="21.75">
      <c r="E4" s="4" t="s">
        <v>137</v>
      </c>
      <c r="F4" s="5" t="s">
        <v>3</v>
      </c>
      <c r="G4" s="23">
        <v>750</v>
      </c>
      <c r="H4" t="s">
        <v>138</v>
      </c>
    </row>
    <row r="5" spans="5:8" ht="21.75">
      <c r="E5" s="4" t="s">
        <v>28</v>
      </c>
      <c r="F5" s="5" t="s">
        <v>3</v>
      </c>
      <c r="G5" s="23">
        <v>95</v>
      </c>
      <c r="H5" t="s">
        <v>5</v>
      </c>
    </row>
    <row r="6" spans="5:7" ht="21.75">
      <c r="E6" s="4" t="s">
        <v>29</v>
      </c>
      <c r="F6" s="5" t="s">
        <v>3</v>
      </c>
      <c r="G6" s="24" t="s">
        <v>141</v>
      </c>
    </row>
    <row r="7" spans="6:11" ht="21.75">
      <c r="F7" s="5" t="s">
        <v>3</v>
      </c>
      <c r="G7" s="23">
        <f>G5/100*G4*G3</f>
        <v>28500</v>
      </c>
      <c r="H7" t="s">
        <v>30</v>
      </c>
      <c r="I7" s="43">
        <f>G7</f>
        <v>28500</v>
      </c>
      <c r="J7">
        <v>1</v>
      </c>
      <c r="K7" s="44">
        <f>I7*J7</f>
        <v>28500</v>
      </c>
    </row>
    <row r="8" spans="5:11" ht="21.75">
      <c r="E8" s="4" t="s">
        <v>140</v>
      </c>
      <c r="F8" s="5" t="s">
        <v>3</v>
      </c>
      <c r="G8" s="25">
        <f>G7/1000/3600/24</f>
        <v>0.0003298611111111111</v>
      </c>
      <c r="H8" t="s">
        <v>31</v>
      </c>
      <c r="K8" s="6"/>
    </row>
    <row r="9" spans="2:6" ht="21.75">
      <c r="B9" s="41" t="s">
        <v>142</v>
      </c>
      <c r="E9" s="4"/>
      <c r="F9" s="5"/>
    </row>
    <row r="10" spans="5:8" ht="21.75">
      <c r="E10" s="4" t="s">
        <v>143</v>
      </c>
      <c r="F10" s="5" t="s">
        <v>3</v>
      </c>
      <c r="G10" s="23">
        <v>100</v>
      </c>
      <c r="H10" t="s">
        <v>27</v>
      </c>
    </row>
    <row r="11" spans="5:8" ht="21.75">
      <c r="E11" s="4" t="s">
        <v>137</v>
      </c>
      <c r="F11" s="5" t="s">
        <v>3</v>
      </c>
      <c r="G11" s="23">
        <v>200</v>
      </c>
      <c r="H11" t="s">
        <v>138</v>
      </c>
    </row>
    <row r="12" spans="5:8" ht="21.75">
      <c r="E12" s="4" t="s">
        <v>28</v>
      </c>
      <c r="F12" s="5" t="s">
        <v>3</v>
      </c>
      <c r="G12" s="23">
        <v>95</v>
      </c>
      <c r="H12" t="s">
        <v>5</v>
      </c>
    </row>
    <row r="13" spans="5:7" ht="21.75">
      <c r="E13" s="4" t="s">
        <v>29</v>
      </c>
      <c r="F13" s="5" t="s">
        <v>3</v>
      </c>
      <c r="G13" s="24" t="s">
        <v>144</v>
      </c>
    </row>
    <row r="14" spans="6:11" ht="21.75">
      <c r="F14" s="5" t="s">
        <v>3</v>
      </c>
      <c r="G14" s="23">
        <f>G12/100*G11*G10</f>
        <v>19000</v>
      </c>
      <c r="H14" t="s">
        <v>30</v>
      </c>
      <c r="I14" s="43">
        <f>G14</f>
        <v>19000</v>
      </c>
      <c r="J14">
        <v>1</v>
      </c>
      <c r="K14" s="44">
        <f>I14*J14</f>
        <v>19000</v>
      </c>
    </row>
    <row r="15" spans="5:8" ht="21.75">
      <c r="E15" s="4" t="s">
        <v>140</v>
      </c>
      <c r="F15" s="5" t="s">
        <v>3</v>
      </c>
      <c r="G15" s="25">
        <f>G14/1000/3600/24</f>
        <v>0.0002199074074074074</v>
      </c>
      <c r="H15" t="s">
        <v>31</v>
      </c>
    </row>
    <row r="16" spans="2:6" ht="21.75">
      <c r="B16" s="41" t="s">
        <v>147</v>
      </c>
      <c r="E16" s="4"/>
      <c r="F16" s="5"/>
    </row>
    <row r="17" spans="5:8" ht="21.75">
      <c r="E17" s="4" t="s">
        <v>143</v>
      </c>
      <c r="F17" s="5" t="s">
        <v>3</v>
      </c>
      <c r="G17" s="23">
        <v>60</v>
      </c>
      <c r="H17" t="s">
        <v>27</v>
      </c>
    </row>
    <row r="18" spans="5:8" ht="21.75">
      <c r="E18" s="4" t="s">
        <v>137</v>
      </c>
      <c r="F18" s="5" t="s">
        <v>3</v>
      </c>
      <c r="G18" s="23">
        <v>200</v>
      </c>
      <c r="H18" t="s">
        <v>138</v>
      </c>
    </row>
    <row r="19" spans="5:8" ht="21.75">
      <c r="E19" s="4" t="s">
        <v>28</v>
      </c>
      <c r="F19" s="5" t="s">
        <v>3</v>
      </c>
      <c r="G19" s="23">
        <v>95</v>
      </c>
      <c r="H19" t="s">
        <v>5</v>
      </c>
    </row>
    <row r="20" spans="5:7" ht="21.75">
      <c r="E20" s="4" t="s">
        <v>29</v>
      </c>
      <c r="F20" s="5" t="s">
        <v>3</v>
      </c>
      <c r="G20" s="24" t="s">
        <v>145</v>
      </c>
    </row>
    <row r="21" spans="6:11" ht="21.75">
      <c r="F21" s="5" t="s">
        <v>3</v>
      </c>
      <c r="G21" s="23">
        <f>G19/100*G18*G17</f>
        <v>11400</v>
      </c>
      <c r="H21" t="s">
        <v>30</v>
      </c>
      <c r="I21" s="43">
        <f>G21</f>
        <v>11400</v>
      </c>
      <c r="J21">
        <v>7</v>
      </c>
      <c r="K21" s="44">
        <f>I21*J21</f>
        <v>79800</v>
      </c>
    </row>
    <row r="22" spans="5:8" ht="21.75">
      <c r="E22" s="4" t="s">
        <v>140</v>
      </c>
      <c r="F22" s="5" t="s">
        <v>3</v>
      </c>
      <c r="G22" s="25">
        <f>G21/1000/3600/24</f>
        <v>0.00013194444444444443</v>
      </c>
      <c r="H22" t="s">
        <v>31</v>
      </c>
    </row>
    <row r="23" spans="2:6" ht="21.75">
      <c r="B23" s="41" t="s">
        <v>148</v>
      </c>
      <c r="E23" s="4"/>
      <c r="F23" s="5"/>
    </row>
    <row r="24" spans="5:8" ht="21.75">
      <c r="E24" s="4" t="s">
        <v>143</v>
      </c>
      <c r="F24" s="5" t="s">
        <v>3</v>
      </c>
      <c r="G24" s="24">
        <v>100</v>
      </c>
      <c r="H24" t="s">
        <v>27</v>
      </c>
    </row>
    <row r="25" spans="5:8" ht="21.75">
      <c r="E25" s="4" t="s">
        <v>137</v>
      </c>
      <c r="F25" s="5" t="s">
        <v>3</v>
      </c>
      <c r="G25" s="23">
        <v>100</v>
      </c>
      <c r="H25" t="s">
        <v>146</v>
      </c>
    </row>
    <row r="26" spans="5:8" ht="21.75">
      <c r="E26" s="4" t="s">
        <v>28</v>
      </c>
      <c r="F26" s="5" t="s">
        <v>3</v>
      </c>
      <c r="G26" s="23">
        <v>95</v>
      </c>
      <c r="H26" t="s">
        <v>5</v>
      </c>
    </row>
    <row r="27" spans="5:7" ht="21.75">
      <c r="E27" s="4" t="s">
        <v>29</v>
      </c>
      <c r="F27" s="5" t="s">
        <v>3</v>
      </c>
      <c r="G27" s="24" t="s">
        <v>145</v>
      </c>
    </row>
    <row r="28" spans="6:11" ht="21.75">
      <c r="F28" s="5" t="s">
        <v>3</v>
      </c>
      <c r="G28" s="23">
        <f>G26/100*G25*G24</f>
        <v>9500</v>
      </c>
      <c r="H28" t="s">
        <v>30</v>
      </c>
      <c r="I28" s="43">
        <f>G28</f>
        <v>9500</v>
      </c>
      <c r="J28">
        <v>5</v>
      </c>
      <c r="K28" s="44">
        <f>I28*J28</f>
        <v>47500</v>
      </c>
    </row>
    <row r="29" spans="5:8" ht="21.75">
      <c r="E29" s="4" t="s">
        <v>140</v>
      </c>
      <c r="F29" s="5" t="s">
        <v>3</v>
      </c>
      <c r="G29" s="25">
        <f>G28/1000/3600/24</f>
        <v>0.0001099537037037037</v>
      </c>
      <c r="H29" t="s">
        <v>31</v>
      </c>
    </row>
    <row r="30" spans="2:6" ht="21.75">
      <c r="B30" s="41" t="s">
        <v>152</v>
      </c>
      <c r="E30" s="4"/>
      <c r="F30" s="5"/>
    </row>
    <row r="31" spans="5:8" ht="21.75">
      <c r="E31" s="4" t="s">
        <v>143</v>
      </c>
      <c r="F31" s="5" t="s">
        <v>3</v>
      </c>
      <c r="G31" s="24">
        <v>100</v>
      </c>
      <c r="H31" t="s">
        <v>27</v>
      </c>
    </row>
    <row r="32" spans="5:8" ht="21.75">
      <c r="E32" s="4" t="s">
        <v>137</v>
      </c>
      <c r="F32" s="5" t="s">
        <v>3</v>
      </c>
      <c r="G32" s="23">
        <v>400</v>
      </c>
      <c r="H32" t="s">
        <v>138</v>
      </c>
    </row>
    <row r="33" spans="5:8" ht="21.75">
      <c r="E33" s="4" t="s">
        <v>28</v>
      </c>
      <c r="F33" s="5" t="s">
        <v>3</v>
      </c>
      <c r="G33" s="23">
        <v>95</v>
      </c>
      <c r="H33" t="s">
        <v>5</v>
      </c>
    </row>
    <row r="34" spans="5:7" ht="21.75">
      <c r="E34" s="4" t="s">
        <v>29</v>
      </c>
      <c r="F34" s="5" t="s">
        <v>3</v>
      </c>
      <c r="G34" s="24" t="s">
        <v>145</v>
      </c>
    </row>
    <row r="35" spans="6:11" ht="21.75">
      <c r="F35" s="5" t="s">
        <v>3</v>
      </c>
      <c r="G35" s="23">
        <f>G33/100*G32*G31</f>
        <v>38000</v>
      </c>
      <c r="H35" t="s">
        <v>30</v>
      </c>
      <c r="I35" s="43">
        <f>G35</f>
        <v>38000</v>
      </c>
      <c r="J35">
        <v>1</v>
      </c>
      <c r="K35" s="44">
        <f>I35*J35</f>
        <v>38000</v>
      </c>
    </row>
    <row r="36" spans="5:8" ht="21.75">
      <c r="E36" s="4" t="s">
        <v>140</v>
      </c>
      <c r="F36" s="5" t="s">
        <v>3</v>
      </c>
      <c r="G36" s="25">
        <f>G35/1000/3600/24</f>
        <v>0.0004398148148148148</v>
      </c>
      <c r="H36" t="s">
        <v>31</v>
      </c>
    </row>
    <row r="37" spans="2:6" ht="21.75">
      <c r="B37" s="41" t="s">
        <v>153</v>
      </c>
      <c r="E37" s="4"/>
      <c r="F37" s="5"/>
    </row>
    <row r="38" spans="5:8" ht="21.75">
      <c r="E38" s="4" t="s">
        <v>143</v>
      </c>
      <c r="F38" s="5" t="s">
        <v>3</v>
      </c>
      <c r="G38" s="24">
        <v>40</v>
      </c>
      <c r="H38" t="s">
        <v>27</v>
      </c>
    </row>
    <row r="39" spans="5:8" ht="21.75">
      <c r="E39" s="4" t="s">
        <v>137</v>
      </c>
      <c r="F39" s="5" t="s">
        <v>3</v>
      </c>
      <c r="G39" s="23">
        <v>100</v>
      </c>
      <c r="H39" t="s">
        <v>138</v>
      </c>
    </row>
    <row r="40" spans="5:8" ht="21.75">
      <c r="E40" s="4" t="s">
        <v>28</v>
      </c>
      <c r="F40" s="5" t="s">
        <v>3</v>
      </c>
      <c r="G40" s="23">
        <v>95</v>
      </c>
      <c r="H40" t="s">
        <v>5</v>
      </c>
    </row>
    <row r="41" spans="5:7" ht="21.75">
      <c r="E41" s="4" t="s">
        <v>29</v>
      </c>
      <c r="F41" s="5" t="s">
        <v>3</v>
      </c>
      <c r="G41" s="24" t="s">
        <v>145</v>
      </c>
    </row>
    <row r="42" spans="6:11" ht="21.75">
      <c r="F42" s="5" t="s">
        <v>3</v>
      </c>
      <c r="G42" s="23">
        <f>G40/100*G39*G38</f>
        <v>3800</v>
      </c>
      <c r="H42" t="s">
        <v>30</v>
      </c>
      <c r="I42" s="43">
        <f>G42</f>
        <v>3800</v>
      </c>
      <c r="J42">
        <v>3</v>
      </c>
      <c r="K42" s="44">
        <f>I42*J42</f>
        <v>11400</v>
      </c>
    </row>
    <row r="43" spans="5:8" ht="21.75">
      <c r="E43" s="4" t="s">
        <v>140</v>
      </c>
      <c r="F43" s="5" t="s">
        <v>3</v>
      </c>
      <c r="G43" s="25">
        <f>G42/1000/3600/24</f>
        <v>4.398148148148148E-05</v>
      </c>
      <c r="H43" t="s">
        <v>31</v>
      </c>
    </row>
    <row r="44" spans="5:7" ht="21.75">
      <c r="E44" s="4"/>
      <c r="F44" s="5"/>
      <c r="G44" s="25"/>
    </row>
    <row r="45" spans="8:12" ht="21.75">
      <c r="H45" t="s">
        <v>154</v>
      </c>
      <c r="K45" s="44">
        <f>SUM(K7:K42)</f>
        <v>224200</v>
      </c>
      <c r="L45" t="s">
        <v>155</v>
      </c>
    </row>
    <row r="46" spans="10:12" ht="21.75">
      <c r="J46" t="s">
        <v>157</v>
      </c>
      <c r="K46" s="42">
        <f>K45/1000</f>
        <v>224.2</v>
      </c>
      <c r="L46" t="s">
        <v>156</v>
      </c>
    </row>
  </sheetData>
  <printOptions/>
  <pageMargins left="0.51" right="0.44" top="0.66" bottom="0.7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22"/>
  <sheetViews>
    <sheetView workbookViewId="0" topLeftCell="A1">
      <selection activeCell="K5" sqref="K5"/>
    </sheetView>
  </sheetViews>
  <sheetFormatPr defaultColWidth="9.140625" defaultRowHeight="21.75"/>
  <cols>
    <col min="1" max="1" width="5.28125" style="84" customWidth="1"/>
    <col min="2" max="2" width="15.00390625" style="86" customWidth="1"/>
    <col min="3" max="4" width="9.140625" style="86" customWidth="1"/>
    <col min="5" max="5" width="8.7109375" style="86" customWidth="1"/>
    <col min="6" max="6" width="10.00390625" style="86" customWidth="1"/>
    <col min="7" max="7" width="12.00390625" style="86" customWidth="1"/>
    <col min="8" max="8" width="12.140625" style="86" customWidth="1"/>
    <col min="9" max="9" width="9.00390625" style="86" customWidth="1"/>
    <col min="10" max="10" width="15.28125" style="86" customWidth="1"/>
    <col min="11" max="16384" width="9.140625" style="86" customWidth="1"/>
  </cols>
  <sheetData>
    <row r="2" ht="18.75" customHeight="1">
      <c r="B2" s="85" t="s">
        <v>167</v>
      </c>
    </row>
    <row r="3" spans="1:10" ht="23.25">
      <c r="A3" s="87"/>
      <c r="B3" s="88" t="s">
        <v>168</v>
      </c>
      <c r="C3" s="87" t="s">
        <v>169</v>
      </c>
      <c r="D3" s="89" t="s">
        <v>170</v>
      </c>
      <c r="E3" s="87" t="s">
        <v>171</v>
      </c>
      <c r="F3" s="87" t="s">
        <v>172</v>
      </c>
      <c r="G3" s="87" t="s">
        <v>173</v>
      </c>
      <c r="H3" s="87" t="s">
        <v>174</v>
      </c>
      <c r="I3" s="90" t="s">
        <v>175</v>
      </c>
      <c r="J3" s="90" t="s">
        <v>176</v>
      </c>
    </row>
    <row r="4" spans="1:10" ht="23.25">
      <c r="A4" s="91"/>
      <c r="B4" s="92"/>
      <c r="C4" s="91" t="s">
        <v>177</v>
      </c>
      <c r="D4" s="91" t="s">
        <v>178</v>
      </c>
      <c r="E4" s="91" t="s">
        <v>179</v>
      </c>
      <c r="F4" s="91" t="s">
        <v>179</v>
      </c>
      <c r="G4" s="91" t="s">
        <v>180</v>
      </c>
      <c r="H4" s="91" t="s">
        <v>181</v>
      </c>
      <c r="I4" s="91" t="s">
        <v>182</v>
      </c>
      <c r="J4" s="91" t="s">
        <v>183</v>
      </c>
    </row>
    <row r="5" spans="1:10" ht="12.75">
      <c r="A5" s="93" t="s">
        <v>184</v>
      </c>
      <c r="B5" s="94" t="s">
        <v>185</v>
      </c>
      <c r="C5" s="94">
        <v>290</v>
      </c>
      <c r="D5" s="94">
        <v>0.8</v>
      </c>
      <c r="E5" s="94">
        <f>C5*D5</f>
        <v>232</v>
      </c>
      <c r="F5" s="94">
        <f>E5</f>
        <v>232</v>
      </c>
      <c r="G5" s="94">
        <v>1</v>
      </c>
      <c r="H5" s="94">
        <v>50</v>
      </c>
      <c r="I5" s="94">
        <v>2</v>
      </c>
      <c r="J5" s="94">
        <f>I5*0.5</f>
        <v>1</v>
      </c>
    </row>
    <row r="6" spans="1:10" ht="12.75">
      <c r="A6" s="95"/>
      <c r="B6" s="96"/>
      <c r="C6" s="96"/>
      <c r="D6" s="96"/>
      <c r="E6" s="96"/>
      <c r="F6" s="96"/>
      <c r="G6" s="96"/>
      <c r="H6" s="96"/>
      <c r="I6" s="96"/>
      <c r="J6" s="96"/>
    </row>
    <row r="7" spans="1:10" ht="12.75">
      <c r="A7" s="95" t="s">
        <v>186</v>
      </c>
      <c r="B7" s="96" t="s">
        <v>187</v>
      </c>
      <c r="C7" s="96">
        <v>710</v>
      </c>
      <c r="D7" s="96">
        <v>1.25</v>
      </c>
      <c r="E7" s="96">
        <f>C7*D7</f>
        <v>887.5</v>
      </c>
      <c r="F7" s="96">
        <f>E7</f>
        <v>887.5</v>
      </c>
      <c r="G7" s="96">
        <v>2</v>
      </c>
      <c r="H7" s="96">
        <v>50</v>
      </c>
      <c r="I7" s="96">
        <v>4</v>
      </c>
      <c r="J7" s="96">
        <f>I7*0.5</f>
        <v>2</v>
      </c>
    </row>
    <row r="8" spans="1:10" ht="12.75">
      <c r="A8" s="95"/>
      <c r="B8" s="96"/>
      <c r="C8" s="96"/>
      <c r="D8" s="96"/>
      <c r="E8" s="96"/>
      <c r="F8" s="96"/>
      <c r="G8" s="96"/>
      <c r="H8" s="96"/>
      <c r="I8" s="96"/>
      <c r="J8" s="96"/>
    </row>
    <row r="9" spans="1:10" ht="12.75">
      <c r="A9" s="95" t="s">
        <v>188</v>
      </c>
      <c r="B9" s="96" t="s">
        <v>189</v>
      </c>
      <c r="C9" s="96">
        <v>1863.4</v>
      </c>
      <c r="D9" s="96">
        <v>0.8</v>
      </c>
      <c r="E9" s="96">
        <f>C9*D9</f>
        <v>1490.7200000000003</v>
      </c>
      <c r="F9" s="96">
        <f>SUM(E9:E12)</f>
        <v>4814.02</v>
      </c>
      <c r="G9" s="96">
        <v>10</v>
      </c>
      <c r="H9" s="96">
        <v>50</v>
      </c>
      <c r="I9" s="96">
        <v>4</v>
      </c>
      <c r="J9" s="96">
        <f>I9*0.5</f>
        <v>2</v>
      </c>
    </row>
    <row r="10" spans="1:10" ht="12.75">
      <c r="A10" s="95" t="s">
        <v>190</v>
      </c>
      <c r="B10" s="96" t="s">
        <v>191</v>
      </c>
      <c r="C10" s="96">
        <v>526</v>
      </c>
      <c r="D10" s="96">
        <v>0.5</v>
      </c>
      <c r="E10" s="96">
        <f>C10*D10</f>
        <v>263</v>
      </c>
      <c r="F10" s="96"/>
      <c r="G10" s="96"/>
      <c r="H10" s="96">
        <v>50</v>
      </c>
      <c r="I10" s="96">
        <v>4</v>
      </c>
      <c r="J10" s="96">
        <f>I10*0.5</f>
        <v>2</v>
      </c>
    </row>
    <row r="11" spans="1:10" ht="12.75">
      <c r="A11" s="95" t="s">
        <v>192</v>
      </c>
      <c r="B11" s="96" t="s">
        <v>193</v>
      </c>
      <c r="C11" s="96">
        <v>245</v>
      </c>
      <c r="D11" s="96">
        <v>1.5</v>
      </c>
      <c r="E11" s="96">
        <f>C11*D11</f>
        <v>367.5</v>
      </c>
      <c r="F11" s="96"/>
      <c r="G11" s="96"/>
      <c r="H11" s="96">
        <v>50</v>
      </c>
      <c r="I11" s="96">
        <v>2</v>
      </c>
      <c r="J11" s="96">
        <f>I11*0.5</f>
        <v>1</v>
      </c>
    </row>
    <row r="12" spans="1:10" ht="12.75">
      <c r="A12" s="95" t="s">
        <v>194</v>
      </c>
      <c r="B12" s="96" t="s">
        <v>195</v>
      </c>
      <c r="C12" s="96">
        <f>2184+60</f>
        <v>2244</v>
      </c>
      <c r="D12" s="96">
        <v>1.2</v>
      </c>
      <c r="E12" s="96">
        <f>C12*D12</f>
        <v>2692.7999999999997</v>
      </c>
      <c r="F12" s="96"/>
      <c r="G12" s="96"/>
      <c r="H12" s="96">
        <v>50</v>
      </c>
      <c r="I12" s="96">
        <v>2</v>
      </c>
      <c r="J12" s="96">
        <f>I12*0.5</f>
        <v>1</v>
      </c>
    </row>
    <row r="13" spans="1:10" ht="12.75">
      <c r="A13" s="95"/>
      <c r="B13" s="96"/>
      <c r="C13" s="96"/>
      <c r="D13" s="96"/>
      <c r="E13" s="96"/>
      <c r="F13" s="96"/>
      <c r="G13" s="96"/>
      <c r="H13" s="96"/>
      <c r="I13" s="96"/>
      <c r="J13" s="96"/>
    </row>
    <row r="14" spans="1:10" ht="12.75">
      <c r="A14" s="95" t="s">
        <v>196</v>
      </c>
      <c r="B14" s="96" t="s">
        <v>197</v>
      </c>
      <c r="C14" s="96">
        <v>200</v>
      </c>
      <c r="D14" s="96">
        <v>1</v>
      </c>
      <c r="E14" s="96">
        <f>C14*D14</f>
        <v>200</v>
      </c>
      <c r="F14" s="96">
        <f>E14</f>
        <v>200</v>
      </c>
      <c r="G14" s="96">
        <v>1</v>
      </c>
      <c r="H14" s="96">
        <v>50</v>
      </c>
      <c r="I14" s="96">
        <v>2</v>
      </c>
      <c r="J14" s="96">
        <f>I14*0.5</f>
        <v>1</v>
      </c>
    </row>
    <row r="15" spans="1:10" ht="12.75">
      <c r="A15" s="95"/>
      <c r="B15" s="96"/>
      <c r="C15" s="96"/>
      <c r="D15" s="96"/>
      <c r="E15" s="96"/>
      <c r="F15" s="96"/>
      <c r="G15" s="96"/>
      <c r="H15" s="96"/>
      <c r="I15" s="96"/>
      <c r="J15" s="96"/>
    </row>
    <row r="16" spans="1:10" ht="12.75">
      <c r="A16" s="95" t="s">
        <v>198</v>
      </c>
      <c r="B16" s="96" t="s">
        <v>199</v>
      </c>
      <c r="C16" s="96">
        <v>270</v>
      </c>
      <c r="D16" s="96">
        <v>1</v>
      </c>
      <c r="E16" s="96">
        <f>C16*D16</f>
        <v>270</v>
      </c>
      <c r="F16" s="96">
        <f>E16</f>
        <v>270</v>
      </c>
      <c r="G16" s="96">
        <v>4</v>
      </c>
      <c r="H16" s="96">
        <v>50</v>
      </c>
      <c r="I16" s="96">
        <v>2</v>
      </c>
      <c r="J16" s="96">
        <f>I16*0.5</f>
        <v>1</v>
      </c>
    </row>
    <row r="17" spans="1:10" ht="12.75">
      <c r="A17" s="95"/>
      <c r="B17" s="96"/>
      <c r="C17" s="96"/>
      <c r="D17" s="96"/>
      <c r="E17" s="96"/>
      <c r="F17" s="96"/>
      <c r="G17" s="96"/>
      <c r="H17" s="96"/>
      <c r="I17" s="96"/>
      <c r="J17" s="96"/>
    </row>
    <row r="18" spans="1:10" ht="12.75">
      <c r="A18" s="95" t="s">
        <v>200</v>
      </c>
      <c r="B18" s="96" t="s">
        <v>201</v>
      </c>
      <c r="C18" s="96">
        <v>273</v>
      </c>
      <c r="D18" s="96">
        <v>1</v>
      </c>
      <c r="E18" s="96">
        <f>C18*D18</f>
        <v>273</v>
      </c>
      <c r="F18" s="96">
        <f>E18</f>
        <v>273</v>
      </c>
      <c r="G18" s="96">
        <v>4</v>
      </c>
      <c r="H18" s="96">
        <v>50</v>
      </c>
      <c r="I18" s="96">
        <v>2</v>
      </c>
      <c r="J18" s="96">
        <f>I18*0.5</f>
        <v>1</v>
      </c>
    </row>
    <row r="19" spans="1:10" ht="12.75">
      <c r="A19" s="95"/>
      <c r="B19" s="96"/>
      <c r="C19" s="96"/>
      <c r="D19" s="96"/>
      <c r="E19" s="96"/>
      <c r="F19" s="96"/>
      <c r="G19" s="96"/>
      <c r="H19" s="96"/>
      <c r="I19" s="96"/>
      <c r="J19" s="96"/>
    </row>
    <row r="20" spans="1:10" ht="12.75">
      <c r="A20" s="97" t="s">
        <v>202</v>
      </c>
      <c r="B20" s="98" t="s">
        <v>203</v>
      </c>
      <c r="C20" s="98">
        <v>84</v>
      </c>
      <c r="D20" s="98">
        <v>1</v>
      </c>
      <c r="E20" s="98">
        <f>C20*D20</f>
        <v>84</v>
      </c>
      <c r="F20" s="98">
        <f>E20</f>
        <v>84</v>
      </c>
      <c r="G20" s="98">
        <v>4</v>
      </c>
      <c r="H20" s="98">
        <v>50</v>
      </c>
      <c r="I20" s="98">
        <v>2</v>
      </c>
      <c r="J20" s="98">
        <f>I20*0.5</f>
        <v>1</v>
      </c>
    </row>
    <row r="21" spans="1:10" ht="12.75">
      <c r="A21" s="87"/>
      <c r="B21" s="89"/>
      <c r="C21" s="89"/>
      <c r="D21" s="89"/>
      <c r="E21" s="89"/>
      <c r="F21" s="89"/>
      <c r="G21" s="89"/>
      <c r="H21" s="89"/>
      <c r="I21" s="89"/>
      <c r="J21" s="89"/>
    </row>
    <row r="22" spans="1:10" ht="12.75">
      <c r="A22" s="91"/>
      <c r="B22" s="99" t="s">
        <v>112</v>
      </c>
      <c r="C22" s="100">
        <f>SUM(C5:C20)</f>
        <v>6705.4</v>
      </c>
      <c r="D22" s="100"/>
      <c r="E22" s="100">
        <f>SUM(E5:E20)</f>
        <v>6760.52</v>
      </c>
      <c r="F22" s="100"/>
      <c r="G22" s="100">
        <f>SUM(G5:G20)</f>
        <v>26</v>
      </c>
      <c r="H22" s="100"/>
      <c r="I22" s="100"/>
      <c r="J22" s="100">
        <f>SUM(J5:J20)</f>
        <v>13</v>
      </c>
    </row>
  </sheetData>
  <printOptions/>
  <pageMargins left="0.75" right="0.75" top="1" bottom="1" header="0.5" footer="0.5"/>
  <pageSetup horizontalDpi="180" verticalDpi="18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49"/>
  <sheetViews>
    <sheetView workbookViewId="0" topLeftCell="A1">
      <selection activeCell="G37" sqref="G37"/>
    </sheetView>
  </sheetViews>
  <sheetFormatPr defaultColWidth="9.140625" defaultRowHeight="21.75"/>
  <cols>
    <col min="1" max="1" width="5.28125" style="84" customWidth="1"/>
    <col min="2" max="2" width="22.28125" style="86" customWidth="1"/>
    <col min="3" max="3" width="12.7109375" style="86" customWidth="1"/>
    <col min="4" max="4" width="15.28125" style="86" customWidth="1"/>
    <col min="5" max="5" width="22.28125" style="86" customWidth="1"/>
    <col min="6" max="16384" width="9.140625" style="86" customWidth="1"/>
  </cols>
  <sheetData>
    <row r="2" ht="18.75" customHeight="1">
      <c r="B2" s="85" t="s">
        <v>204</v>
      </c>
    </row>
    <row r="3" spans="1:5" ht="23.25">
      <c r="A3" s="87"/>
      <c r="B3" s="88" t="s">
        <v>168</v>
      </c>
      <c r="C3" s="87" t="s">
        <v>169</v>
      </c>
      <c r="D3" s="87" t="s">
        <v>205</v>
      </c>
      <c r="E3" s="87" t="s">
        <v>206</v>
      </c>
    </row>
    <row r="4" spans="1:5" ht="23.25">
      <c r="A4" s="91"/>
      <c r="B4" s="92"/>
      <c r="C4" s="91" t="s">
        <v>177</v>
      </c>
      <c r="D4" s="91" t="s">
        <v>207</v>
      </c>
      <c r="E4" s="91" t="s">
        <v>179</v>
      </c>
    </row>
    <row r="5" spans="1:5" ht="12.75">
      <c r="A5" s="93" t="s">
        <v>184</v>
      </c>
      <c r="B5" s="94" t="s">
        <v>185</v>
      </c>
      <c r="C5" s="101">
        <v>290</v>
      </c>
      <c r="D5" s="94">
        <v>4.2</v>
      </c>
      <c r="E5" s="101">
        <f>D5/1000*C5</f>
        <v>1.2180000000000002</v>
      </c>
    </row>
    <row r="6" spans="1:5" ht="12.75">
      <c r="A6" s="95"/>
      <c r="B6" s="96"/>
      <c r="C6" s="102"/>
      <c r="D6" s="96"/>
      <c r="E6" s="102"/>
    </row>
    <row r="7" spans="1:5" ht="12.75">
      <c r="A7" s="95" t="s">
        <v>186</v>
      </c>
      <c r="B7" s="96" t="s">
        <v>187</v>
      </c>
      <c r="C7" s="102">
        <v>710</v>
      </c>
      <c r="D7" s="96">
        <v>4.2</v>
      </c>
      <c r="E7" s="101">
        <f>D7/1000*C7</f>
        <v>2.9820000000000007</v>
      </c>
    </row>
    <row r="8" spans="1:5" ht="12.75">
      <c r="A8" s="95"/>
      <c r="B8" s="96"/>
      <c r="C8" s="102"/>
      <c r="D8" s="96"/>
      <c r="E8" s="102"/>
    </row>
    <row r="9" spans="1:5" ht="12.75">
      <c r="A9" s="95" t="s">
        <v>188</v>
      </c>
      <c r="B9" s="96" t="s">
        <v>189</v>
      </c>
      <c r="C9" s="102">
        <v>1863.4</v>
      </c>
      <c r="D9" s="96">
        <v>4.2</v>
      </c>
      <c r="E9" s="101">
        <f>D9/1000*C9</f>
        <v>7.8262800000000015</v>
      </c>
    </row>
    <row r="10" spans="1:5" ht="12.75">
      <c r="A10" s="95" t="s">
        <v>190</v>
      </c>
      <c r="B10" s="96" t="s">
        <v>191</v>
      </c>
      <c r="C10" s="102">
        <v>526</v>
      </c>
      <c r="D10" s="96">
        <v>4.2</v>
      </c>
      <c r="E10" s="101">
        <f>D10/1000*C10</f>
        <v>2.2092000000000005</v>
      </c>
    </row>
    <row r="11" spans="1:5" ht="12.75">
      <c r="A11" s="95" t="s">
        <v>192</v>
      </c>
      <c r="B11" s="96" t="s">
        <v>193</v>
      </c>
      <c r="C11" s="102">
        <v>245</v>
      </c>
      <c r="D11" s="96">
        <v>4.2</v>
      </c>
      <c r="E11" s="101">
        <f>D11/1000*C11</f>
        <v>1.0290000000000001</v>
      </c>
    </row>
    <row r="12" spans="1:5" ht="12.75">
      <c r="A12" s="95" t="s">
        <v>194</v>
      </c>
      <c r="B12" s="96" t="s">
        <v>195</v>
      </c>
      <c r="C12" s="102">
        <f>2184+60</f>
        <v>2244</v>
      </c>
      <c r="D12" s="96">
        <v>4.2</v>
      </c>
      <c r="E12" s="101">
        <f>D12/1000*C12</f>
        <v>9.424800000000001</v>
      </c>
    </row>
    <row r="13" spans="1:5" ht="12.75">
      <c r="A13" s="95"/>
      <c r="B13" s="96"/>
      <c r="C13" s="102"/>
      <c r="D13" s="96"/>
      <c r="E13" s="102"/>
    </row>
    <row r="14" spans="1:5" ht="12.75">
      <c r="A14" s="95" t="s">
        <v>196</v>
      </c>
      <c r="B14" s="96" t="s">
        <v>197</v>
      </c>
      <c r="C14" s="102">
        <v>200</v>
      </c>
      <c r="D14" s="96">
        <v>4.2</v>
      </c>
      <c r="E14" s="101">
        <f>D14/1000*C14</f>
        <v>0.8400000000000001</v>
      </c>
    </row>
    <row r="15" spans="1:5" ht="12.75">
      <c r="A15" s="95"/>
      <c r="B15" s="96"/>
      <c r="C15" s="102"/>
      <c r="D15" s="96"/>
      <c r="E15" s="102"/>
    </row>
    <row r="16" spans="1:5" ht="12.75">
      <c r="A16" s="95" t="s">
        <v>198</v>
      </c>
      <c r="B16" s="96" t="s">
        <v>199</v>
      </c>
      <c r="C16" s="102">
        <v>270</v>
      </c>
      <c r="D16" s="96">
        <v>4.2</v>
      </c>
      <c r="E16" s="101">
        <f>D16/1000*C16</f>
        <v>1.1340000000000001</v>
      </c>
    </row>
    <row r="17" spans="1:5" ht="12.75">
      <c r="A17" s="95"/>
      <c r="B17" s="96"/>
      <c r="C17" s="102"/>
      <c r="D17" s="96"/>
      <c r="E17" s="102"/>
    </row>
    <row r="18" spans="1:5" ht="12.75">
      <c r="A18" s="95" t="s">
        <v>200</v>
      </c>
      <c r="B18" s="96" t="s">
        <v>201</v>
      </c>
      <c r="C18" s="102">
        <v>273</v>
      </c>
      <c r="D18" s="96">
        <v>4.2</v>
      </c>
      <c r="E18" s="101">
        <f>D18/1000*C18</f>
        <v>1.1466</v>
      </c>
    </row>
    <row r="19" spans="1:5" ht="12.75">
      <c r="A19" s="95"/>
      <c r="B19" s="96"/>
      <c r="C19" s="102"/>
      <c r="D19" s="96"/>
      <c r="E19" s="102"/>
    </row>
    <row r="20" spans="1:5" ht="12.75">
      <c r="A20" s="97" t="s">
        <v>202</v>
      </c>
      <c r="B20" s="98" t="s">
        <v>203</v>
      </c>
      <c r="C20" s="103">
        <v>84</v>
      </c>
      <c r="D20" s="96">
        <v>4.2</v>
      </c>
      <c r="E20" s="101">
        <f>D20/1000*C20</f>
        <v>0.35280000000000006</v>
      </c>
    </row>
    <row r="21" spans="1:5" ht="12.75">
      <c r="A21" s="87"/>
      <c r="B21" s="89"/>
      <c r="C21" s="104"/>
      <c r="D21" s="89"/>
      <c r="E21" s="104"/>
    </row>
    <row r="22" spans="1:5" ht="12.75">
      <c r="A22" s="91"/>
      <c r="B22" s="99" t="s">
        <v>112</v>
      </c>
      <c r="C22" s="105">
        <f>SUM(C5:C20)</f>
        <v>6705.4</v>
      </c>
      <c r="D22" s="100"/>
      <c r="E22" s="105">
        <f>SUM(E5:E20)</f>
        <v>28.16268</v>
      </c>
    </row>
    <row r="25" ht="12.75">
      <c r="B25" s="106" t="s">
        <v>208</v>
      </c>
    </row>
    <row r="27" spans="2:5" ht="12.75">
      <c r="B27" s="107" t="s">
        <v>209</v>
      </c>
      <c r="C27" s="108" t="s">
        <v>210</v>
      </c>
      <c r="D27" s="108" t="s">
        <v>211</v>
      </c>
      <c r="E27" s="108" t="s">
        <v>156</v>
      </c>
    </row>
    <row r="28" spans="2:5" ht="12.75">
      <c r="B28" s="94" t="s">
        <v>212</v>
      </c>
      <c r="C28" s="109">
        <v>1500</v>
      </c>
      <c r="D28" s="94">
        <v>100</v>
      </c>
      <c r="E28" s="101">
        <f>D28/1000*C28</f>
        <v>150</v>
      </c>
    </row>
    <row r="29" spans="2:5" ht="12.75">
      <c r="B29" s="96" t="s">
        <v>213</v>
      </c>
      <c r="C29" s="110">
        <v>200</v>
      </c>
      <c r="D29" s="96">
        <v>100</v>
      </c>
      <c r="E29" s="102">
        <f>D29/1000*C29</f>
        <v>20</v>
      </c>
    </row>
    <row r="30" spans="2:5" ht="12.75">
      <c r="B30" s="96" t="s">
        <v>214</v>
      </c>
      <c r="C30" s="110"/>
      <c r="D30" s="96"/>
      <c r="E30" s="102">
        <f>'[1]Backfiushing'!J22</f>
        <v>13</v>
      </c>
    </row>
    <row r="31" spans="2:5" ht="12.75">
      <c r="B31" s="96" t="s">
        <v>215</v>
      </c>
      <c r="C31" s="110"/>
      <c r="D31" s="96"/>
      <c r="E31" s="102">
        <f>E22</f>
        <v>28.16268</v>
      </c>
    </row>
    <row r="32" spans="2:5" ht="12.75">
      <c r="B32" s="98" t="s">
        <v>216</v>
      </c>
      <c r="C32" s="111">
        <v>824</v>
      </c>
      <c r="D32" s="98">
        <v>50</v>
      </c>
      <c r="E32" s="103">
        <f>D32/1000*C32</f>
        <v>41.2</v>
      </c>
    </row>
    <row r="33" spans="2:5" ht="12.75">
      <c r="B33" s="107" t="s">
        <v>217</v>
      </c>
      <c r="C33" s="112"/>
      <c r="D33" s="108"/>
      <c r="E33" s="112">
        <f>SUM(E28:E32)</f>
        <v>252.36268</v>
      </c>
    </row>
    <row r="34" ht="12.75">
      <c r="C34" s="113"/>
    </row>
    <row r="35" spans="2:3" ht="12.75">
      <c r="B35" s="85" t="s">
        <v>218</v>
      </c>
      <c r="C35" s="113"/>
    </row>
    <row r="36" ht="12.75">
      <c r="C36" s="113"/>
    </row>
    <row r="37" spans="2:4" ht="12.75">
      <c r="B37" s="86" t="s">
        <v>219</v>
      </c>
      <c r="C37" s="113">
        <v>625</v>
      </c>
      <c r="D37" s="86" t="s">
        <v>220</v>
      </c>
    </row>
    <row r="38" spans="2:4" ht="12.75">
      <c r="B38" s="86" t="s">
        <v>221</v>
      </c>
      <c r="C38" s="113">
        <v>1000</v>
      </c>
      <c r="D38" s="86" t="s">
        <v>220</v>
      </c>
    </row>
    <row r="39" spans="2:3" ht="12.75">
      <c r="B39" s="86" t="s">
        <v>222</v>
      </c>
      <c r="C39" s="113" t="s">
        <v>223</v>
      </c>
    </row>
    <row r="40" spans="2:4" ht="12.75">
      <c r="B40" s="86" t="s">
        <v>224</v>
      </c>
      <c r="C40" s="113">
        <v>250</v>
      </c>
      <c r="D40" s="86" t="s">
        <v>220</v>
      </c>
    </row>
    <row r="41" spans="2:3" ht="12.75">
      <c r="B41" s="86" t="s">
        <v>225</v>
      </c>
      <c r="C41" s="113"/>
    </row>
    <row r="42" spans="3:5" ht="12.75">
      <c r="C42" s="113"/>
      <c r="E42" s="113"/>
    </row>
    <row r="43" spans="2:5" ht="12.75">
      <c r="B43" s="84" t="s">
        <v>217</v>
      </c>
      <c r="C43" s="114">
        <f>SUM(C37:C40)</f>
        <v>1875</v>
      </c>
      <c r="D43" s="86" t="s">
        <v>220</v>
      </c>
      <c r="E43" s="113"/>
    </row>
    <row r="44" ht="12.75">
      <c r="E44" s="113"/>
    </row>
    <row r="45" spans="2:5" ht="12.75">
      <c r="B45" s="85" t="s">
        <v>226</v>
      </c>
      <c r="C45" s="115">
        <f>C43/E33</f>
        <v>7.4297831993224985</v>
      </c>
      <c r="D45" s="106" t="s">
        <v>227</v>
      </c>
      <c r="E45" s="113"/>
    </row>
    <row r="46" ht="12.75">
      <c r="E46" s="113"/>
    </row>
    <row r="47" spans="1:5" ht="15">
      <c r="A47" s="116"/>
      <c r="B47" s="117" t="s">
        <v>228</v>
      </c>
      <c r="E47" s="113"/>
    </row>
    <row r="48" ht="15">
      <c r="B48" s="118" t="s">
        <v>229</v>
      </c>
    </row>
    <row r="49" ht="15">
      <c r="B49" s="118" t="s">
        <v>230</v>
      </c>
    </row>
  </sheetData>
  <printOptions/>
  <pageMargins left="0.75" right="0.75" top="1" bottom="1" header="0.5" footer="0.5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 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Mr.Saksit  Kroothoen</dc:creator>
  <cp:keywords/>
  <dc:description/>
  <cp:lastModifiedBy>iLLuSioN</cp:lastModifiedBy>
  <cp:lastPrinted>2007-05-13T05:27:24Z</cp:lastPrinted>
  <dcterms:created xsi:type="dcterms:W3CDTF">2002-07-31T04:53:12Z</dcterms:created>
  <dcterms:modified xsi:type="dcterms:W3CDTF">2008-09-14T19:04:47Z</dcterms:modified>
  <cp:category/>
  <cp:version/>
  <cp:contentType/>
  <cp:contentStatus/>
</cp:coreProperties>
</file>