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90" tabRatio="244" activeTab="0"/>
  </bookViews>
  <sheets>
    <sheet name="PCPILE" sheetId="1" r:id="rId1"/>
  </sheets>
  <definedNames>
    <definedName name="_Fill" localSheetId="0" hidden="1">'PCPILE'!$A$58:$A$8183</definedName>
    <definedName name="MOMENT_FACTOR">'PCPILE'!$A$73:$C$102</definedName>
    <definedName name="PCTABLE">'PCPILE'!$C$59:$E$66</definedName>
    <definedName name="PILE_TABLE">'PCPILE'!$D$78:$G$107</definedName>
    <definedName name="_xlnm.Print_Area" localSheetId="0">'PCPILE'!$A$1:$J$54</definedName>
    <definedName name="PRINT_TABLE">'PCPILE'!$A$1:$L$55</definedName>
  </definedNames>
  <calcPr fullCalcOnLoad="1"/>
</workbook>
</file>

<file path=xl/sharedStrings.xml><?xml version="1.0" encoding="utf-8"?>
<sst xmlns="http://schemas.openxmlformats.org/spreadsheetml/2006/main" count="199" uniqueCount="130">
  <si>
    <t>Design for Prestressed Concrete Pile</t>
  </si>
  <si>
    <t>Design Criteria</t>
  </si>
  <si>
    <t xml:space="preserve">Concrete : </t>
  </si>
  <si>
    <t xml:space="preserve">               fc'  at service     </t>
  </si>
  <si>
    <t>=</t>
  </si>
  <si>
    <t>ksc</t>
  </si>
  <si>
    <t xml:space="preserve">               fci' at transfer    </t>
  </si>
  <si>
    <t xml:space="preserve">               fci  at transfer    </t>
  </si>
  <si>
    <t xml:space="preserve">               fc   at service     </t>
  </si>
  <si>
    <t>Prestressing Steel:</t>
  </si>
  <si>
    <t>Grade</t>
  </si>
  <si>
    <t xml:space="preserve">     250K</t>
  </si>
  <si>
    <t xml:space="preserve">      270K</t>
  </si>
  <si>
    <t>Unit</t>
  </si>
  <si>
    <t>Daimeter</t>
  </si>
  <si>
    <t>fs'</t>
  </si>
  <si>
    <t>kg(ksc)</t>
  </si>
  <si>
    <t>Area</t>
  </si>
  <si>
    <t>Pile Size:</t>
  </si>
  <si>
    <t>HS-65</t>
  </si>
  <si>
    <t>Length</t>
  </si>
  <si>
    <t xml:space="preserve"> m</t>
  </si>
  <si>
    <t>Ig</t>
  </si>
  <si>
    <t>Zg</t>
  </si>
  <si>
    <t>Unit weight</t>
  </si>
  <si>
    <t xml:space="preserve"> kg/m</t>
  </si>
  <si>
    <t>Design Calulation</t>
  </si>
  <si>
    <t>Impact  =</t>
  </si>
  <si>
    <t>%</t>
  </si>
  <si>
    <t>Handling Moment =</t>
  </si>
  <si>
    <t>kg-m</t>
  </si>
  <si>
    <t>Transport Moment=</t>
  </si>
  <si>
    <t>Fiber Stress:</t>
  </si>
  <si>
    <t xml:space="preserve">No of Tendon    = </t>
  </si>
  <si>
    <t>Use</t>
  </si>
  <si>
    <t>Total fsi</t>
  </si>
  <si>
    <t>kg</t>
  </si>
  <si>
    <t xml:space="preserve">    PS  unit weight</t>
  </si>
  <si>
    <t xml:space="preserve">     </t>
  </si>
  <si>
    <t xml:space="preserve">    Total PS weight</t>
  </si>
  <si>
    <t>kg/pile</t>
  </si>
  <si>
    <t xml:space="preserve">     At transfer :</t>
  </si>
  <si>
    <t xml:space="preserve">Max.  compressive fiber stress </t>
  </si>
  <si>
    <t xml:space="preserve">Min.  compressive fiber stress </t>
  </si>
  <si>
    <t xml:space="preserve">     At Service :</t>
  </si>
  <si>
    <t>Assume total losses =</t>
  </si>
  <si>
    <t xml:space="preserve"> %</t>
  </si>
  <si>
    <t xml:space="preserve">Effective prestress </t>
  </si>
  <si>
    <t xml:space="preserve"> ksc</t>
  </si>
  <si>
    <t>Max.  compressive fiber stress</t>
  </si>
  <si>
    <t>Min.  compressive fiber stress</t>
  </si>
  <si>
    <t xml:space="preserve">      Allowable tensile stress</t>
  </si>
  <si>
    <t xml:space="preserve">Cracking moment </t>
  </si>
  <si>
    <t xml:space="preserve"> ton-m</t>
  </si>
  <si>
    <t>Allowable axial load</t>
  </si>
  <si>
    <t xml:space="preserve"> ton</t>
  </si>
  <si>
    <t>Ultimate load on pile</t>
  </si>
  <si>
    <t xml:space="preserve">S.F. of axial bearing load </t>
  </si>
  <si>
    <t xml:space="preserve"> </t>
  </si>
  <si>
    <t>Safe bearing load</t>
  </si>
  <si>
    <t>Designed : ________________________</t>
  </si>
  <si>
    <t>Checked  : ________________________</t>
  </si>
  <si>
    <t>(</t>
  </si>
  <si>
    <t>)</t>
  </si>
  <si>
    <t xml:space="preserve">   </t>
  </si>
  <si>
    <t>Fs'</t>
  </si>
  <si>
    <t>4 MM</t>
  </si>
  <si>
    <t>5 MM</t>
  </si>
  <si>
    <t>7 MM</t>
  </si>
  <si>
    <t>9 MM</t>
  </si>
  <si>
    <t>3/8" 250K</t>
  </si>
  <si>
    <t>3/8" 270K</t>
  </si>
  <si>
    <t>1/2" 250K</t>
  </si>
  <si>
    <t>1/2" 270K</t>
  </si>
  <si>
    <t>Length,m</t>
  </si>
  <si>
    <t>Moment Factor</t>
  </si>
  <si>
    <t>|&lt;---------------------------L-----------------------------&gt;|</t>
  </si>
  <si>
    <t xml:space="preserve"> ___________________________________________________________</t>
  </si>
  <si>
    <t>|___________________________________________________________|</t>
  </si>
  <si>
    <t>|--2.00--|</t>
  </si>
  <si>
    <t>|----3.00----|--------KL----------|</t>
  </si>
  <si>
    <t>Section</t>
  </si>
  <si>
    <t>A</t>
  </si>
  <si>
    <t>I</t>
  </si>
  <si>
    <t>S</t>
  </si>
  <si>
    <t>PS-18</t>
  </si>
  <si>
    <t>PS-20</t>
  </si>
  <si>
    <t>PS-22</t>
  </si>
  <si>
    <t>PS-25</t>
  </si>
  <si>
    <t>PS-26</t>
  </si>
  <si>
    <t>PS-30</t>
  </si>
  <si>
    <t>PS-35</t>
  </si>
  <si>
    <t>PS-40</t>
  </si>
  <si>
    <t>PS-45</t>
  </si>
  <si>
    <t>PS-52.5</t>
  </si>
  <si>
    <t>HS-40</t>
  </si>
  <si>
    <t>HS-45</t>
  </si>
  <si>
    <t>HS-52.5</t>
  </si>
  <si>
    <t>PI-22</t>
  </si>
  <si>
    <t>PI-26</t>
  </si>
  <si>
    <t>PI-27</t>
  </si>
  <si>
    <t>PI-30(610)</t>
  </si>
  <si>
    <t>PI-30(662)</t>
  </si>
  <si>
    <t>PI-35(781)</t>
  </si>
  <si>
    <t>PI-35(880)</t>
  </si>
  <si>
    <t>PI-40(1156)</t>
  </si>
  <si>
    <t>PI-40(1255)</t>
  </si>
  <si>
    <t>SPUN 350mm</t>
  </si>
  <si>
    <t>SPUN 400mm</t>
  </si>
  <si>
    <t>SPUN 500mm</t>
  </si>
  <si>
    <t>DH-22</t>
  </si>
  <si>
    <t>DH52.5</t>
  </si>
  <si>
    <r>
      <t>cm</t>
    </r>
    <r>
      <rPr>
        <vertAlign val="superscript"/>
        <sz val="10"/>
        <rFont val="Arial"/>
        <family val="2"/>
      </rPr>
      <t>2</t>
    </r>
  </si>
  <si>
    <t>nos - ø</t>
  </si>
  <si>
    <t xml:space="preserve">       Handling  =   ±</t>
  </si>
  <si>
    <t xml:space="preserve">      Transport =   ±</t>
  </si>
  <si>
    <t>ø4mm</t>
  </si>
  <si>
    <t>ø5mm</t>
  </si>
  <si>
    <t>ø7mm</t>
  </si>
  <si>
    <t>ø9mm</t>
  </si>
  <si>
    <t>ø3/8"</t>
  </si>
  <si>
    <t>ø1/2"</t>
  </si>
  <si>
    <r>
      <t xml:space="preserve"> cm</t>
    </r>
    <r>
      <rPr>
        <vertAlign val="superscript"/>
        <sz val="10"/>
        <rFont val="Arial"/>
        <family val="2"/>
      </rPr>
      <t>2</t>
    </r>
  </si>
  <si>
    <r>
      <t xml:space="preserve"> cm</t>
    </r>
    <r>
      <rPr>
        <vertAlign val="superscript"/>
        <sz val="10"/>
        <rFont val="Arial"/>
        <family val="2"/>
      </rPr>
      <t>4</t>
    </r>
  </si>
  <si>
    <r>
      <t xml:space="preserve"> cm</t>
    </r>
    <r>
      <rPr>
        <vertAlign val="superscript"/>
        <sz val="10"/>
        <rFont val="Arial"/>
        <family val="2"/>
      </rPr>
      <t>3</t>
    </r>
  </si>
  <si>
    <t>SPUN 300mm</t>
  </si>
  <si>
    <t>N/mm²</t>
  </si>
  <si>
    <t>ksc</t>
  </si>
  <si>
    <t>SPUN 600mm</t>
  </si>
  <si>
    <t>9 mm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</si>
</sst>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฿&quot;#,##0;\-&quot;฿&quot;#,##0"/>
    <numFmt numFmtId="198" formatCode="&quot;฿&quot;#,##0;[Red]\-&quot;฿&quot;#,##0"/>
    <numFmt numFmtId="199" formatCode="&quot;฿&quot;#,##0.00;\-&quot;฿&quot;#,##0.00"/>
    <numFmt numFmtId="200" formatCode="&quot;฿&quot;#,##0.00;[Red]\-&quot;฿&quot;#,##0.00"/>
    <numFmt numFmtId="201" formatCode="_-&quot;฿&quot;* #,##0_-;\-&quot;฿&quot;* #,##0_-;_-&quot;฿&quot;* &quot;-&quot;_-;_-@_-"/>
    <numFmt numFmtId="202" formatCode="_-* #,##0_-;\-* #,##0_-;_-* &quot;-&quot;_-;_-@_-"/>
    <numFmt numFmtId="203" formatCode="_-&quot;฿&quot;* #,##0.00_-;\-&quot;฿&quot;* #,##0.00_-;_-&quot;฿&quot;* &quot;-&quot;??_-;_-@_-"/>
    <numFmt numFmtId="204" formatCode="_-* #,##0.00_-;\-* #,##0.00_-;_-* &quot;-&quot;??_-;_-@_-"/>
    <numFmt numFmtId="205" formatCode="\$#,##0_);\(\$#,##0\)"/>
    <numFmt numFmtId="206" formatCode="\$#,##0_);[Red]\(\$#,##0\)"/>
    <numFmt numFmtId="207" formatCode="\$#,##0.00_);\(\$#,##0.00\)"/>
    <numFmt numFmtId="208" formatCode="\$#,##0.00_);[Red]\(\$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#,##0_);\(\t#,##0\)"/>
    <numFmt numFmtId="214" formatCode="\t#,##0_);[Red]\(\t#,##0\)"/>
    <numFmt numFmtId="215" formatCode="_(&quot;฿&quot;* \t#,##0_);_(&quot;฿&quot;* \(\t#,##0\);_(&quot;฿&quot;* &quot;-&quot;_);_(@_)"/>
    <numFmt numFmtId="216" formatCode="d\ \ด\ด\ด\ด\ &quot;พ.ศ.&quot;\ \b\b\b\b"/>
    <numFmt numFmtId="217" formatCode="\ว\ \ด\ด\ด\ด\ &quot;ค.ศ.&quot;\ \ค\ค\ค\ค"/>
    <numFmt numFmtId="218" formatCode="&quot;วันที่&quot;\ \ว\ \ด\ด\ด\ด\ \ป\ป\ป\ป"/>
    <numFmt numFmtId="219" formatCode="d\ \ด\ด\ด\ \b\b"/>
    <numFmt numFmtId="220" formatCode="\ว\ \ด\ด\ด\ \ป\ป"/>
    <numFmt numFmtId="221" formatCode="\ช\ช\:\น\น\:\ท\ท"/>
    <numFmt numFmtId="222" formatCode="\ช\.\น\น\ &quot;น.&quot;"/>
    <numFmt numFmtId="223" formatCode="\t0.00E+00"/>
    <numFmt numFmtId="224" formatCode="&quot;฿&quot;\t#,##0_);\(&quot;฿&quot;\t#,##0\)"/>
    <numFmt numFmtId="225" formatCode="&quot;฿&quot;\t#,##0_);[Red]\(&quot;฿&quot;\t#,##0\)"/>
    <numFmt numFmtId="226" formatCode="General_)"/>
    <numFmt numFmtId="227" formatCode="0.0_)"/>
    <numFmt numFmtId="228" formatCode=";;;"/>
    <numFmt numFmtId="229" formatCode="0.0000_)"/>
    <numFmt numFmtId="230" formatCode="0.00_)"/>
    <numFmt numFmtId="231" formatCode="#,##0.0_);\(#,##0.0\)"/>
    <numFmt numFmtId="232" formatCode="#,##0.000_);\(#,##0.000\)"/>
    <numFmt numFmtId="233" formatCode="dd/mm/yy_)"/>
    <numFmt numFmtId="234" formatCode="0.000_)"/>
    <numFmt numFmtId="235" formatCode="0_)"/>
    <numFmt numFmtId="236" formatCode="#,##0.0_);[Red]\(#,##0.0\)"/>
    <numFmt numFmtId="237" formatCode="#,##0.0"/>
    <numFmt numFmtId="238" formatCode="#,##0.0;[Red]\-#,##0.0"/>
  </numFmts>
  <fonts count="18">
    <font>
      <sz val="9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sz val="10"/>
      <color indexed="12"/>
      <name val="Courier"/>
      <family val="3"/>
    </font>
    <font>
      <sz val="10"/>
      <name val="Helvetica"/>
      <family val="2"/>
    </font>
    <font>
      <vertAlign val="superscript"/>
      <sz val="10"/>
      <name val="Arial"/>
      <family val="2"/>
    </font>
    <font>
      <i/>
      <sz val="12"/>
      <name val="Yuttana"/>
      <family val="0"/>
    </font>
    <font>
      <sz val="10"/>
      <name val="MathSoftText"/>
      <family val="0"/>
    </font>
    <font>
      <sz val="6"/>
      <name val="Arial"/>
      <family val="2"/>
    </font>
    <font>
      <sz val="9"/>
      <name val="SimHei"/>
      <family val="0"/>
    </font>
    <font>
      <sz val="6"/>
      <name val="SimHei"/>
      <family val="0"/>
    </font>
    <font>
      <i/>
      <sz val="10"/>
      <color indexed="12"/>
      <name val="MathSoftText"/>
      <family val="0"/>
    </font>
    <font>
      <i/>
      <sz val="9"/>
      <color indexed="12"/>
      <name val="MathSoftText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5">
    <xf numFmtId="22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27" fontId="13" fillId="0" borderId="1" applyNumberFormat="0">
      <alignment/>
      <protection locked="0"/>
    </xf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27" fontId="13" fillId="0" borderId="1">
      <alignment/>
      <protection locked="0"/>
    </xf>
    <xf numFmtId="9" fontId="4" fillId="0" borderId="0" applyFont="0" applyFill="0" applyBorder="0" applyAlignment="0" applyProtection="0"/>
    <xf numFmtId="226" fontId="15" fillId="0" borderId="0">
      <alignment horizontal="centerContinuous"/>
      <protection/>
    </xf>
    <xf numFmtId="226" fontId="16" fillId="0" borderId="0">
      <alignment horizontal="left"/>
      <protection/>
    </xf>
    <xf numFmtId="226" fontId="17" fillId="0" borderId="0">
      <alignment horizontal="left"/>
      <protection/>
    </xf>
  </cellStyleXfs>
  <cellXfs count="65">
    <xf numFmtId="226" fontId="0" fillId="0" borderId="0" xfId="0" applyAlignment="1">
      <alignment/>
    </xf>
    <xf numFmtId="226" fontId="0" fillId="0" borderId="0" xfId="0" applyAlignment="1" applyProtection="1">
      <alignment horizontal="left"/>
      <protection/>
    </xf>
    <xf numFmtId="228" fontId="5" fillId="0" borderId="0" xfId="0" applyNumberFormat="1" applyFont="1" applyAlignment="1" applyProtection="1">
      <alignment/>
      <protection locked="0"/>
    </xf>
    <xf numFmtId="226" fontId="0" fillId="0" borderId="0" xfId="0" applyAlignment="1" applyProtection="1">
      <alignment/>
      <protection/>
    </xf>
    <xf numFmtId="226" fontId="0" fillId="0" borderId="0" xfId="0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229" fontId="0" fillId="0" borderId="0" xfId="0" applyNumberFormat="1" applyAlignment="1" applyProtection="1">
      <alignment/>
      <protection/>
    </xf>
    <xf numFmtId="226" fontId="5" fillId="0" borderId="0" xfId="0" applyFont="1" applyAlignment="1" applyProtection="1">
      <alignment/>
      <protection locked="0"/>
    </xf>
    <xf numFmtId="230" fontId="0" fillId="0" borderId="0" xfId="0" applyNumberFormat="1" applyAlignment="1" applyProtection="1">
      <alignment/>
      <protection/>
    </xf>
    <xf numFmtId="228" fontId="0" fillId="0" borderId="0" xfId="0" applyNumberFormat="1" applyAlignment="1" applyProtection="1">
      <alignment/>
      <protection/>
    </xf>
    <xf numFmtId="233" fontId="0" fillId="0" borderId="0" xfId="0" applyNumberFormat="1" applyAlignment="1" applyProtection="1">
      <alignment/>
      <protection/>
    </xf>
    <xf numFmtId="226" fontId="0" fillId="0" borderId="0" xfId="0" applyAlignment="1" applyProtection="1" quotePrefix="1">
      <alignment horizontal="left"/>
      <protection/>
    </xf>
    <xf numFmtId="229" fontId="5" fillId="0" borderId="0" xfId="0" applyNumberFormat="1" applyFont="1" applyAlignment="1" applyProtection="1">
      <alignment/>
      <protection locked="0"/>
    </xf>
    <xf numFmtId="226" fontId="0" fillId="0" borderId="0" xfId="0" applyAlignment="1" applyProtection="1">
      <alignment/>
      <protection/>
    </xf>
    <xf numFmtId="227" fontId="13" fillId="0" borderId="1" xfId="20">
      <alignment/>
      <protection locked="0"/>
    </xf>
    <xf numFmtId="226" fontId="0" fillId="0" borderId="0" xfId="0" applyAlignment="1">
      <alignment horizontal="centerContinuous"/>
    </xf>
    <xf numFmtId="226" fontId="15" fillId="0" borderId="0" xfId="22">
      <alignment horizontal="centerContinuous"/>
      <protection/>
    </xf>
    <xf numFmtId="226" fontId="16" fillId="0" borderId="0" xfId="23">
      <alignment horizontal="left"/>
      <protection/>
    </xf>
    <xf numFmtId="226" fontId="17" fillId="0" borderId="0" xfId="24">
      <alignment horizontal="left"/>
      <protection/>
    </xf>
    <xf numFmtId="226" fontId="0" fillId="0" borderId="0" xfId="0" applyAlignment="1">
      <alignment horizontal="right"/>
    </xf>
    <xf numFmtId="226" fontId="0" fillId="0" borderId="2" xfId="0" applyBorder="1" applyAlignment="1" applyProtection="1">
      <alignment horizontal="left"/>
      <protection/>
    </xf>
    <xf numFmtId="226" fontId="0" fillId="0" borderId="3" xfId="0" applyBorder="1" applyAlignment="1">
      <alignment/>
    </xf>
    <xf numFmtId="226" fontId="0" fillId="0" borderId="4" xfId="0" applyBorder="1" applyAlignment="1">
      <alignment/>
    </xf>
    <xf numFmtId="226" fontId="0" fillId="0" borderId="2" xfId="0" applyBorder="1" applyAlignment="1">
      <alignment/>
    </xf>
    <xf numFmtId="226" fontId="0" fillId="0" borderId="5" xfId="0" applyBorder="1" applyAlignment="1" applyProtection="1">
      <alignment horizontal="left"/>
      <protection/>
    </xf>
    <xf numFmtId="226" fontId="0" fillId="0" borderId="6" xfId="0" applyBorder="1" applyAlignment="1" applyProtection="1">
      <alignment horizontal="left"/>
      <protection/>
    </xf>
    <xf numFmtId="226" fontId="0" fillId="0" borderId="7" xfId="0" applyBorder="1" applyAlignment="1" applyProtection="1">
      <alignment horizontal="left"/>
      <protection/>
    </xf>
    <xf numFmtId="226" fontId="0" fillId="0" borderId="8" xfId="0" applyBorder="1" applyAlignment="1" applyProtection="1">
      <alignment horizontal="left"/>
      <protection/>
    </xf>
    <xf numFmtId="226" fontId="0" fillId="0" borderId="8" xfId="0" applyBorder="1" applyAlignment="1" applyProtection="1">
      <alignment/>
      <protection/>
    </xf>
    <xf numFmtId="226" fontId="0" fillId="0" borderId="9" xfId="0" applyBorder="1" applyAlignment="1">
      <alignment horizontal="center"/>
    </xf>
    <xf numFmtId="226" fontId="0" fillId="0" borderId="3" xfId="0" applyBorder="1" applyAlignment="1" applyProtection="1">
      <alignment horizontal="centerContinuous"/>
      <protection/>
    </xf>
    <xf numFmtId="226" fontId="0" fillId="0" borderId="4" xfId="0" applyBorder="1" applyAlignment="1">
      <alignment horizontal="centerContinuous"/>
    </xf>
    <xf numFmtId="37" fontId="0" fillId="0" borderId="5" xfId="0" applyNumberFormat="1" applyBorder="1" applyAlignment="1" applyProtection="1">
      <alignment/>
      <protection/>
    </xf>
    <xf numFmtId="229" fontId="0" fillId="0" borderId="2" xfId="0" applyNumberFormat="1" applyBorder="1" applyAlignment="1" applyProtection="1">
      <alignment/>
      <protection/>
    </xf>
    <xf numFmtId="226" fontId="0" fillId="0" borderId="0" xfId="0" applyAlignment="1" applyProtection="1">
      <alignment horizontal="center"/>
      <protection/>
    </xf>
    <xf numFmtId="226" fontId="0" fillId="0" borderId="0" xfId="0" applyAlignment="1">
      <alignment horizontal="center"/>
    </xf>
    <xf numFmtId="226" fontId="0" fillId="0" borderId="0" xfId="0" applyAlignment="1">
      <alignment/>
    </xf>
    <xf numFmtId="227" fontId="13" fillId="0" borderId="1" xfId="17">
      <alignment/>
      <protection locked="0"/>
    </xf>
    <xf numFmtId="235" fontId="13" fillId="0" borderId="1" xfId="20" applyNumberFormat="1">
      <alignment/>
      <protection locked="0"/>
    </xf>
    <xf numFmtId="230" fontId="13" fillId="0" borderId="1" xfId="17" applyNumberFormat="1">
      <alignment/>
      <protection locked="0"/>
    </xf>
    <xf numFmtId="226" fontId="0" fillId="0" borderId="0" xfId="0" applyAlignment="1" applyProtection="1">
      <alignment horizontal="centerContinuous"/>
      <protection/>
    </xf>
    <xf numFmtId="226" fontId="6" fillId="0" borderId="0" xfId="0" applyFont="1" applyAlignment="1">
      <alignment/>
    </xf>
    <xf numFmtId="226" fontId="0" fillId="0" borderId="0" xfId="0" applyAlignment="1" applyProtection="1">
      <alignment horizontal="left"/>
      <protection locked="0"/>
    </xf>
    <xf numFmtId="226" fontId="0" fillId="0" borderId="0" xfId="0" applyAlignment="1" applyProtection="1">
      <alignment/>
      <protection locked="0"/>
    </xf>
    <xf numFmtId="234" fontId="0" fillId="0" borderId="0" xfId="0" applyNumberFormat="1" applyAlignment="1" applyProtection="1">
      <alignment horizontal="left"/>
      <protection locked="0"/>
    </xf>
    <xf numFmtId="230" fontId="0" fillId="0" borderId="0" xfId="0" applyNumberFormat="1" applyAlignment="1" applyProtection="1">
      <alignment/>
      <protection locked="0"/>
    </xf>
    <xf numFmtId="227" fontId="13" fillId="0" borderId="1" xfId="20" applyProtection="1">
      <alignment/>
      <protection locked="0"/>
    </xf>
    <xf numFmtId="230" fontId="13" fillId="0" borderId="1" xfId="20" applyNumberFormat="1" applyProtection="1">
      <alignment/>
      <protection locked="0"/>
    </xf>
    <xf numFmtId="234" fontId="13" fillId="0" borderId="1" xfId="17" applyNumberFormat="1" applyProtection="1">
      <alignment/>
      <protection/>
    </xf>
    <xf numFmtId="230" fontId="13" fillId="0" borderId="1" xfId="17" applyNumberFormat="1" applyProtection="1">
      <alignment/>
      <protection/>
    </xf>
    <xf numFmtId="236" fontId="13" fillId="0" borderId="1" xfId="17" applyNumberFormat="1">
      <alignment/>
      <protection locked="0"/>
    </xf>
    <xf numFmtId="237" fontId="13" fillId="0" borderId="1" xfId="17" applyNumberFormat="1" applyProtection="1">
      <alignment/>
      <protection/>
    </xf>
    <xf numFmtId="3" fontId="13" fillId="0" borderId="1" xfId="20" applyNumberFormat="1">
      <alignment/>
      <protection locked="0"/>
    </xf>
    <xf numFmtId="238" fontId="13" fillId="0" borderId="1" xfId="17" applyNumberFormat="1">
      <alignment/>
      <protection locked="0"/>
    </xf>
    <xf numFmtId="226" fontId="8" fillId="0" borderId="0" xfId="0" applyFont="1" applyAlignment="1">
      <alignment/>
    </xf>
    <xf numFmtId="226" fontId="0" fillId="0" borderId="6" xfId="0" applyBorder="1" applyAlignment="1">
      <alignment horizontal="right"/>
    </xf>
    <xf numFmtId="226" fontId="9" fillId="0" borderId="0" xfId="0" applyFont="1" applyAlignment="1">
      <alignment/>
    </xf>
    <xf numFmtId="226" fontId="10" fillId="0" borderId="0" xfId="0" applyFont="1" applyAlignment="1" applyProtection="1">
      <alignment horizontal="right"/>
      <protection locked="0"/>
    </xf>
    <xf numFmtId="226" fontId="12" fillId="0" borderId="0" xfId="0" applyFont="1" applyAlignment="1" applyProtection="1">
      <alignment horizontal="right"/>
      <protection locked="0"/>
    </xf>
    <xf numFmtId="226" fontId="14" fillId="0" borderId="1" xfId="17" applyFont="1" applyAlignment="1">
      <alignment horizontal="right"/>
      <protection locked="0"/>
    </xf>
    <xf numFmtId="226" fontId="15" fillId="0" borderId="0" xfId="22" applyFont="1">
      <alignment horizontal="centerContinuous"/>
      <protection/>
    </xf>
    <xf numFmtId="226" fontId="13" fillId="0" borderId="0" xfId="17" applyBorder="1">
      <alignment/>
      <protection locked="0"/>
    </xf>
    <xf numFmtId="226" fontId="0" fillId="0" borderId="0" xfId="0" applyBorder="1" applyAlignment="1">
      <alignment/>
    </xf>
    <xf numFmtId="40" fontId="0" fillId="0" borderId="0" xfId="15" applyAlignment="1">
      <alignment/>
    </xf>
    <xf numFmtId="38" fontId="0" fillId="0" borderId="0" xfId="15" applyNumberFormat="1" applyAlignment="1">
      <alignment/>
    </xf>
  </cellXfs>
  <cellStyles count="11">
    <cellStyle name="Normal" xfId="0"/>
    <cellStyle name="Comma" xfId="15"/>
    <cellStyle name="Comma [0]" xfId="16"/>
    <cellStyle name="ComputeD1" xfId="17"/>
    <cellStyle name="Currency" xfId="18"/>
    <cellStyle name="Currency [0]" xfId="19"/>
    <cellStyle name="InputD1" xfId="20"/>
    <cellStyle name="Percent" xfId="21"/>
    <cellStyle name="Title" xfId="22"/>
    <cellStyle name="Title2" xfId="23"/>
    <cellStyle name="Title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20"/>
  <sheetViews>
    <sheetView showGridLines="0" tabSelected="1" workbookViewId="0" topLeftCell="A1">
      <selection activeCell="C73" sqref="C73"/>
    </sheetView>
  </sheetViews>
  <sheetFormatPr defaultColWidth="9.57421875" defaultRowHeight="12"/>
  <cols>
    <col min="1" max="1" width="13.421875" style="0" customWidth="1"/>
    <col min="3" max="3" width="11.57421875" style="0" customWidth="1"/>
    <col min="4" max="4" width="11.00390625" style="43" customWidth="1"/>
    <col min="5" max="5" width="7.57421875" style="43" customWidth="1"/>
    <col min="6" max="6" width="8.57421875" style="43" customWidth="1"/>
    <col min="7" max="7" width="9.7109375" style="43" customWidth="1"/>
    <col min="8" max="8" width="9.421875" style="0" customWidth="1"/>
    <col min="9" max="9" width="9.140625" style="0" customWidth="1"/>
    <col min="10" max="10" width="6.28125" style="0" customWidth="1"/>
    <col min="11" max="11" width="8.57421875" style="0" customWidth="1"/>
    <col min="12" max="12" width="9.57421875" style="0" customWidth="1"/>
    <col min="13" max="13" width="10.421875" style="35" customWidth="1"/>
    <col min="28" max="28" width="9.57421875" style="0" customWidth="1"/>
    <col min="29" max="29" width="7.57421875" style="0" customWidth="1"/>
  </cols>
  <sheetData>
    <row r="1" spans="1:10" ht="18">
      <c r="A1" s="60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18.75">
      <c r="A2" s="17" t="s">
        <v>1</v>
      </c>
      <c r="D2"/>
      <c r="E2"/>
      <c r="F2" s="16"/>
      <c r="G2" s="17"/>
      <c r="J2" s="58"/>
      <c r="K2" s="56" t="str">
        <f ca="1">INFO("directory")</f>
        <v>C:\Documents and Settings\COMPAQ\My Documents\</v>
      </c>
    </row>
    <row r="3" spans="1:11" ht="14.25">
      <c r="A3" s="18" t="s">
        <v>2</v>
      </c>
      <c r="C3" s="18"/>
      <c r="D3"/>
      <c r="E3"/>
      <c r="F3"/>
      <c r="G3"/>
      <c r="J3" s="57"/>
      <c r="K3" s="56" t="e">
        <f>RIGHT(J3,LEN(J3)-K4)</f>
        <v>#VALUE!</v>
      </c>
    </row>
    <row r="4" spans="1:11" ht="14.25">
      <c r="A4" s="1" t="s">
        <v>3</v>
      </c>
      <c r="C4" s="19" t="s">
        <v>4</v>
      </c>
      <c r="D4" s="14">
        <v>500</v>
      </c>
      <c r="E4" s="1" t="s">
        <v>5</v>
      </c>
      <c r="F4"/>
      <c r="G4"/>
      <c r="K4" s="41">
        <f>LEN(K2)</f>
        <v>46</v>
      </c>
    </row>
    <row r="5" spans="1:13" ht="14.25">
      <c r="A5" s="1" t="s">
        <v>6</v>
      </c>
      <c r="C5" s="19" t="s">
        <v>4</v>
      </c>
      <c r="D5" s="46">
        <v>280</v>
      </c>
      <c r="E5" s="1" t="s">
        <v>5</v>
      </c>
      <c r="F5"/>
      <c r="G5"/>
      <c r="M5" s="18"/>
    </row>
    <row r="6" spans="1:7" ht="14.25">
      <c r="A6" s="1" t="s">
        <v>7</v>
      </c>
      <c r="C6" s="19" t="s">
        <v>4</v>
      </c>
      <c r="D6" s="46">
        <f>D5*0.6</f>
        <v>168</v>
      </c>
      <c r="E6" s="1" t="s">
        <v>5</v>
      </c>
      <c r="F6" s="2">
        <v>0</v>
      </c>
      <c r="G6"/>
    </row>
    <row r="7" spans="1:12" ht="14.25">
      <c r="A7" s="1" t="s">
        <v>8</v>
      </c>
      <c r="C7" s="19" t="s">
        <v>4</v>
      </c>
      <c r="D7" s="46">
        <f>D4*0.45</f>
        <v>225</v>
      </c>
      <c r="E7" s="3" t="str">
        <f>"ksc "&amp;IF(F6=0,"(Base on Standard Cylinder)","(Base on Standard Cube)")</f>
        <v>ksc (Base on Standard Cylinder)</v>
      </c>
      <c r="F7"/>
      <c r="G7"/>
      <c r="L7" s="14"/>
    </row>
    <row r="8" spans="1:7" ht="12.75">
      <c r="A8" s="18" t="s">
        <v>9</v>
      </c>
      <c r="D8" s="2">
        <v>0.75</v>
      </c>
      <c r="E8"/>
      <c r="F8"/>
      <c r="G8"/>
    </row>
    <row r="9" spans="1:10" ht="12">
      <c r="A9" s="25" t="s">
        <v>10</v>
      </c>
      <c r="B9" s="21"/>
      <c r="C9" s="21"/>
      <c r="D9" s="21"/>
      <c r="E9" s="22"/>
      <c r="F9" s="30" t="s">
        <v>11</v>
      </c>
      <c r="G9" s="31"/>
      <c r="H9" s="30" t="s">
        <v>12</v>
      </c>
      <c r="I9" s="31"/>
      <c r="J9" s="29" t="s">
        <v>13</v>
      </c>
    </row>
    <row r="10" spans="1:10" ht="12">
      <c r="A10" s="26" t="s">
        <v>14</v>
      </c>
      <c r="B10" s="55" t="s">
        <v>116</v>
      </c>
      <c r="C10" s="55" t="s">
        <v>117</v>
      </c>
      <c r="D10" s="55" t="s">
        <v>118</v>
      </c>
      <c r="E10" s="55" t="s">
        <v>119</v>
      </c>
      <c r="F10" s="55" t="s">
        <v>120</v>
      </c>
      <c r="G10" s="55" t="s">
        <v>121</v>
      </c>
      <c r="H10" s="55" t="s">
        <v>120</v>
      </c>
      <c r="I10" s="55" t="s">
        <v>121</v>
      </c>
      <c r="J10" s="23"/>
    </row>
    <row r="11" spans="1:10" ht="12">
      <c r="A11" s="27" t="s">
        <v>15</v>
      </c>
      <c r="B11" s="32">
        <f>E59</f>
        <v>18048.69</v>
      </c>
      <c r="C11" s="32">
        <f>E60</f>
        <v>18048.69</v>
      </c>
      <c r="D11" s="32">
        <f>E61</f>
        <v>17028.99</v>
      </c>
      <c r="E11" s="32">
        <f>E62</f>
        <v>14989.59</v>
      </c>
      <c r="F11" s="32">
        <f>E63</f>
        <v>9070</v>
      </c>
      <c r="G11" s="32">
        <f>E65</f>
        <v>16320</v>
      </c>
      <c r="H11" s="32">
        <f>E64</f>
        <v>10430</v>
      </c>
      <c r="I11" s="32">
        <f>E66</f>
        <v>18730</v>
      </c>
      <c r="J11" s="24" t="s">
        <v>16</v>
      </c>
    </row>
    <row r="12" spans="1:13" ht="12">
      <c r="A12" s="28" t="str">
        <f>"fsi  "&amp;FIXED(D8*100,0,TRUE)&amp;"%"</f>
        <v>fsi  75%</v>
      </c>
      <c r="B12" s="32">
        <f aca="true" t="shared" si="0" ref="B12:I12">B11*$D$8</f>
        <v>13536.517499999998</v>
      </c>
      <c r="C12" s="32">
        <f t="shared" si="0"/>
        <v>13536.517499999998</v>
      </c>
      <c r="D12" s="32">
        <f t="shared" si="0"/>
        <v>12771.7425</v>
      </c>
      <c r="E12" s="32">
        <f t="shared" si="0"/>
        <v>11242.192500000001</v>
      </c>
      <c r="F12" s="32">
        <f t="shared" si="0"/>
        <v>6802.5</v>
      </c>
      <c r="G12" s="32">
        <f t="shared" si="0"/>
        <v>12240</v>
      </c>
      <c r="H12" s="32">
        <f t="shared" si="0"/>
        <v>7822.5</v>
      </c>
      <c r="I12" s="32">
        <f t="shared" si="0"/>
        <v>14047.5</v>
      </c>
      <c r="J12" s="24" t="s">
        <v>16</v>
      </c>
      <c r="M12"/>
    </row>
    <row r="13" spans="1:10" ht="14.25">
      <c r="A13" s="26" t="s">
        <v>17</v>
      </c>
      <c r="B13" s="33">
        <f>D59</f>
        <v>0.1257</v>
      </c>
      <c r="C13" s="33">
        <f>D60</f>
        <v>0.1964</v>
      </c>
      <c r="D13" s="33">
        <f>D61</f>
        <v>0.3848</v>
      </c>
      <c r="E13" s="33">
        <f>D62</f>
        <v>0.6333</v>
      </c>
      <c r="F13" s="33">
        <f>D63</f>
        <v>0.517</v>
      </c>
      <c r="G13" s="33">
        <f>D65</f>
        <v>0.9273</v>
      </c>
      <c r="H13" s="33">
        <f>D64</f>
        <v>0.557</v>
      </c>
      <c r="I13" s="33">
        <f>D66</f>
        <v>0.9997</v>
      </c>
      <c r="J13" s="20" t="s">
        <v>112</v>
      </c>
    </row>
    <row r="14" spans="1:7" ht="14.25">
      <c r="A14" s="18" t="s">
        <v>18</v>
      </c>
      <c r="D14" s="14" t="s">
        <v>128</v>
      </c>
      <c r="E14" s="7"/>
      <c r="F14" s="7"/>
      <c r="G14" s="1"/>
    </row>
    <row r="15" spans="1:7" ht="14.25">
      <c r="A15" s="13"/>
      <c r="B15" s="36" t="s">
        <v>20</v>
      </c>
      <c r="C15" s="19" t="s">
        <v>4</v>
      </c>
      <c r="D15" s="47">
        <v>14</v>
      </c>
      <c r="E15" t="s">
        <v>21</v>
      </c>
      <c r="F15"/>
      <c r="G15"/>
    </row>
    <row r="16" spans="1:7" ht="15.75">
      <c r="A16" s="13"/>
      <c r="B16" s="36" t="s">
        <v>17</v>
      </c>
      <c r="C16" s="19" t="s">
        <v>4</v>
      </c>
      <c r="D16" s="52">
        <f>VLOOKUP($D$14,PILE_TABLE,2)</f>
        <v>1810</v>
      </c>
      <c r="E16" t="s">
        <v>122</v>
      </c>
      <c r="F16"/>
      <c r="G16"/>
    </row>
    <row r="17" spans="1:7" ht="15.75">
      <c r="A17" s="13"/>
      <c r="B17" s="36" t="s">
        <v>22</v>
      </c>
      <c r="C17" s="19" t="s">
        <v>4</v>
      </c>
      <c r="D17" s="52">
        <f>VLOOKUP($D$14,PILE_TABLE,3)</f>
        <v>553724.5547511226</v>
      </c>
      <c r="E17" t="s">
        <v>123</v>
      </c>
      <c r="F17"/>
      <c r="G17"/>
    </row>
    <row r="18" spans="1:10" ht="15.75">
      <c r="A18" s="13"/>
      <c r="B18" s="36" t="s">
        <v>23</v>
      </c>
      <c r="C18" s="19" t="s">
        <v>4</v>
      </c>
      <c r="D18" s="52">
        <f>VLOOKUP($D$14,PILE_TABLE,4)</f>
        <v>18458</v>
      </c>
      <c r="E18" t="s">
        <v>124</v>
      </c>
      <c r="F18"/>
      <c r="G18"/>
      <c r="J18" s="61"/>
    </row>
    <row r="19" spans="1:10" ht="14.25">
      <c r="A19" s="13"/>
      <c r="B19" s="36" t="s">
        <v>24</v>
      </c>
      <c r="C19" s="19" t="s">
        <v>4</v>
      </c>
      <c r="D19" s="37">
        <f>D16/100^2*F19</f>
        <v>434.4</v>
      </c>
      <c r="E19" t="s">
        <v>25</v>
      </c>
      <c r="F19" s="2">
        <v>2400</v>
      </c>
      <c r="G19"/>
      <c r="J19" s="62"/>
    </row>
    <row r="20" spans="4:7" ht="12">
      <c r="D20"/>
      <c r="E20"/>
      <c r="F20"/>
      <c r="G20"/>
    </row>
    <row r="21" spans="1:7" ht="12.75">
      <c r="A21" s="17" t="s">
        <v>26</v>
      </c>
      <c r="D21"/>
      <c r="E21"/>
      <c r="F21" s="2">
        <v>2</v>
      </c>
      <c r="G21"/>
    </row>
    <row r="22" spans="1:8" ht="14.25">
      <c r="A22" s="13"/>
      <c r="D22"/>
      <c r="E22"/>
      <c r="F22" s="19" t="s">
        <v>27</v>
      </c>
      <c r="G22" s="38">
        <v>20</v>
      </c>
      <c r="H22" s="1" t="s">
        <v>28</v>
      </c>
    </row>
    <row r="23" spans="1:8" ht="14.25">
      <c r="A23" s="1" t="s">
        <v>29</v>
      </c>
      <c r="C23" t="str">
        <f>"(1+"&amp;FIXED(G22/100,2,TRUE)&amp;")x"&amp;FIXED(D19,0,TRUE)&amp;"x(0.207x"&amp;FIXED(D15,2,TRUE)&amp;")²/2"</f>
        <v>(1+0.20)x434x(0.207x14.00)²/2</v>
      </c>
      <c r="D23"/>
      <c r="E23"/>
      <c r="F23" s="19" t="s">
        <v>4</v>
      </c>
      <c r="G23" s="53">
        <f>(1+G22/100)*D19*(0.207*D15)^2/2</f>
        <v>2188.9600185599993</v>
      </c>
      <c r="H23" s="1" t="s">
        <v>30</v>
      </c>
    </row>
    <row r="24" spans="1:8" ht="14.25">
      <c r="A24" s="1" t="s">
        <v>31</v>
      </c>
      <c r="C24" t="str">
        <f>"(1+"&amp;FIXED(G22/100,2,TRUE)&amp;")x"&amp;FIXED(VLOOKUP(D15,MOMENT_FACTOR,F21+1),5,TRUE)&amp;"x"&amp;FIXED(D19,1,TRUE)&amp;"x"&amp;FIXED(D15,2,TRUE)&amp;"²"</f>
        <v>(1+0.20)x0.02142x434.4x14.00²</v>
      </c>
      <c r="D24"/>
      <c r="E24"/>
      <c r="F24" s="19" t="s">
        <v>4</v>
      </c>
      <c r="G24" s="53">
        <f>(1+G22/100)*VLOOKUP(D15,MOMENT_FACTOR,F21+1)*D19*D15^2</f>
        <v>2188.5002496</v>
      </c>
      <c r="H24" s="1" t="s">
        <v>30</v>
      </c>
    </row>
    <row r="25" spans="1:7" ht="12">
      <c r="A25" s="1" t="s">
        <v>32</v>
      </c>
      <c r="D25"/>
      <c r="E25"/>
      <c r="F25"/>
      <c r="G25"/>
    </row>
    <row r="26" spans="1:10" ht="12.75">
      <c r="A26" s="1" t="s">
        <v>114</v>
      </c>
      <c r="C26" t="str">
        <f>FIXED(G23,1,TRUE)&amp;"x100/"&amp;FIXED(D18,0,TRUE)</f>
        <v>2189.0x100/18458</v>
      </c>
      <c r="D26"/>
      <c r="E26"/>
      <c r="F26" s="19" t="s">
        <v>4</v>
      </c>
      <c r="G26" s="59" t="str">
        <f>" ±"&amp;FIXED($G23*100/D18,2,TRUE)</f>
        <v> ±11.86</v>
      </c>
      <c r="H26" s="1" t="s">
        <v>5</v>
      </c>
      <c r="J26" s="9">
        <f>VALUE(RIGHT(G26,LEN(TRIM(G26))-1))</f>
        <v>11.86</v>
      </c>
    </row>
    <row r="27" spans="1:10" ht="12.75">
      <c r="A27" s="1" t="s">
        <v>115</v>
      </c>
      <c r="C27" t="str">
        <f>FIXED(G24,1,TRUE)&amp;"x100/"&amp;FIXED(D18,0,TRUE)</f>
        <v>2188.5x100/18458</v>
      </c>
      <c r="D27"/>
      <c r="E27"/>
      <c r="F27" s="19" t="s">
        <v>4</v>
      </c>
      <c r="G27" s="59" t="str">
        <f>" ±"&amp;FIXED($G24*100/D18,2,TRUE)</f>
        <v> ±11.86</v>
      </c>
      <c r="H27" s="1" t="s">
        <v>5</v>
      </c>
      <c r="J27" s="9">
        <f>VALUE(RIGHT(G27,LEN(TRIM(G27))-1))</f>
        <v>11.86</v>
      </c>
    </row>
    <row r="28" spans="1:9" ht="14.25">
      <c r="A28" s="1" t="s">
        <v>33</v>
      </c>
      <c r="C28" s="3" t="str">
        <f>RIGHT(TRIM(G26),LEN(TRIM(G26))-1)&amp;"x"&amp;FIXED(D16,0,TRUE)&amp;"/("&amp;FIXED(G65,0,TRUE)&amp;IF(EXACT(UPPER(RIGHT($E$29,2)),"MM"),"x"&amp;FIXED(VLOOKUP(UPPER(E29),PCTABLE,2),4,TRUE)&amp;")",")")</f>
        <v>11.86x1810/(11242x0.6333)</v>
      </c>
      <c r="D28"/>
      <c r="E28"/>
      <c r="F28" s="19" t="s">
        <v>4</v>
      </c>
      <c r="G28" s="50">
        <f>VALUE(RIGHT(G26,LEN(TRIM(G26))-1))*D16/(G65*IF(EXACT(UPPER(RIGHT($E$29,2)),"MM"),VLOOKUP(UPPER(E29),PCTABLE,2),1))</f>
        <v>3.01510720447289</v>
      </c>
      <c r="I28" s="1"/>
    </row>
    <row r="29" spans="1:8" ht="14.25">
      <c r="A29" s="1" t="s">
        <v>34</v>
      </c>
      <c r="B29" s="35" t="s">
        <v>4</v>
      </c>
      <c r="C29" s="38">
        <v>17</v>
      </c>
      <c r="D29" s="34" t="s">
        <v>113</v>
      </c>
      <c r="E29" s="14" t="s">
        <v>129</v>
      </c>
      <c r="F29" s="14"/>
      <c r="G29"/>
      <c r="H29" s="1"/>
    </row>
    <row r="30" spans="1:8" ht="14.25">
      <c r="A30" s="1" t="s">
        <v>34</v>
      </c>
      <c r="B30" s="35" t="s">
        <v>4</v>
      </c>
      <c r="C30" s="38"/>
      <c r="D30" s="34" t="s">
        <v>113</v>
      </c>
      <c r="E30" s="14"/>
      <c r="F30" s="14"/>
      <c r="G30"/>
      <c r="H30" s="1"/>
    </row>
    <row r="31" spans="1:8" ht="14.25">
      <c r="A31" s="1" t="s">
        <v>34</v>
      </c>
      <c r="B31" s="35" t="s">
        <v>4</v>
      </c>
      <c r="C31" s="38"/>
      <c r="D31" s="34" t="s">
        <v>113</v>
      </c>
      <c r="E31" s="14"/>
      <c r="F31" s="14"/>
      <c r="G31"/>
      <c r="H31" s="1"/>
    </row>
    <row r="32" spans="1:8" ht="14.25">
      <c r="A32" s="1" t="s">
        <v>34</v>
      </c>
      <c r="B32" s="35" t="s">
        <v>4</v>
      </c>
      <c r="C32" s="38"/>
      <c r="D32" s="34" t="s">
        <v>113</v>
      </c>
      <c r="E32" s="14"/>
      <c r="F32" s="14"/>
      <c r="G32"/>
      <c r="H32" s="1"/>
    </row>
    <row r="33" spans="1:8" ht="14.25">
      <c r="A33" s="1" t="s">
        <v>34</v>
      </c>
      <c r="B33" s="35" t="s">
        <v>4</v>
      </c>
      <c r="C33" s="38"/>
      <c r="D33" s="34" t="s">
        <v>113</v>
      </c>
      <c r="E33" s="14"/>
      <c r="F33" s="14"/>
      <c r="G33"/>
      <c r="H33" s="1"/>
    </row>
    <row r="34" spans="1:9" ht="14.25">
      <c r="A34" s="1" t="s">
        <v>35</v>
      </c>
      <c r="B34" s="35" t="s">
        <v>4</v>
      </c>
      <c r="C34" s="51">
        <f>SUM(G58:G62)</f>
        <v>121034.56867425001</v>
      </c>
      <c r="D34" s="1" t="s">
        <v>36</v>
      </c>
      <c r="E34" s="1" t="s">
        <v>37</v>
      </c>
      <c r="F34"/>
      <c r="G34" s="35" t="s">
        <v>4</v>
      </c>
      <c r="H34" s="48">
        <f>SUM(H58:H62)*0.785</f>
        <v>8.4513885</v>
      </c>
      <c r="I34" s="1" t="s">
        <v>25</v>
      </c>
    </row>
    <row r="35" spans="1:9" ht="14.25">
      <c r="A35" s="1" t="s">
        <v>38</v>
      </c>
      <c r="D35" s="1"/>
      <c r="E35" s="1" t="s">
        <v>39</v>
      </c>
      <c r="F35"/>
      <c r="G35" s="35" t="s">
        <v>4</v>
      </c>
      <c r="H35" s="48">
        <f>G64*D15</f>
        <v>118.319439</v>
      </c>
      <c r="I35" s="1" t="s">
        <v>40</v>
      </c>
    </row>
    <row r="36" spans="1:7" ht="12.75">
      <c r="A36" s="18" t="s">
        <v>41</v>
      </c>
      <c r="D36"/>
      <c r="E36"/>
      <c r="F36"/>
      <c r="G36"/>
    </row>
    <row r="37" spans="1:10" ht="14.25">
      <c r="A37" s="1" t="s">
        <v>42</v>
      </c>
      <c r="D37" s="3" t="str">
        <f>" = "&amp;FIXED(J26,2)&amp;"+"&amp;FIXED($C$34,0)&amp;"/"&amp;FIXED(D16,0)</f>
        <v> = 11.86+121,035/1,810</v>
      </c>
      <c r="E37"/>
      <c r="F37"/>
      <c r="G37" s="35" t="s">
        <v>4</v>
      </c>
      <c r="H37" s="49">
        <f>$C$34/$D$16+$J$26</f>
        <v>78.72992744433702</v>
      </c>
      <c r="I37" s="1" t="s">
        <v>5</v>
      </c>
      <c r="J37" s="1"/>
    </row>
    <row r="38" spans="1:10" ht="14.25">
      <c r="A38" s="1" t="s">
        <v>43</v>
      </c>
      <c r="D38" s="3" t="str">
        <f>" ="&amp;FIXED(J26*(-1),2)&amp;"+"&amp;FIXED(C34,0)&amp;"/"&amp;FIXED(D16,0)</f>
        <v> =-11.86+121,035/1,810</v>
      </c>
      <c r="E38"/>
      <c r="F38"/>
      <c r="G38" s="35" t="s">
        <v>4</v>
      </c>
      <c r="H38" s="49">
        <f>$C$34/$D$16-$J$26</f>
        <v>55.00992744433702</v>
      </c>
      <c r="I38" s="1" t="s">
        <v>5</v>
      </c>
      <c r="J38" s="1"/>
    </row>
    <row r="39" spans="1:11" ht="17.25">
      <c r="A39" s="18" t="s">
        <v>44</v>
      </c>
      <c r="B39" s="54"/>
      <c r="D39"/>
      <c r="E39"/>
      <c r="F39"/>
      <c r="G39"/>
      <c r="K39" s="8"/>
    </row>
    <row r="40" spans="1:11" ht="14.25">
      <c r="A40" t="s">
        <v>45</v>
      </c>
      <c r="C40" s="14">
        <v>20</v>
      </c>
      <c r="D40" s="1" t="s">
        <v>46</v>
      </c>
      <c r="E40"/>
      <c r="F40"/>
      <c r="G40"/>
      <c r="I40" s="2">
        <f>1.59*0.8</f>
        <v>1.2720000000000002</v>
      </c>
      <c r="K40" s="8"/>
    </row>
    <row r="41" spans="1:10" ht="14.25">
      <c r="A41" s="1" t="s">
        <v>47</v>
      </c>
      <c r="D41" s="3" t="str">
        <f>" = "&amp;FIXED(C34,0)&amp;"x"&amp;FIXED((100-C40)/100,2)&amp;"/"&amp;FIXED(D16,0)</f>
        <v> = 121,035x0.80/1,810</v>
      </c>
      <c r="E41"/>
      <c r="F41"/>
      <c r="G41"/>
      <c r="H41" s="35" t="s">
        <v>4</v>
      </c>
      <c r="I41" s="39">
        <f>C34*(1-C40/100)/D16</f>
        <v>53.495941955469625</v>
      </c>
      <c r="J41" t="s">
        <v>48</v>
      </c>
    </row>
    <row r="42" spans="1:10" ht="14.25">
      <c r="A42" s="1" t="s">
        <v>49</v>
      </c>
      <c r="D42" s="3" t="str">
        <f>" = "&amp;FIXED(J27,2,TRUE)&amp;"+"&amp;FIXED(I41,2,TRUE)</f>
        <v> = 11.86+53.50</v>
      </c>
      <c r="E42"/>
      <c r="F42"/>
      <c r="G42"/>
      <c r="H42" s="35" t="s">
        <v>4</v>
      </c>
      <c r="I42" s="49">
        <f>J27+I41</f>
        <v>65.35594195546963</v>
      </c>
      <c r="J42" t="s">
        <v>48</v>
      </c>
    </row>
    <row r="43" spans="1:10" ht="14.25">
      <c r="A43" s="1" t="s">
        <v>50</v>
      </c>
      <c r="D43" s="3" t="str">
        <f>" = "&amp;FIXED(J27*(-1),2,TRUE)&amp;"+"&amp;FIXED(I41,2,TRUE)</f>
        <v> = -11.86+53.50</v>
      </c>
      <c r="E43"/>
      <c r="F43"/>
      <c r="G43"/>
      <c r="H43" s="35" t="s">
        <v>4</v>
      </c>
      <c r="I43" s="49">
        <f>-J27+I41</f>
        <v>41.635941955469626</v>
      </c>
      <c r="J43" t="s">
        <v>48</v>
      </c>
    </row>
    <row r="44" spans="1:10" ht="14.25">
      <c r="A44" s="1" t="s">
        <v>51</v>
      </c>
      <c r="D44" s="3" t="str">
        <f>" = -"&amp;FIXED($I$40,3,TRUE)&amp;"√"&amp;FIXED(D4,0,TRUE)</f>
        <v> = -1.272√500</v>
      </c>
      <c r="E44"/>
      <c r="F44"/>
      <c r="G44"/>
      <c r="H44" s="35" t="s">
        <v>4</v>
      </c>
      <c r="I44" s="49">
        <f>-$I$40*(D4)^(1/2)</f>
        <v>-28.44278467379733</v>
      </c>
      <c r="J44" t="s">
        <v>48</v>
      </c>
    </row>
    <row r="45" spans="1:10" ht="14.25">
      <c r="A45" s="1" t="s">
        <v>52</v>
      </c>
      <c r="D45" s="3" t="str">
        <f>" = "&amp;FIXED(D18,0)&amp;"("&amp;FIXED(I41,2)&amp;"+"&amp;FIXED(I40*D4^(1/2),2)&amp;")/100"</f>
        <v> = 18,458(53.50+28.44)/100</v>
      </c>
      <c r="E45"/>
      <c r="F45"/>
      <c r="G45"/>
      <c r="H45" s="35" t="s">
        <v>4</v>
      </c>
      <c r="I45" s="49">
        <f>D18*(I41-I44)/100000</f>
        <v>15.124250161230094</v>
      </c>
      <c r="J45" t="s">
        <v>53</v>
      </c>
    </row>
    <row r="46" spans="1:10" ht="14.25">
      <c r="A46" s="1" t="s">
        <v>54</v>
      </c>
      <c r="D46" s="3" t="str">
        <f>" = (0.33x"&amp;FIXED(D4,0)&amp;"-0.27x"&amp;FIXED(I41,2)&amp;")x"&amp;FIXED(D16,0)&amp;"/1,000"</f>
        <v> = (0.33x500-0.27x53.50)x1,810/1,000</v>
      </c>
      <c r="E46"/>
      <c r="F46"/>
      <c r="G46"/>
      <c r="H46" s="35" t="s">
        <v>4</v>
      </c>
      <c r="I46" s="49">
        <f>(0.33*D4-(I42-J27)*0.27)*D16/1000</f>
        <v>272.506533166362</v>
      </c>
      <c r="J46" t="s">
        <v>55</v>
      </c>
    </row>
    <row r="47" spans="1:10" ht="14.25">
      <c r="A47" s="1" t="s">
        <v>56</v>
      </c>
      <c r="D47" s="3" t="str">
        <f>" = (0.85x"&amp;FIXED(D4,0)&amp;"-"&amp;"0.60x"&amp;FIXED(I42-J27,2)&amp;")x"&amp;FIXED(D16,0)&amp;"/1,000"</f>
        <v> = (0.85x500-0.60x53.50)x1,810/1,000</v>
      </c>
      <c r="E47"/>
      <c r="F47"/>
      <c r="G47"/>
      <c r="H47" s="35" t="s">
        <v>4</v>
      </c>
      <c r="I47" s="49">
        <f>(0.85*D4-0.6*(I42-J27))*D16/1000</f>
        <v>711.15340703636</v>
      </c>
      <c r="J47" t="s">
        <v>55</v>
      </c>
    </row>
    <row r="48" spans="1:10" ht="14.25">
      <c r="A48" s="1" t="s">
        <v>57</v>
      </c>
      <c r="D48" s="3" t="str">
        <f>" = "&amp;FIXED(I47,2)&amp;"/"&amp;FIXED(I46,2)</f>
        <v> = 711.15/272.51</v>
      </c>
      <c r="E48"/>
      <c r="F48"/>
      <c r="G48"/>
      <c r="H48" s="35" t="s">
        <v>4</v>
      </c>
      <c r="I48" s="49">
        <f>I47/I46</f>
        <v>2.609674706779266</v>
      </c>
      <c r="J48" t="s">
        <v>58</v>
      </c>
    </row>
    <row r="49" spans="1:10" ht="14.25">
      <c r="A49" s="1" t="s">
        <v>59</v>
      </c>
      <c r="D49" s="3" t="str">
        <f>" = "&amp;FIXED(I47,2)&amp;"/4"</f>
        <v> = 711.15/4</v>
      </c>
      <c r="E49"/>
      <c r="F49"/>
      <c r="G49"/>
      <c r="H49" s="35" t="s">
        <v>4</v>
      </c>
      <c r="I49" s="49">
        <f>I47/4</f>
        <v>177.78835175909</v>
      </c>
      <c r="J49" t="s">
        <v>55</v>
      </c>
    </row>
    <row r="50" spans="4:7" ht="12">
      <c r="D50"/>
      <c r="E50"/>
      <c r="F50"/>
      <c r="G50"/>
    </row>
    <row r="51" spans="1:7" ht="12">
      <c r="A51" t="s">
        <v>60</v>
      </c>
      <c r="D51"/>
      <c r="E51"/>
      <c r="F51"/>
      <c r="G51" s="1" t="s">
        <v>61</v>
      </c>
    </row>
    <row r="52" spans="4:7" ht="12">
      <c r="D52"/>
      <c r="E52"/>
      <c r="F52"/>
      <c r="G52"/>
    </row>
    <row r="53" spans="1:10" ht="12">
      <c r="A53" s="1"/>
      <c r="B53" s="43" t="s">
        <v>62</v>
      </c>
      <c r="C53" s="43"/>
      <c r="D53" s="43" t="s">
        <v>63</v>
      </c>
      <c r="E53"/>
      <c r="F53"/>
      <c r="G53" s="1"/>
      <c r="H53" t="s">
        <v>62</v>
      </c>
      <c r="J53" s="19" t="s">
        <v>63</v>
      </c>
    </row>
    <row r="54" spans="1:7" ht="12">
      <c r="A54" s="1" t="s">
        <v>64</v>
      </c>
      <c r="B54" s="40" t="str">
        <f ca="1">TEXT(NOW(),"mmmm dd,yyyy")</f>
        <v>August 03,2009</v>
      </c>
      <c r="C54" s="15"/>
      <c r="D54"/>
      <c r="E54"/>
      <c r="F54"/>
      <c r="G54"/>
    </row>
    <row r="55" spans="1:7" ht="12">
      <c r="A55" s="1"/>
      <c r="B55" s="10"/>
      <c r="D55"/>
      <c r="E55"/>
      <c r="F55"/>
      <c r="G55"/>
    </row>
    <row r="56" spans="3:7" ht="12">
      <c r="C56" s="3"/>
      <c r="D56"/>
      <c r="E56"/>
      <c r="F56"/>
      <c r="G56"/>
    </row>
    <row r="57" spans="4:12" ht="12">
      <c r="D57"/>
      <c r="E57"/>
      <c r="F57"/>
      <c r="G57"/>
      <c r="L57">
        <v>10.197</v>
      </c>
    </row>
    <row r="58" spans="1:12" ht="12">
      <c r="A58" s="3"/>
      <c r="B58" s="1"/>
      <c r="D58" s="4" t="s">
        <v>17</v>
      </c>
      <c r="E58" s="4" t="s">
        <v>65</v>
      </c>
      <c r="F58"/>
      <c r="G58" s="3">
        <f>IF(ISERR(LEN(E29)),0,VLOOKUP(UPPER(E29),PCTABLE,3)*$D$8*IF(EXACT(UPPER(RIGHT(E29,2)),"MM"),VLOOKUP(UPPER(E29),PCTABLE,2),1))*$C29</f>
        <v>121034.56867425001</v>
      </c>
      <c r="H58" s="3">
        <f>IF(ISERR(LEN(E29)),0,VLOOKUP(UPPER(E29),PCTABLE,2))*$C29</f>
        <v>10.7661</v>
      </c>
      <c r="K58" s="19" t="s">
        <v>126</v>
      </c>
      <c r="L58" s="19" t="s">
        <v>127</v>
      </c>
    </row>
    <row r="59" spans="1:13" ht="12.75">
      <c r="A59" s="3"/>
      <c r="B59" s="1"/>
      <c r="C59" s="1" t="s">
        <v>66</v>
      </c>
      <c r="D59" s="6">
        <v>0.1257</v>
      </c>
      <c r="E59" s="7">
        <v>18048.69</v>
      </c>
      <c r="F59" s="1" t="s">
        <v>5</v>
      </c>
      <c r="G59" s="3">
        <f>IF(ISERR(LEN($E30)),0,VLOOKUP(UPPER($E30),PCTABLE,3)*$D$8*IF(EXACT(UPPER(RIGHT($E30,2)),"MM"),VLOOKUP(UPPER($E30),PCTABLE,2),1))*$C30</f>
        <v>0</v>
      </c>
      <c r="H59" s="3">
        <f>IF(ISERR(LEN($E30)),0,VLOOKUP(UPPER($E30),PCTABLE,2))*$C30</f>
        <v>0</v>
      </c>
      <c r="K59" s="64">
        <v>1770</v>
      </c>
      <c r="L59" s="63">
        <f>K59*L$57</f>
        <v>18048.69</v>
      </c>
      <c r="M59" s="63">
        <v>17500</v>
      </c>
    </row>
    <row r="60" spans="1:13" ht="12.75">
      <c r="A60" s="3"/>
      <c r="B60" s="1"/>
      <c r="C60" s="1" t="s">
        <v>67</v>
      </c>
      <c r="D60" s="6">
        <v>0.1964</v>
      </c>
      <c r="E60" s="7">
        <v>18048.69</v>
      </c>
      <c r="F60" s="1" t="s">
        <v>5</v>
      </c>
      <c r="G60" s="3">
        <f>IF(ISERR(LEN($E31)),0,VLOOKUP(UPPER($E31),PCTABLE,3)*$D$8*IF(EXACT(UPPER(RIGHT($E31,2)),"MM"),VLOOKUP(UPPER($E31),PCTABLE,2),1))*$C31</f>
        <v>0</v>
      </c>
      <c r="H60" s="3">
        <f>IF(ISERR(LEN($E31)),0,VLOOKUP(UPPER($E31),PCTABLE,2))*$C31</f>
        <v>0</v>
      </c>
      <c r="K60" s="64">
        <v>1770</v>
      </c>
      <c r="L60" s="63">
        <f>K60*L$57</f>
        <v>18048.69</v>
      </c>
      <c r="M60" s="63">
        <v>17500</v>
      </c>
    </row>
    <row r="61" spans="1:13" ht="12.75">
      <c r="A61" s="3"/>
      <c r="B61" s="1"/>
      <c r="C61" s="1" t="s">
        <v>68</v>
      </c>
      <c r="D61" s="6">
        <v>0.3848</v>
      </c>
      <c r="E61" s="7">
        <v>17028.99</v>
      </c>
      <c r="F61" s="1" t="s">
        <v>5</v>
      </c>
      <c r="G61" s="3">
        <f>IF(ISERR(LEN($E32)),0,VLOOKUP(UPPER($E32),PCTABLE,3)*$D$8*IF(EXACT(UPPER(RIGHT($E32,2)),"MM"),VLOOKUP(UPPER($E32),PCTABLE,2),1))*$C32</f>
        <v>0</v>
      </c>
      <c r="H61" s="3">
        <f>IF(ISERR(LEN($E32)),0,VLOOKUP(UPPER($E32),PCTABLE,2))*$C32</f>
        <v>0</v>
      </c>
      <c r="K61" s="64">
        <v>1670</v>
      </c>
      <c r="L61" s="63">
        <f>K61*L$57</f>
        <v>17028.989999999998</v>
      </c>
      <c r="M61" s="63">
        <v>16000</v>
      </c>
    </row>
    <row r="62" spans="1:13" ht="12.75">
      <c r="A62" s="3"/>
      <c r="B62" s="1"/>
      <c r="C62" s="1" t="s">
        <v>69</v>
      </c>
      <c r="D62" s="6">
        <v>0.6333</v>
      </c>
      <c r="E62" s="7">
        <v>14989.59</v>
      </c>
      <c r="F62" s="1" t="s">
        <v>5</v>
      </c>
      <c r="G62" s="3">
        <f>IF(ISERR(LEN($E33)),0,VLOOKUP(UPPER($E33),PCTABLE,3)*$D$8*IF(EXACT(UPPER(RIGHT($E33,2)),"MM"),VLOOKUP(UPPER($E33),PCTABLE,2),1))*$C33</f>
        <v>0</v>
      </c>
      <c r="H62" s="3">
        <f>IF(ISERR(LEN($E33)),0,VLOOKUP(UPPER($E33),PCTABLE,2))*$C33</f>
        <v>0</v>
      </c>
      <c r="K62" s="64">
        <v>1470</v>
      </c>
      <c r="L62" s="63">
        <f>K62*L$57</f>
        <v>14989.589999999998</v>
      </c>
      <c r="M62" s="63">
        <v>14500</v>
      </c>
    </row>
    <row r="63" spans="1:7" ht="12.75">
      <c r="A63" s="3"/>
      <c r="B63" s="1"/>
      <c r="C63" s="1" t="s">
        <v>70</v>
      </c>
      <c r="D63" s="6">
        <v>0.517</v>
      </c>
      <c r="E63" s="7">
        <v>9070</v>
      </c>
      <c r="F63" s="1" t="s">
        <v>36</v>
      </c>
      <c r="G63"/>
    </row>
    <row r="64" spans="1:7" ht="12.75">
      <c r="A64" s="3"/>
      <c r="B64" s="1"/>
      <c r="C64" s="1" t="s">
        <v>71</v>
      </c>
      <c r="D64" s="6">
        <v>0.557</v>
      </c>
      <c r="E64" s="7">
        <v>10430</v>
      </c>
      <c r="F64" s="1" t="s">
        <v>36</v>
      </c>
      <c r="G64" s="3">
        <f>SUM(H58:H62)*0.785</f>
        <v>8.4513885</v>
      </c>
    </row>
    <row r="65" spans="1:7" ht="12.75">
      <c r="A65" s="3"/>
      <c r="B65" s="1"/>
      <c r="C65" s="1" t="s">
        <v>72</v>
      </c>
      <c r="D65" s="6">
        <v>0.9273</v>
      </c>
      <c r="E65" s="7">
        <v>16320</v>
      </c>
      <c r="F65" s="1" t="s">
        <v>36</v>
      </c>
      <c r="G65" s="5">
        <f>G66*D8</f>
        <v>11242.192500000001</v>
      </c>
    </row>
    <row r="66" spans="1:7" ht="12.75">
      <c r="A66" s="3"/>
      <c r="B66" s="1"/>
      <c r="C66" s="1" t="s">
        <v>73</v>
      </c>
      <c r="D66" s="6">
        <v>0.9997</v>
      </c>
      <c r="E66" s="7">
        <v>18730</v>
      </c>
      <c r="F66" s="1" t="s">
        <v>36</v>
      </c>
      <c r="G66" s="5">
        <f>VLOOKUP(UPPER(E29),PCTABLE,3)</f>
        <v>14989.59</v>
      </c>
    </row>
    <row r="67" spans="1:7" ht="12">
      <c r="A67" s="3"/>
      <c r="B67" s="1"/>
      <c r="D67"/>
      <c r="E67"/>
      <c r="F67"/>
      <c r="G67"/>
    </row>
    <row r="68" spans="1:7" ht="12">
      <c r="A68" s="3"/>
      <c r="B68" s="1"/>
      <c r="D68"/>
      <c r="E68"/>
      <c r="F68"/>
      <c r="G68"/>
    </row>
    <row r="69" spans="1:7" ht="12">
      <c r="A69" s="3"/>
      <c r="B69" s="1"/>
      <c r="D69"/>
      <c r="E69"/>
      <c r="F69"/>
      <c r="G69"/>
    </row>
    <row r="70" spans="4:7" ht="12">
      <c r="D70"/>
      <c r="E70"/>
      <c r="F70"/>
      <c r="G70"/>
    </row>
    <row r="71" spans="1:7" ht="12">
      <c r="A71" s="1" t="s">
        <v>74</v>
      </c>
      <c r="B71" s="1" t="s">
        <v>75</v>
      </c>
      <c r="D71" s="11" t="s">
        <v>76</v>
      </c>
      <c r="E71"/>
      <c r="F71"/>
      <c r="G71"/>
    </row>
    <row r="72" spans="2:7" ht="12">
      <c r="B72" s="4">
        <v>1</v>
      </c>
      <c r="C72" s="4">
        <v>2</v>
      </c>
      <c r="D72" s="1" t="s">
        <v>77</v>
      </c>
      <c r="E72"/>
      <c r="F72"/>
      <c r="G72"/>
    </row>
    <row r="73" spans="1:7" ht="12.75">
      <c r="A73" s="45">
        <v>1</v>
      </c>
      <c r="B73" s="12">
        <v>0.02142</v>
      </c>
      <c r="C73" s="12">
        <v>0.02142</v>
      </c>
      <c r="D73" s="11" t="s">
        <v>78</v>
      </c>
      <c r="E73"/>
      <c r="F73"/>
      <c r="G73"/>
    </row>
    <row r="74" spans="1:7" ht="12.75">
      <c r="A74" s="45">
        <v>2</v>
      </c>
      <c r="B74" s="12">
        <v>0.02142</v>
      </c>
      <c r="C74" s="12">
        <v>0.02142</v>
      </c>
      <c r="D74"/>
      <c r="E74"/>
      <c r="F74"/>
      <c r="G74"/>
    </row>
    <row r="75" spans="1:7" ht="12.75">
      <c r="A75" s="45">
        <v>3</v>
      </c>
      <c r="B75" s="12">
        <v>0.02142</v>
      </c>
      <c r="C75" s="12">
        <v>0.02142</v>
      </c>
      <c r="D75" s="11" t="s">
        <v>79</v>
      </c>
      <c r="E75"/>
      <c r="F75"/>
      <c r="G75" s="11" t="s">
        <v>80</v>
      </c>
    </row>
    <row r="76" spans="1:7" ht="12.75">
      <c r="A76" s="45">
        <v>4</v>
      </c>
      <c r="B76" s="12">
        <v>0.02142</v>
      </c>
      <c r="C76" s="12">
        <v>0.02142</v>
      </c>
      <c r="D76"/>
      <c r="E76"/>
      <c r="F76"/>
      <c r="G76"/>
    </row>
    <row r="77" spans="1:7" ht="12.75">
      <c r="A77" s="45">
        <v>5</v>
      </c>
      <c r="B77" s="12">
        <v>0.02142</v>
      </c>
      <c r="C77" s="12">
        <v>0.02142</v>
      </c>
      <c r="D77" s="4" t="s">
        <v>81</v>
      </c>
      <c r="E77" s="4" t="s">
        <v>82</v>
      </c>
      <c r="F77" s="4" t="s">
        <v>83</v>
      </c>
      <c r="G77" s="4" t="s">
        <v>84</v>
      </c>
    </row>
    <row r="78" spans="1:7" ht="12.75">
      <c r="A78" s="45">
        <v>6</v>
      </c>
      <c r="B78" s="12">
        <v>0.02142</v>
      </c>
      <c r="C78" s="12">
        <v>0.02142</v>
      </c>
      <c r="D78" s="42" t="s">
        <v>85</v>
      </c>
      <c r="E78" s="43">
        <v>324</v>
      </c>
      <c r="F78" s="43">
        <v>8748</v>
      </c>
      <c r="G78" s="43">
        <v>972</v>
      </c>
    </row>
    <row r="79" spans="1:7" ht="12.75">
      <c r="A79" s="45">
        <v>7</v>
      </c>
      <c r="B79" s="12">
        <v>0.02142</v>
      </c>
      <c r="C79" s="12">
        <v>0.02142</v>
      </c>
      <c r="D79" s="42" t="s">
        <v>86</v>
      </c>
      <c r="E79" s="43">
        <v>400</v>
      </c>
      <c r="F79" s="43">
        <v>13333</v>
      </c>
      <c r="G79" s="43">
        <v>1333</v>
      </c>
    </row>
    <row r="80" spans="1:7" ht="12.75">
      <c r="A80" s="45">
        <v>8</v>
      </c>
      <c r="B80" s="12">
        <v>0.02142</v>
      </c>
      <c r="C80" s="12">
        <v>0.02142</v>
      </c>
      <c r="D80" s="42" t="s">
        <v>87</v>
      </c>
      <c r="E80" s="43">
        <v>484</v>
      </c>
      <c r="F80" s="43">
        <v>19521</v>
      </c>
      <c r="G80" s="43">
        <v>1775</v>
      </c>
    </row>
    <row r="81" spans="1:7" ht="12.75">
      <c r="A81" s="45">
        <v>9</v>
      </c>
      <c r="B81" s="12">
        <v>0.02142</v>
      </c>
      <c r="C81" s="12">
        <v>0.02142</v>
      </c>
      <c r="D81" s="42" t="s">
        <v>88</v>
      </c>
      <c r="E81" s="43">
        <v>625</v>
      </c>
      <c r="F81" s="43">
        <v>32552</v>
      </c>
      <c r="G81" s="43">
        <v>2604</v>
      </c>
    </row>
    <row r="82" spans="1:7" ht="12.75">
      <c r="A82" s="45">
        <v>10</v>
      </c>
      <c r="B82" s="12">
        <v>0.02142</v>
      </c>
      <c r="C82" s="12">
        <v>0.02142</v>
      </c>
      <c r="D82" s="42" t="s">
        <v>89</v>
      </c>
      <c r="E82" s="43">
        <v>676</v>
      </c>
      <c r="F82" s="43">
        <v>38081</v>
      </c>
      <c r="G82" s="43">
        <v>2929</v>
      </c>
    </row>
    <row r="83" spans="1:7" ht="12.75">
      <c r="A83" s="45">
        <v>11</v>
      </c>
      <c r="B83" s="12">
        <v>0.02142</v>
      </c>
      <c r="C83" s="12">
        <v>0.02142</v>
      </c>
      <c r="D83" s="42" t="s">
        <v>90</v>
      </c>
      <c r="E83" s="43">
        <v>900</v>
      </c>
      <c r="F83" s="43">
        <v>67500</v>
      </c>
      <c r="G83" s="43">
        <v>4500</v>
      </c>
    </row>
    <row r="84" spans="1:7" ht="12.75">
      <c r="A84" s="45">
        <v>12</v>
      </c>
      <c r="B84" s="12">
        <v>0.02142</v>
      </c>
      <c r="C84" s="12">
        <v>0.02142</v>
      </c>
      <c r="D84" s="42" t="s">
        <v>91</v>
      </c>
      <c r="E84" s="43">
        <v>1225</v>
      </c>
      <c r="F84" s="43">
        <v>125052</v>
      </c>
      <c r="G84" s="43">
        <v>7146</v>
      </c>
    </row>
    <row r="85" spans="1:7" ht="12.75">
      <c r="A85" s="45">
        <v>13</v>
      </c>
      <c r="B85" s="12">
        <v>0.02142</v>
      </c>
      <c r="C85" s="12">
        <v>0.02142</v>
      </c>
      <c r="D85" s="42" t="s">
        <v>92</v>
      </c>
      <c r="E85" s="43">
        <v>1600</v>
      </c>
      <c r="F85" s="43">
        <v>213333</v>
      </c>
      <c r="G85" s="43">
        <v>10667</v>
      </c>
    </row>
    <row r="86" spans="1:7" ht="12.75">
      <c r="A86" s="45">
        <v>14</v>
      </c>
      <c r="B86" s="12">
        <v>0.02142</v>
      </c>
      <c r="C86" s="12">
        <v>0.02142</v>
      </c>
      <c r="D86" s="42" t="s">
        <v>93</v>
      </c>
      <c r="E86" s="43">
        <v>2025</v>
      </c>
      <c r="F86" s="43">
        <v>341719</v>
      </c>
      <c r="G86" s="43">
        <v>15188</v>
      </c>
    </row>
    <row r="87" spans="1:7" ht="12.75">
      <c r="A87" s="45">
        <v>15</v>
      </c>
      <c r="B87" s="12">
        <v>0.02142</v>
      </c>
      <c r="C87" s="12">
        <v>0.02142</v>
      </c>
      <c r="D87" s="42" t="s">
        <v>94</v>
      </c>
      <c r="E87" s="43">
        <v>2756</v>
      </c>
      <c r="F87" s="43">
        <v>633076</v>
      </c>
      <c r="G87" s="43">
        <v>24117</v>
      </c>
    </row>
    <row r="88" spans="1:7" ht="12.75">
      <c r="A88" s="45">
        <v>16</v>
      </c>
      <c r="B88" s="12">
        <v>0.02142</v>
      </c>
      <c r="C88" s="12">
        <v>0.02142</v>
      </c>
      <c r="D88" s="42" t="s">
        <v>95</v>
      </c>
      <c r="E88" s="43">
        <v>1286</v>
      </c>
      <c r="F88" s="43">
        <v>205479</v>
      </c>
      <c r="G88" s="43">
        <v>10274</v>
      </c>
    </row>
    <row r="89" spans="1:7" ht="12.75">
      <c r="A89" s="45">
        <v>17</v>
      </c>
      <c r="B89" s="12">
        <v>0.02142</v>
      </c>
      <c r="C89" s="12">
        <v>0.02142</v>
      </c>
      <c r="D89" s="42" t="s">
        <v>96</v>
      </c>
      <c r="E89" s="43">
        <v>1534</v>
      </c>
      <c r="F89" s="43">
        <v>322544</v>
      </c>
      <c r="G89" s="43">
        <v>14335</v>
      </c>
    </row>
    <row r="90" spans="1:7" ht="12.75">
      <c r="A90" s="45">
        <v>18</v>
      </c>
      <c r="B90" s="12">
        <v>0.02142</v>
      </c>
      <c r="C90" s="12">
        <v>0.02142</v>
      </c>
      <c r="D90" s="42" t="s">
        <v>97</v>
      </c>
      <c r="E90" s="43">
        <v>2049</v>
      </c>
      <c r="F90" s="43">
        <v>593315</v>
      </c>
      <c r="G90" s="43">
        <v>22602</v>
      </c>
    </row>
    <row r="91" spans="1:7" ht="12.75">
      <c r="A91" s="45">
        <v>19</v>
      </c>
      <c r="B91" s="12">
        <v>0.02142</v>
      </c>
      <c r="C91" s="12">
        <v>0.022466</v>
      </c>
      <c r="D91" s="42" t="s">
        <v>19</v>
      </c>
      <c r="E91" s="43">
        <v>2544</v>
      </c>
      <c r="F91" s="43">
        <v>1252072</v>
      </c>
      <c r="G91" s="43">
        <v>38525</v>
      </c>
    </row>
    <row r="92" spans="1:7" ht="12.75">
      <c r="A92" s="45">
        <v>20</v>
      </c>
      <c r="B92" s="12">
        <v>0.02142</v>
      </c>
      <c r="C92" s="12">
        <v>0.023695</v>
      </c>
      <c r="D92" s="42" t="s">
        <v>98</v>
      </c>
      <c r="E92" s="43">
        <v>341</v>
      </c>
      <c r="F92" s="43">
        <v>18375</v>
      </c>
      <c r="G92" s="43">
        <v>1670</v>
      </c>
    </row>
    <row r="93" spans="1:7" ht="12.75">
      <c r="A93" s="45">
        <v>21</v>
      </c>
      <c r="B93" s="12">
        <v>0.02142</v>
      </c>
      <c r="C93" s="12">
        <v>0.024845</v>
      </c>
      <c r="D93" s="42" t="s">
        <v>99</v>
      </c>
      <c r="E93" s="43">
        <v>480</v>
      </c>
      <c r="F93" s="43">
        <v>35824</v>
      </c>
      <c r="G93" s="43">
        <v>2755</v>
      </c>
    </row>
    <row r="94" spans="1:7" ht="12.75">
      <c r="A94" s="45">
        <v>22</v>
      </c>
      <c r="B94" s="12">
        <v>0.02142</v>
      </c>
      <c r="C94" s="12">
        <v>0.02592</v>
      </c>
      <c r="D94" s="42" t="s">
        <v>100</v>
      </c>
      <c r="E94" s="43">
        <v>533</v>
      </c>
      <c r="F94" s="43">
        <v>42030</v>
      </c>
      <c r="G94" s="43">
        <v>3113</v>
      </c>
    </row>
    <row r="95" spans="1:7" ht="12.75">
      <c r="A95" s="45">
        <v>23</v>
      </c>
      <c r="B95" s="12">
        <v>0.02142</v>
      </c>
      <c r="C95" s="12">
        <v>0.02693</v>
      </c>
      <c r="D95" s="42" t="s">
        <v>101</v>
      </c>
      <c r="E95" s="43">
        <v>610</v>
      </c>
      <c r="F95" s="43">
        <v>62267</v>
      </c>
      <c r="G95" s="43">
        <v>4151</v>
      </c>
    </row>
    <row r="96" spans="1:7" ht="12.75">
      <c r="A96" s="45">
        <v>24</v>
      </c>
      <c r="B96" s="12">
        <v>0.0217</v>
      </c>
      <c r="C96" s="12">
        <v>0.027875</v>
      </c>
      <c r="D96" s="42" t="s">
        <v>102</v>
      </c>
      <c r="E96" s="43">
        <v>662.5</v>
      </c>
      <c r="F96" s="43">
        <v>64284</v>
      </c>
      <c r="G96" s="43">
        <v>4286</v>
      </c>
    </row>
    <row r="97" spans="1:7" ht="12.75">
      <c r="A97" s="45">
        <v>25</v>
      </c>
      <c r="B97" s="12">
        <v>0.0217</v>
      </c>
      <c r="C97" s="12">
        <v>0.028764</v>
      </c>
      <c r="D97" s="42" t="s">
        <v>103</v>
      </c>
      <c r="E97" s="43">
        <v>781</v>
      </c>
      <c r="F97" s="43">
        <v>112158</v>
      </c>
      <c r="G97" s="43">
        <v>6409</v>
      </c>
    </row>
    <row r="98" spans="1:7" ht="12.75">
      <c r="A98" s="45">
        <v>26</v>
      </c>
      <c r="B98" s="12">
        <v>0.0221</v>
      </c>
      <c r="C98" s="12">
        <v>0.0296</v>
      </c>
      <c r="D98" s="42" t="s">
        <v>104</v>
      </c>
      <c r="E98" s="43">
        <v>880</v>
      </c>
      <c r="F98" s="43">
        <v>116280</v>
      </c>
      <c r="G98" s="43">
        <v>6645</v>
      </c>
    </row>
    <row r="99" spans="1:7" ht="12.75">
      <c r="A99" s="45">
        <v>27</v>
      </c>
      <c r="B99" s="12">
        <v>0.0228</v>
      </c>
      <c r="C99" s="12">
        <v>0.030387</v>
      </c>
      <c r="D99" s="44" t="s">
        <v>105</v>
      </c>
      <c r="E99" s="43">
        <v>1156</v>
      </c>
      <c r="F99" s="43">
        <v>200439</v>
      </c>
      <c r="G99" s="43">
        <v>10021</v>
      </c>
    </row>
    <row r="100" spans="1:7" ht="12.75">
      <c r="A100" s="45">
        <v>28</v>
      </c>
      <c r="B100" s="12">
        <v>0.0236</v>
      </c>
      <c r="C100" s="12">
        <v>0.03113</v>
      </c>
      <c r="D100" s="42" t="s">
        <v>106</v>
      </c>
      <c r="E100" s="43">
        <v>1255</v>
      </c>
      <c r="F100" s="43">
        <v>204561</v>
      </c>
      <c r="G100" s="43">
        <v>10228</v>
      </c>
    </row>
    <row r="101" spans="1:7" ht="12.75">
      <c r="A101" s="45">
        <v>29</v>
      </c>
      <c r="B101" s="12">
        <v>0.0244</v>
      </c>
      <c r="C101" s="12">
        <v>0.031832</v>
      </c>
      <c r="D101" s="42" t="s">
        <v>125</v>
      </c>
      <c r="E101" s="43">
        <v>480</v>
      </c>
      <c r="F101" s="43">
        <v>35611</v>
      </c>
      <c r="G101" s="43">
        <v>2374</v>
      </c>
    </row>
    <row r="102" spans="1:7" ht="12.75">
      <c r="A102" s="45">
        <v>30</v>
      </c>
      <c r="B102" s="12">
        <v>0.0251</v>
      </c>
      <c r="C102" s="12">
        <v>0.032496</v>
      </c>
      <c r="D102" s="42" t="s">
        <v>107</v>
      </c>
      <c r="E102" s="43">
        <v>616</v>
      </c>
      <c r="F102" s="43">
        <v>64115</v>
      </c>
      <c r="G102" s="43">
        <v>3664</v>
      </c>
    </row>
    <row r="103" spans="1:7" ht="12">
      <c r="A103" s="43"/>
      <c r="B103" s="43"/>
      <c r="C103" s="43"/>
      <c r="D103" s="42" t="s">
        <v>108</v>
      </c>
      <c r="E103" s="43">
        <v>766</v>
      </c>
      <c r="F103" s="43">
        <v>106489</v>
      </c>
      <c r="G103" s="43">
        <v>5325</v>
      </c>
    </row>
    <row r="104" spans="1:7" ht="12">
      <c r="A104" s="43"/>
      <c r="B104" s="43"/>
      <c r="C104" s="43"/>
      <c r="D104" s="42" t="s">
        <v>109</v>
      </c>
      <c r="E104" s="43">
        <v>1159</v>
      </c>
      <c r="F104" s="43">
        <v>255324</v>
      </c>
      <c r="G104" s="43">
        <v>10213</v>
      </c>
    </row>
    <row r="105" spans="1:9" ht="12">
      <c r="A105" s="43"/>
      <c r="B105" s="43"/>
      <c r="C105" s="43"/>
      <c r="D105" s="42" t="s">
        <v>128</v>
      </c>
      <c r="E105" s="43">
        <v>1810</v>
      </c>
      <c r="F105" s="43">
        <v>553724.5547511226</v>
      </c>
      <c r="G105" s="43">
        <v>18458</v>
      </c>
      <c r="I105" s="43"/>
    </row>
    <row r="106" spans="1:7" ht="12">
      <c r="A106" s="43"/>
      <c r="B106" s="43"/>
      <c r="C106" s="43"/>
      <c r="D106" s="42" t="s">
        <v>110</v>
      </c>
      <c r="E106" s="43">
        <v>351</v>
      </c>
      <c r="F106" s="43">
        <v>18119</v>
      </c>
      <c r="G106" s="43">
        <v>1647</v>
      </c>
    </row>
    <row r="107" spans="1:7" ht="12">
      <c r="A107" s="43"/>
      <c r="B107" s="43"/>
      <c r="C107" s="43"/>
      <c r="D107" s="42" t="s">
        <v>111</v>
      </c>
      <c r="E107" s="43">
        <v>1957</v>
      </c>
      <c r="F107" s="43">
        <v>582245</v>
      </c>
      <c r="G107" s="43">
        <v>22180</v>
      </c>
    </row>
    <row r="108" spans="1:3" ht="12">
      <c r="A108" s="43"/>
      <c r="B108" s="43"/>
      <c r="C108" s="43"/>
    </row>
    <row r="109" spans="1:3" ht="12">
      <c r="A109" s="43"/>
      <c r="B109" s="43"/>
      <c r="C109" s="43"/>
    </row>
    <row r="110" spans="1:3" ht="12">
      <c r="A110" s="43"/>
      <c r="B110" s="43"/>
      <c r="C110" s="43"/>
    </row>
    <row r="111" spans="1:3" ht="12">
      <c r="A111" s="43"/>
      <c r="B111" s="43"/>
      <c r="C111" s="43"/>
    </row>
    <row r="112" spans="1:3" ht="12">
      <c r="A112" s="43"/>
      <c r="B112" s="43"/>
      <c r="C112" s="43"/>
    </row>
    <row r="113" spans="1:3" ht="12">
      <c r="A113" s="43"/>
      <c r="B113" s="43"/>
      <c r="C113" s="43"/>
    </row>
    <row r="114" spans="1:3" ht="12">
      <c r="A114" s="43"/>
      <c r="B114" s="43"/>
      <c r="C114" s="43"/>
    </row>
    <row r="115" spans="1:3" ht="12">
      <c r="A115" s="43"/>
      <c r="B115" s="43"/>
      <c r="C115" s="43"/>
    </row>
    <row r="116" spans="1:3" ht="12">
      <c r="A116" s="43"/>
      <c r="B116" s="43"/>
      <c r="C116" s="43"/>
    </row>
    <row r="117" spans="1:3" ht="12">
      <c r="A117" s="43"/>
      <c r="B117" s="43"/>
      <c r="C117" s="43"/>
    </row>
    <row r="118" spans="1:3" ht="12">
      <c r="A118" s="43"/>
      <c r="B118" s="43"/>
      <c r="C118" s="43"/>
    </row>
    <row r="119" spans="1:3" ht="12">
      <c r="A119" s="43"/>
      <c r="B119" s="43"/>
      <c r="C119" s="43"/>
    </row>
    <row r="120" spans="1:3" ht="12">
      <c r="A120" s="43"/>
      <c r="B120" s="43"/>
      <c r="C120" s="43"/>
    </row>
  </sheetData>
  <printOptions/>
  <pageMargins left="0.88" right="0.2755905511811024" top="0.37" bottom="0.2755905511811024" header="0.23" footer="0.34"/>
  <pageSetup horizontalDpi="600" verticalDpi="600" orientation="portrait" paperSize="9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xxxxxxxxxxxxxxxxxxx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Yuttana Supanyo</dc:creator>
  <cp:keywords/>
  <dc:description/>
  <cp:lastModifiedBy>COMPAQ</cp:lastModifiedBy>
  <cp:lastPrinted>2009-08-03T16:35:04Z</cp:lastPrinted>
  <dcterms:created xsi:type="dcterms:W3CDTF">1997-02-24T10:09:25Z</dcterms:created>
  <dcterms:modified xsi:type="dcterms:W3CDTF">2009-08-03T16:37:40Z</dcterms:modified>
  <cp:category/>
  <cp:version/>
  <cp:contentType/>
  <cp:contentStatus/>
</cp:coreProperties>
</file>