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31" windowWidth="7140" windowHeight="4440" tabRatio="695" firstSheet="5" activeTab="6"/>
  </bookViews>
  <sheets>
    <sheet name="1)-Rafter" sheetId="1" r:id="rId1"/>
    <sheet name="2a)-Column" sheetId="2" r:id="rId2"/>
    <sheet name="2b)-Column" sheetId="3" r:id="rId3"/>
    <sheet name="3a)-HSB Connection" sheetId="4" r:id="rId4"/>
    <sheet name="3b)-HSB Connection" sheetId="5" r:id="rId5"/>
    <sheet name="3c)-HSB Connection" sheetId="6" r:id="rId6"/>
    <sheet name="4)-Welded Connection" sheetId="7" r:id="rId7"/>
    <sheet name="5)-END GABLE COLUMN" sheetId="8" r:id="rId8"/>
    <sheet name="6)-CRANE GIRDER" sheetId="9" r:id="rId9"/>
  </sheets>
  <definedNames>
    <definedName name="_xlnm.Print_Area" localSheetId="1">'2a)-Column'!$A$1:$R$89</definedName>
  </definedNames>
  <calcPr fullCalcOnLoad="1"/>
</workbook>
</file>

<file path=xl/sharedStrings.xml><?xml version="1.0" encoding="utf-8"?>
<sst xmlns="http://schemas.openxmlformats.org/spreadsheetml/2006/main" count="1800" uniqueCount="390">
  <si>
    <t>m</t>
  </si>
  <si>
    <t>H</t>
  </si>
  <si>
    <t>N</t>
  </si>
  <si>
    <t>My</t>
  </si>
  <si>
    <t>=</t>
  </si>
  <si>
    <t>y</t>
  </si>
  <si>
    <t>t</t>
  </si>
  <si>
    <t>M</t>
  </si>
  <si>
    <t>mm</t>
  </si>
  <si>
    <t>DESIGN CASE :-</t>
  </si>
  <si>
    <t>RAFTER ID :-</t>
  </si>
  <si>
    <t>( R-1 )</t>
  </si>
  <si>
    <t>(D.L + L.L )</t>
  </si>
  <si>
    <t>1)- APPLIED FORCES :-</t>
  </si>
  <si>
    <t xml:space="preserve">M+ive </t>
  </si>
  <si>
    <t>mt</t>
  </si>
  <si>
    <t xml:space="preserve">M-ive </t>
  </si>
  <si>
    <t>Q</t>
  </si>
  <si>
    <t>2)- DIM. OF SECTION :-</t>
  </si>
  <si>
    <t>The section is</t>
  </si>
  <si>
    <t>t-y =</t>
  </si>
  <si>
    <t>cm</t>
  </si>
  <si>
    <t>3)- RAFTER DATA :-</t>
  </si>
  <si>
    <t>t/m</t>
  </si>
  <si>
    <t>Horizontal reaction of column (H) =</t>
  </si>
  <si>
    <t>Vertical reaction of column (V)     =</t>
  </si>
  <si>
    <t>4)- PROPERTIES OF SECTION :-</t>
  </si>
  <si>
    <t>Y</t>
  </si>
  <si>
    <t>A</t>
  </si>
  <si>
    <t>Ix</t>
  </si>
  <si>
    <t>Iy</t>
  </si>
  <si>
    <t>5)- CHECK STRESSES :-</t>
  </si>
  <si>
    <r>
      <t>t/cm</t>
    </r>
    <r>
      <rPr>
        <vertAlign val="superscript"/>
        <sz val="11"/>
        <color indexed="8"/>
        <rFont val="Times New Roman"/>
        <family val="1"/>
      </rPr>
      <t>2</t>
    </r>
  </si>
  <si>
    <t xml:space="preserve">(Lateral torsional buckling of comp.flange </t>
  </si>
  <si>
    <r>
      <t>L</t>
    </r>
    <r>
      <rPr>
        <vertAlign val="subscript"/>
        <sz val="11"/>
        <color indexed="8"/>
        <rFont val="Times New Roman"/>
        <family val="1"/>
      </rPr>
      <t>bout</t>
    </r>
  </si>
  <si>
    <r>
      <t>l</t>
    </r>
    <r>
      <rPr>
        <vertAlign val="subscript"/>
        <sz val="11"/>
        <color indexed="8"/>
        <rFont val="Times New Roman"/>
        <family val="1"/>
      </rPr>
      <t>in</t>
    </r>
  </si>
  <si>
    <r>
      <t>l</t>
    </r>
    <r>
      <rPr>
        <vertAlign val="subscript"/>
        <sz val="11"/>
        <color indexed="8"/>
        <rFont val="Times New Roman"/>
        <family val="1"/>
      </rPr>
      <t>out</t>
    </r>
  </si>
  <si>
    <r>
      <t>l</t>
    </r>
    <r>
      <rPr>
        <vertAlign val="subscript"/>
        <sz val="11"/>
        <color indexed="8"/>
        <rFont val="Times New Roman"/>
        <family val="1"/>
      </rPr>
      <t>max</t>
    </r>
  </si>
  <si>
    <t>&lt; 180</t>
  </si>
  <si>
    <r>
      <t>f</t>
    </r>
    <r>
      <rPr>
        <vertAlign val="subscript"/>
        <sz val="11"/>
        <color indexed="8"/>
        <rFont val="Times New Roman"/>
        <family val="1"/>
      </rPr>
      <t>c</t>
    </r>
  </si>
  <si>
    <r>
      <t>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c</t>
    </r>
  </si>
  <si>
    <r>
      <t>A</t>
    </r>
    <r>
      <rPr>
        <vertAlign val="subscript"/>
        <sz val="11"/>
        <color indexed="8"/>
        <rFont val="Times New Roman"/>
        <family val="1"/>
      </rPr>
      <t>1</t>
    </r>
  </si>
  <si>
    <t>Applying the interaction equation :</t>
  </si>
  <si>
    <t>Length of haunch :</t>
  </si>
  <si>
    <t>Length of comp. flange :</t>
  </si>
  <si>
    <t>a</t>
  </si>
  <si>
    <t>b</t>
  </si>
  <si>
    <t>c</t>
  </si>
  <si>
    <t>B)- Section at M-ive :-</t>
  </si>
  <si>
    <t xml:space="preserve">To get length of haunch we must satisfy that M-ive = M+ive </t>
  </si>
  <si>
    <t>Length of haunch</t>
  </si>
  <si>
    <t>Taken</t>
  </si>
  <si>
    <r>
      <t>X</t>
    </r>
    <r>
      <rPr>
        <vertAlign val="subscript"/>
        <sz val="11"/>
        <rFont val="Times New Roman"/>
        <family val="1"/>
      </rPr>
      <t>1</t>
    </r>
  </si>
  <si>
    <r>
      <t>X</t>
    </r>
    <r>
      <rPr>
        <vertAlign val="subscript"/>
        <sz val="11"/>
        <rFont val="Times New Roman"/>
        <family val="1"/>
      </rPr>
      <t>2</t>
    </r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</si>
  <si>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</si>
  <si>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</si>
  <si>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</si>
  <si>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</si>
  <si>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t>COLUMN ID :-</t>
  </si>
  <si>
    <t>( C-1 )</t>
  </si>
  <si>
    <t xml:space="preserve">To get length of compression flange we must satisfy that Mx = 0 </t>
  </si>
  <si>
    <t>1)- APPLIED FORCES :</t>
  </si>
  <si>
    <t>T</t>
  </si>
  <si>
    <r>
      <t>A</t>
    </r>
    <r>
      <rPr>
        <vertAlign val="subscript"/>
        <sz val="11"/>
        <rFont val="Times New Roman"/>
        <family val="1"/>
      </rPr>
      <t>S</t>
    </r>
  </si>
  <si>
    <r>
      <t>P</t>
    </r>
    <r>
      <rPr>
        <vertAlign val="subscript"/>
        <sz val="11"/>
        <rFont val="Times New Roman"/>
        <family val="1"/>
      </rPr>
      <t>S</t>
    </r>
  </si>
  <si>
    <t>n</t>
  </si>
  <si>
    <t>bolts</t>
  </si>
  <si>
    <r>
      <t>y</t>
    </r>
    <r>
      <rPr>
        <vertAlign val="subscript"/>
        <sz val="11"/>
        <rFont val="Times New Roman"/>
        <family val="1"/>
      </rPr>
      <t>1</t>
    </r>
  </si>
  <si>
    <r>
      <t>y</t>
    </r>
    <r>
      <rPr>
        <vertAlign val="subscript"/>
        <sz val="11"/>
        <rFont val="Times New Roman"/>
        <family val="1"/>
      </rPr>
      <t>2</t>
    </r>
  </si>
  <si>
    <r>
      <t>y</t>
    </r>
    <r>
      <rPr>
        <vertAlign val="subscript"/>
        <sz val="11"/>
        <rFont val="Times New Roman"/>
        <family val="1"/>
      </rPr>
      <t>3</t>
    </r>
  </si>
  <si>
    <r>
      <t>y</t>
    </r>
    <r>
      <rPr>
        <vertAlign val="subscript"/>
        <sz val="11"/>
        <rFont val="Times New Roman"/>
        <family val="1"/>
      </rPr>
      <t>4</t>
    </r>
  </si>
  <si>
    <r>
      <t>y</t>
    </r>
    <r>
      <rPr>
        <vertAlign val="subscript"/>
        <sz val="11"/>
        <rFont val="Times New Roman"/>
        <family val="1"/>
      </rPr>
      <t>5</t>
    </r>
  </si>
  <si>
    <t>2)- H.S.B USED ARE :</t>
  </si>
  <si>
    <t>3)- DIMS. OF HEAD PLATE USED ARE :</t>
  </si>
  <si>
    <t>4)- NO. OF BOLTS REQUIRED :</t>
  </si>
  <si>
    <t>5)- ARRANGEMENT OF BOLTS :</t>
  </si>
  <si>
    <r>
      <t>cm</t>
    </r>
    <r>
      <rPr>
        <vertAlign val="superscript"/>
        <sz val="11"/>
        <rFont val="Times New Roman"/>
        <family val="1"/>
      </rPr>
      <t>4</t>
    </r>
  </si>
  <si>
    <t>t      &lt;</t>
  </si>
  <si>
    <t>&lt;</t>
  </si>
  <si>
    <r>
      <t>Q / n</t>
    </r>
    <r>
      <rPr>
        <vertAlign val="subscript"/>
        <sz val="11"/>
        <rFont val="Times New Roman"/>
        <family val="1"/>
      </rPr>
      <t>tot</t>
    </r>
  </si>
  <si>
    <t xml:space="preserve">N </t>
  </si>
  <si>
    <t>(according to base type)</t>
  </si>
  <si>
    <t>K</t>
  </si>
  <si>
    <t>E.C.O.P (P.100)</t>
  </si>
  <si>
    <t>APPLYING THE INTERACTION EQUATION :</t>
  </si>
  <si>
    <t>CONNECTION ID :-</t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</si>
  <si>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</si>
  <si>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</si>
  <si>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</si>
  <si>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</si>
  <si>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</si>
  <si>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</si>
  <si>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</si>
  <si>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</si>
  <si>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r>
      <t>G</t>
    </r>
    <r>
      <rPr>
        <vertAlign val="subscript"/>
        <sz val="11"/>
        <rFont val="Times New Roman"/>
        <family val="1"/>
      </rPr>
      <t>A</t>
    </r>
  </si>
  <si>
    <r>
      <t>G</t>
    </r>
    <r>
      <rPr>
        <vertAlign val="subscript"/>
        <sz val="11"/>
        <rFont val="Times New Roman"/>
        <family val="1"/>
      </rPr>
      <t>B</t>
    </r>
  </si>
  <si>
    <r>
      <t>C</t>
    </r>
    <r>
      <rPr>
        <vertAlign val="subscript"/>
        <sz val="11"/>
        <rFont val="Times New Roman"/>
        <family val="1"/>
      </rPr>
      <t>b</t>
    </r>
  </si>
  <si>
    <r>
      <t>L</t>
    </r>
    <r>
      <rPr>
        <vertAlign val="subscript"/>
        <sz val="11"/>
        <rFont val="Times New Roman"/>
        <family val="1"/>
      </rPr>
      <t>bout</t>
    </r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</si>
  <si>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</si>
  <si>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</si>
  <si>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r>
      <t>l</t>
    </r>
    <r>
      <rPr>
        <vertAlign val="subscript"/>
        <sz val="11"/>
        <rFont val="Times New Roman"/>
        <family val="1"/>
      </rPr>
      <t>max</t>
    </r>
  </si>
  <si>
    <r>
      <t>A</t>
    </r>
    <r>
      <rPr>
        <vertAlign val="subscript"/>
        <sz val="11"/>
        <rFont val="Times New Roman"/>
        <family val="1"/>
      </rPr>
      <t>1</t>
    </r>
  </si>
  <si>
    <t>2)-DIM. OF SECTION :-</t>
  </si>
  <si>
    <t>3)-COLUMN DATA :-</t>
  </si>
  <si>
    <t>In case of crane :-</t>
  </si>
  <si>
    <t>Length subject to buckling in plan    =</t>
  </si>
  <si>
    <t>Length subject to buckling out plan  =</t>
  </si>
  <si>
    <t>Total length of rafter (Lg)             =</t>
  </si>
  <si>
    <t>Length of column (Lc)                  =</t>
  </si>
  <si>
    <t>Uniform load on rafter (W)           =</t>
  </si>
  <si>
    <r>
      <t>Length of bracket (L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)                  =</t>
    </r>
  </si>
  <si>
    <r>
      <t>Length of bracket (L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)                 =</t>
    </r>
  </si>
  <si>
    <r>
      <t>Angle of inclination of rafter (</t>
    </r>
    <r>
      <rPr>
        <sz val="11"/>
        <rFont val="GreekC"/>
        <family val="0"/>
      </rPr>
      <t>a)</t>
    </r>
    <r>
      <rPr>
        <sz val="11"/>
        <rFont val="Times New Roman"/>
        <family val="1"/>
      </rPr>
      <t xml:space="preserve">  =</t>
    </r>
  </si>
  <si>
    <t xml:space="preserve">indicated in the above figure, the </t>
  </si>
  <si>
    <t>reverse will be -ive</t>
  </si>
  <si>
    <t>Purlin spacing (S)                         =</t>
  </si>
  <si>
    <t>Length of col. above bracket (L)   =</t>
  </si>
  <si>
    <t>Length of col. above bracket (L)    =</t>
  </si>
  <si>
    <t>Total length of column                     =</t>
  </si>
  <si>
    <t>Length of girder                             =</t>
  </si>
  <si>
    <t>Lu act.of comp. Flange                   =</t>
  </si>
  <si>
    <r>
      <t>L</t>
    </r>
    <r>
      <rPr>
        <vertAlign val="subscript"/>
        <sz val="11"/>
        <rFont val="Times New Roman"/>
        <family val="1"/>
      </rPr>
      <t>1</t>
    </r>
  </si>
  <si>
    <r>
      <t>L</t>
    </r>
    <r>
      <rPr>
        <vertAlign val="subscript"/>
        <sz val="11"/>
        <rFont val="Times New Roman"/>
        <family val="1"/>
      </rPr>
      <t>2</t>
    </r>
  </si>
  <si>
    <r>
      <t>L</t>
    </r>
    <r>
      <rPr>
        <vertAlign val="subscript"/>
        <sz val="11"/>
        <rFont val="Times New Roman"/>
        <family val="1"/>
      </rPr>
      <t>3</t>
    </r>
  </si>
  <si>
    <r>
      <t>L</t>
    </r>
    <r>
      <rPr>
        <vertAlign val="subscript"/>
        <sz val="11"/>
        <rFont val="Times New Roman"/>
        <family val="1"/>
      </rPr>
      <t>4</t>
    </r>
  </si>
  <si>
    <r>
      <t>L</t>
    </r>
    <r>
      <rPr>
        <vertAlign val="subscript"/>
        <sz val="11"/>
        <rFont val="Times New Roman"/>
        <family val="1"/>
      </rPr>
      <t>5</t>
    </r>
  </si>
  <si>
    <t>If part of the section is used as haunch:-</t>
  </si>
  <si>
    <t>3)- DIM. OF WELD :-</t>
  </si>
  <si>
    <r>
      <t>L</t>
    </r>
    <r>
      <rPr>
        <vertAlign val="subscript"/>
        <sz val="11"/>
        <rFont val="Times New Roman"/>
        <family val="1"/>
      </rPr>
      <t>6</t>
    </r>
  </si>
  <si>
    <t>2)-DIM. OF STEEL SECTION :-</t>
  </si>
  <si>
    <t>4)- PROPERTIES OF WELD :-</t>
  </si>
  <si>
    <r>
      <t>A</t>
    </r>
    <r>
      <rPr>
        <vertAlign val="subscript"/>
        <sz val="11"/>
        <rFont val="Times New Roman"/>
        <family val="1"/>
      </rPr>
      <t>VL</t>
    </r>
  </si>
  <si>
    <r>
      <t>A</t>
    </r>
    <r>
      <rPr>
        <vertAlign val="subscript"/>
        <sz val="11"/>
        <rFont val="Times New Roman"/>
        <family val="1"/>
      </rPr>
      <t>HZ</t>
    </r>
  </si>
  <si>
    <r>
      <t>A</t>
    </r>
    <r>
      <rPr>
        <vertAlign val="subscript"/>
        <sz val="11"/>
        <rFont val="Times New Roman"/>
        <family val="1"/>
      </rPr>
      <t>TOT</t>
    </r>
  </si>
  <si>
    <r>
      <t>I</t>
    </r>
    <r>
      <rPr>
        <vertAlign val="subscript"/>
        <sz val="11"/>
        <rFont val="Times New Roman"/>
        <family val="1"/>
      </rPr>
      <t>X</t>
    </r>
  </si>
  <si>
    <r>
      <t>S</t>
    </r>
    <r>
      <rPr>
        <vertAlign val="subscript"/>
        <sz val="11"/>
        <rFont val="Times New Roman"/>
        <family val="1"/>
      </rPr>
      <t>1</t>
    </r>
  </si>
  <si>
    <r>
      <t>S</t>
    </r>
    <r>
      <rPr>
        <vertAlign val="subscript"/>
        <sz val="11"/>
        <rFont val="Times New Roman"/>
        <family val="1"/>
      </rPr>
      <t>2</t>
    </r>
  </si>
  <si>
    <r>
      <t>S</t>
    </r>
    <r>
      <rPr>
        <vertAlign val="subscript"/>
        <sz val="11"/>
        <rFont val="Times New Roman"/>
        <family val="1"/>
      </rPr>
      <t>3</t>
    </r>
  </si>
  <si>
    <r>
      <t>S</t>
    </r>
    <r>
      <rPr>
        <vertAlign val="subscript"/>
        <sz val="11"/>
        <rFont val="Times New Roman"/>
        <family val="1"/>
      </rPr>
      <t>4</t>
    </r>
  </si>
  <si>
    <r>
      <t>S</t>
    </r>
    <r>
      <rPr>
        <vertAlign val="subscript"/>
        <sz val="11"/>
        <rFont val="Times New Roman"/>
        <family val="1"/>
      </rPr>
      <t>5</t>
    </r>
  </si>
  <si>
    <r>
      <t>S</t>
    </r>
    <r>
      <rPr>
        <vertAlign val="subscript"/>
        <sz val="11"/>
        <rFont val="Times New Roman"/>
        <family val="1"/>
      </rPr>
      <t>6</t>
    </r>
  </si>
  <si>
    <r>
      <t>T / A</t>
    </r>
    <r>
      <rPr>
        <vertAlign val="subscript"/>
        <sz val="11"/>
        <rFont val="Times New Roman"/>
        <family val="1"/>
      </rPr>
      <t>TOT</t>
    </r>
    <r>
      <rPr>
        <sz val="11"/>
        <rFont val="Times New Roman"/>
        <family val="1"/>
      </rPr>
      <t xml:space="preserve"> + M / I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* y</t>
    </r>
    <r>
      <rPr>
        <vertAlign val="subscript"/>
        <sz val="11"/>
        <rFont val="Times New Roman"/>
        <family val="1"/>
      </rPr>
      <t>1</t>
    </r>
  </si>
  <si>
    <r>
      <t>T / A</t>
    </r>
    <r>
      <rPr>
        <vertAlign val="subscript"/>
        <sz val="11"/>
        <rFont val="Times New Roman"/>
        <family val="1"/>
      </rPr>
      <t>TOT</t>
    </r>
    <r>
      <rPr>
        <sz val="11"/>
        <rFont val="Times New Roman"/>
        <family val="1"/>
      </rPr>
      <t xml:space="preserve"> + M / I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* y</t>
    </r>
    <r>
      <rPr>
        <vertAlign val="subscript"/>
        <sz val="11"/>
        <rFont val="Times New Roman"/>
        <family val="1"/>
      </rPr>
      <t>2</t>
    </r>
  </si>
  <si>
    <r>
      <t>Q / A</t>
    </r>
    <r>
      <rPr>
        <vertAlign val="subscript"/>
        <sz val="11"/>
        <rFont val="Times New Roman"/>
        <family val="1"/>
      </rPr>
      <t>VL</t>
    </r>
  </si>
  <si>
    <r>
      <t>L</t>
    </r>
    <r>
      <rPr>
        <vertAlign val="subscript"/>
        <sz val="11"/>
        <rFont val="Times New Roman"/>
        <family val="1"/>
      </rPr>
      <t>7</t>
    </r>
  </si>
  <si>
    <r>
      <t>S</t>
    </r>
    <r>
      <rPr>
        <vertAlign val="subscript"/>
        <sz val="11"/>
        <rFont val="Times New Roman"/>
        <family val="1"/>
      </rPr>
      <t>7</t>
    </r>
  </si>
  <si>
    <r>
      <t>C</t>
    </r>
    <r>
      <rPr>
        <vertAlign val="subscript"/>
        <sz val="11"/>
        <rFont val="Times New Roman"/>
        <family val="1"/>
      </rPr>
      <t>U</t>
    </r>
  </si>
  <si>
    <r>
      <t>C</t>
    </r>
    <r>
      <rPr>
        <vertAlign val="subscript"/>
        <sz val="11"/>
        <rFont val="Times New Roman"/>
        <family val="1"/>
      </rPr>
      <t>L</t>
    </r>
  </si>
  <si>
    <r>
      <t>f</t>
    </r>
    <r>
      <rPr>
        <vertAlign val="subscript"/>
        <sz val="11"/>
        <rFont val="Times New Roman"/>
        <family val="1"/>
      </rPr>
      <t>hz</t>
    </r>
  </si>
  <si>
    <r>
      <t>f</t>
    </r>
    <r>
      <rPr>
        <vertAlign val="subscript"/>
        <sz val="11"/>
        <rFont val="Times New Roman"/>
        <family val="1"/>
      </rPr>
      <t>vl</t>
    </r>
  </si>
  <si>
    <r>
      <t>q</t>
    </r>
    <r>
      <rPr>
        <vertAlign val="subscript"/>
        <sz val="11"/>
        <rFont val="Times New Roman"/>
        <family val="1"/>
      </rPr>
      <t>vl</t>
    </r>
  </si>
  <si>
    <r>
      <t>f</t>
    </r>
    <r>
      <rPr>
        <vertAlign val="subscript"/>
        <sz val="11"/>
        <rFont val="Times New Roman"/>
        <family val="1"/>
      </rPr>
      <t>eq(vl)</t>
    </r>
  </si>
  <si>
    <r>
      <t>y</t>
    </r>
    <r>
      <rPr>
        <vertAlign val="subscript"/>
        <sz val="11"/>
        <rFont val="Times New Roman"/>
        <family val="1"/>
      </rPr>
      <t>hz</t>
    </r>
  </si>
  <si>
    <r>
      <t>y</t>
    </r>
    <r>
      <rPr>
        <vertAlign val="subscript"/>
        <sz val="11"/>
        <rFont val="Times New Roman"/>
        <family val="1"/>
      </rPr>
      <t>vl1</t>
    </r>
  </si>
  <si>
    <r>
      <t>y</t>
    </r>
    <r>
      <rPr>
        <vertAlign val="subscript"/>
        <sz val="11"/>
        <rFont val="Times New Roman"/>
        <family val="1"/>
      </rPr>
      <t>vl2</t>
    </r>
  </si>
  <si>
    <r>
      <t>y</t>
    </r>
    <r>
      <rPr>
        <vertAlign val="subscript"/>
        <sz val="11"/>
        <rFont val="Times New Roman"/>
        <family val="1"/>
      </rPr>
      <t>vl</t>
    </r>
  </si>
  <si>
    <t>The section is :</t>
  </si>
  <si>
    <t xml:space="preserve">CONNECTION ID:- </t>
  </si>
  <si>
    <r>
      <t>(f</t>
    </r>
    <r>
      <rPr>
        <vertAlign val="subscript"/>
        <sz val="11"/>
        <rFont val="Times New Roman"/>
        <family val="1"/>
      </rPr>
      <t>vl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+3(q</t>
    </r>
    <r>
      <rPr>
        <vertAlign val="subscript"/>
        <sz val="11"/>
        <rFont val="Times New Roman"/>
        <family val="1"/>
      </rPr>
      <t>vl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2</t>
    </r>
  </si>
  <si>
    <t>Notes:-</t>
  </si>
  <si>
    <t>1) +ive direction of all reactions are</t>
  </si>
  <si>
    <t>2) Values of W, H &amp; V are those</t>
  </si>
  <si>
    <t xml:space="preserve">accompaning the value of M-ive </t>
  </si>
  <si>
    <r>
      <t>Length of comp. Flange  ( Lu</t>
    </r>
    <r>
      <rPr>
        <vertAlign val="subscript"/>
        <sz val="11"/>
        <rFont val="Times New Roman"/>
        <family val="1"/>
      </rPr>
      <t>act )</t>
    </r>
    <r>
      <rPr>
        <sz val="11"/>
        <rFont val="Times New Roman"/>
        <family val="1"/>
      </rPr>
      <t xml:space="preserve">  =</t>
    </r>
  </si>
  <si>
    <t>B</t>
  </si>
  <si>
    <t>e</t>
  </si>
  <si>
    <t>Cb</t>
  </si>
  <si>
    <t>At</t>
  </si>
  <si>
    <t>Iyt</t>
  </si>
  <si>
    <t>Rt</t>
  </si>
  <si>
    <t>Af</t>
  </si>
  <si>
    <t>F1</t>
  </si>
  <si>
    <t>Lu/Rt</t>
  </si>
  <si>
    <t>F2</t>
  </si>
  <si>
    <t>F3</t>
  </si>
  <si>
    <t>Fltb</t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</si>
  <si>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</si>
  <si>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M</t>
    </r>
    <r>
      <rPr>
        <vertAlign val="subscript"/>
        <sz val="11"/>
        <rFont val="Times New Roman"/>
        <family val="1"/>
      </rPr>
      <t>y</t>
    </r>
  </si>
  <si>
    <r>
      <t>A</t>
    </r>
    <r>
      <rPr>
        <vertAlign val="subscript"/>
        <sz val="11"/>
        <color indexed="8"/>
        <rFont val="Times New Roman"/>
        <family val="1"/>
      </rPr>
      <t>2</t>
    </r>
  </si>
  <si>
    <r>
      <t>Mx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</si>
  <si>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t>Mx</t>
    </r>
    <r>
      <rPr>
        <vertAlign val="subscript"/>
        <sz val="11"/>
        <rFont val="Times New Roman"/>
        <family val="1"/>
      </rPr>
      <t>2</t>
    </r>
  </si>
  <si>
    <t>Add Part For My</t>
  </si>
  <si>
    <r>
      <t>h</t>
    </r>
    <r>
      <rPr>
        <vertAlign val="subscript"/>
        <sz val="11"/>
        <rFont val="Times New Roman"/>
        <family val="1"/>
      </rPr>
      <t>WEB1</t>
    </r>
  </si>
  <si>
    <r>
      <t>t</t>
    </r>
    <r>
      <rPr>
        <vertAlign val="subscript"/>
        <sz val="11"/>
        <rFont val="Times New Roman"/>
        <family val="1"/>
      </rPr>
      <t>WEB1</t>
    </r>
  </si>
  <si>
    <r>
      <t>h</t>
    </r>
    <r>
      <rPr>
        <vertAlign val="subscript"/>
        <sz val="11"/>
        <rFont val="Times New Roman"/>
        <family val="1"/>
      </rPr>
      <t>WEB2</t>
    </r>
  </si>
  <si>
    <r>
      <t>t</t>
    </r>
    <r>
      <rPr>
        <vertAlign val="subscript"/>
        <sz val="11"/>
        <rFont val="Times New Roman"/>
        <family val="1"/>
      </rPr>
      <t>WEB2</t>
    </r>
  </si>
  <si>
    <r>
      <t>b</t>
    </r>
    <r>
      <rPr>
        <vertAlign val="subscript"/>
        <sz val="11"/>
        <rFont val="Times New Roman"/>
        <family val="1"/>
      </rPr>
      <t>f1</t>
    </r>
  </si>
  <si>
    <r>
      <t>t</t>
    </r>
    <r>
      <rPr>
        <vertAlign val="subscript"/>
        <sz val="11"/>
        <rFont val="Times New Roman"/>
        <family val="1"/>
      </rPr>
      <t>f1</t>
    </r>
  </si>
  <si>
    <r>
      <t>b</t>
    </r>
    <r>
      <rPr>
        <vertAlign val="subscript"/>
        <sz val="11"/>
        <rFont val="Times New Roman"/>
        <family val="1"/>
      </rPr>
      <t>f2</t>
    </r>
  </si>
  <si>
    <r>
      <t>t</t>
    </r>
    <r>
      <rPr>
        <vertAlign val="subscript"/>
        <sz val="11"/>
        <rFont val="Times New Roman"/>
        <family val="1"/>
      </rPr>
      <t>f2</t>
    </r>
  </si>
  <si>
    <t>X</t>
  </si>
  <si>
    <t>xx=</t>
  </si>
  <si>
    <t>x1=</t>
  </si>
  <si>
    <t>x2=</t>
  </si>
  <si>
    <t>x3=</t>
  </si>
  <si>
    <t>x4=</t>
  </si>
  <si>
    <t>all=</t>
  </si>
  <si>
    <t>(D.L + L.L+W )</t>
  </si>
  <si>
    <t>( C-2 )</t>
  </si>
  <si>
    <t>BUS</t>
  </si>
  <si>
    <t>( C-3 )</t>
  </si>
  <si>
    <t xml:space="preserve">Use Knee Bracing </t>
  </si>
  <si>
    <t>PROPERTIES OF SECTION :-</t>
  </si>
  <si>
    <t>1)- Crane Properties :-</t>
  </si>
  <si>
    <t>Max Wheel Load</t>
  </si>
  <si>
    <t>Wheels Spacing</t>
  </si>
  <si>
    <t xml:space="preserve">Crane Girder Span  </t>
  </si>
  <si>
    <t>Impact Factor</t>
  </si>
  <si>
    <t>%</t>
  </si>
  <si>
    <t>2)- Loads On Crane Girder :-</t>
  </si>
  <si>
    <t>a)-Dead Load :-</t>
  </si>
  <si>
    <r>
      <t>M</t>
    </r>
    <r>
      <rPr>
        <vertAlign val="subscript"/>
        <sz val="11"/>
        <rFont val="Times New Roman"/>
        <family val="1"/>
      </rPr>
      <t>d</t>
    </r>
  </si>
  <si>
    <r>
      <t>Q</t>
    </r>
    <r>
      <rPr>
        <vertAlign val="subscript"/>
        <sz val="11"/>
        <rFont val="Times New Roman"/>
        <family val="1"/>
      </rPr>
      <t>d</t>
    </r>
  </si>
  <si>
    <t>t/m'</t>
  </si>
  <si>
    <r>
      <t>W</t>
    </r>
    <r>
      <rPr>
        <vertAlign val="subscript"/>
        <sz val="11"/>
        <rFont val="Times New Roman"/>
        <family val="1"/>
      </rPr>
      <t xml:space="preserve">d </t>
    </r>
    <r>
      <rPr>
        <sz val="11"/>
        <rFont val="Times New Roman"/>
        <family val="1"/>
      </rPr>
      <t>(.15-.2)</t>
    </r>
  </si>
  <si>
    <t>b)-Live Load :-</t>
  </si>
  <si>
    <r>
      <t>M</t>
    </r>
    <r>
      <rPr>
        <vertAlign val="subscript"/>
        <sz val="11"/>
        <rFont val="Times New Roman"/>
        <family val="1"/>
      </rPr>
      <t>ll (with impact)</t>
    </r>
  </si>
  <si>
    <r>
      <t>Q</t>
    </r>
    <r>
      <rPr>
        <vertAlign val="subscript"/>
        <sz val="11"/>
        <rFont val="Times New Roman"/>
        <family val="1"/>
      </rPr>
      <t>ll (with impact)</t>
    </r>
  </si>
  <si>
    <t>c)-Design Values :-</t>
  </si>
  <si>
    <r>
      <t>Q</t>
    </r>
    <r>
      <rPr>
        <vertAlign val="subscript"/>
        <sz val="10"/>
        <rFont val="Arial"/>
        <family val="2"/>
      </rPr>
      <t>max</t>
    </r>
  </si>
  <si>
    <r>
      <t>M</t>
    </r>
    <r>
      <rPr>
        <vertAlign val="subscript"/>
        <sz val="10"/>
        <rFont val="Arial"/>
        <family val="2"/>
      </rPr>
      <t>max</t>
    </r>
  </si>
  <si>
    <t>3)- Proposed Section :-</t>
  </si>
  <si>
    <t>Symetric Sec.</t>
  </si>
  <si>
    <t>Unsymetric Sec</t>
  </si>
  <si>
    <r>
      <t>h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</si>
  <si>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w</t>
    </r>
  </si>
  <si>
    <t>t1=</t>
  </si>
  <si>
    <t>t2=</t>
  </si>
  <si>
    <t>t3=</t>
  </si>
  <si>
    <t>t=</t>
  </si>
  <si>
    <t>a=</t>
  </si>
  <si>
    <t>au=</t>
  </si>
  <si>
    <t>al=</t>
  </si>
  <si>
    <t>bu</t>
  </si>
  <si>
    <t>bl</t>
  </si>
  <si>
    <r>
      <t>t</t>
    </r>
    <r>
      <rPr>
        <vertAlign val="subscript"/>
        <sz val="10"/>
        <rFont val="Arial"/>
        <family val="2"/>
      </rPr>
      <t>flanges</t>
    </r>
  </si>
  <si>
    <t>tu=</t>
  </si>
  <si>
    <t>bu=</t>
  </si>
  <si>
    <t>tl=</t>
  </si>
  <si>
    <t>bl=</t>
  </si>
  <si>
    <t>4)- Dim. Of Section :-</t>
  </si>
  <si>
    <t>5)- PROPERTIES OF SECTION :-</t>
  </si>
  <si>
    <t>no</t>
  </si>
  <si>
    <t>f1</t>
  </si>
  <si>
    <t>f2</t>
  </si>
  <si>
    <t>f3</t>
  </si>
  <si>
    <t>Check Shear :</t>
  </si>
  <si>
    <r>
      <t>q</t>
    </r>
    <r>
      <rPr>
        <vertAlign val="subscript"/>
        <sz val="11"/>
        <rFont val="Times New Roman"/>
        <family val="1"/>
      </rPr>
      <t>act</t>
    </r>
  </si>
  <si>
    <t>Check Deflection :</t>
  </si>
  <si>
    <t>Steel used Fy</t>
  </si>
  <si>
    <r>
      <t>d</t>
    </r>
    <r>
      <rPr>
        <vertAlign val="subscript"/>
        <sz val="11"/>
        <rFont val="Times New Roman"/>
        <family val="1"/>
      </rPr>
      <t>l.l</t>
    </r>
  </si>
  <si>
    <r>
      <t>cm</t>
    </r>
    <r>
      <rPr>
        <vertAlign val="superscript"/>
        <sz val="11"/>
        <rFont val="Times New Roman"/>
        <family val="1"/>
      </rPr>
      <t>3</t>
    </r>
  </si>
  <si>
    <t>Crane Girder ID :-</t>
  </si>
  <si>
    <t>(C.G.-1 )</t>
  </si>
  <si>
    <t>Steel37</t>
  </si>
  <si>
    <t>bus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</si>
  <si>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</si>
  <si>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t>√(Cb/Fy)</t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</si>
  <si>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</si>
  <si>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6)- CHECK STRESSES :-</t>
  </si>
  <si>
    <t>5)- CHECK COMPACTNESS :-</t>
  </si>
  <si>
    <t>The sec is</t>
  </si>
  <si>
    <t>compact</t>
  </si>
  <si>
    <t>non com</t>
  </si>
  <si>
    <t>slend</t>
  </si>
  <si>
    <t>fsec=</t>
  </si>
  <si>
    <t>yes</t>
  </si>
  <si>
    <t>f1=</t>
  </si>
  <si>
    <t>f2=</t>
  </si>
  <si>
    <t>epsi</t>
  </si>
  <si>
    <t>alpha=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</si>
  <si>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</si>
  <si>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</si>
  <si>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>bcx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</si>
  <si>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</si>
  <si>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( f</t>
    </r>
    <r>
      <rPr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 xml:space="preserve"> / F</t>
    </r>
    <r>
      <rPr>
        <vertAlign val="subscript"/>
        <sz val="11"/>
        <rFont val="Times New Roman"/>
        <family val="1"/>
      </rPr>
      <t xml:space="preserve">c </t>
    </r>
    <r>
      <rPr>
        <sz val="11"/>
        <rFont val="Times New Roman"/>
        <family val="1"/>
      </rPr>
      <t>) + ( f</t>
    </r>
    <r>
      <rPr>
        <vertAlign val="subscript"/>
        <sz val="11"/>
        <rFont val="Times New Roman"/>
        <family val="1"/>
      </rPr>
      <t>bcx</t>
    </r>
    <r>
      <rPr>
        <sz val="11"/>
        <rFont val="Times New Roman"/>
        <family val="1"/>
      </rPr>
      <t xml:space="preserve"> / F</t>
    </r>
    <r>
      <rPr>
        <vertAlign val="subscript"/>
        <sz val="11"/>
        <rFont val="Times New Roman"/>
        <family val="1"/>
      </rPr>
      <t>bcx</t>
    </r>
    <r>
      <rPr>
        <sz val="11"/>
        <rFont val="Times New Roman"/>
        <family val="1"/>
      </rPr>
      <t xml:space="preserve"> ) A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  =</t>
    </r>
  </si>
  <si>
    <r>
      <t>F</t>
    </r>
    <r>
      <rPr>
        <vertAlign val="subscript"/>
        <sz val="11"/>
        <rFont val="Times New Roman"/>
        <family val="1"/>
      </rPr>
      <t>c</t>
    </r>
  </si>
  <si>
    <r>
      <t>f</t>
    </r>
    <r>
      <rPr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 xml:space="preserve"> / F</t>
    </r>
    <r>
      <rPr>
        <vertAlign val="subscript"/>
        <sz val="11"/>
        <rFont val="Times New Roman"/>
        <family val="1"/>
      </rPr>
      <t>c</t>
    </r>
  </si>
  <si>
    <r>
      <t>I</t>
    </r>
    <r>
      <rPr>
        <vertAlign val="subscript"/>
        <sz val="11"/>
        <rFont val="Times New Roman"/>
        <family val="1"/>
      </rPr>
      <t>x</t>
    </r>
  </si>
  <si>
    <r>
      <t>I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</si>
  <si>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</si>
  <si>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</si>
  <si>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</si>
  <si>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t>Lu act.of comp. Flange from sap                  =</t>
  </si>
  <si>
    <r>
      <t>P</t>
    </r>
    <r>
      <rPr>
        <vertAlign val="subscript"/>
        <sz val="11"/>
        <rFont val="Times New Roman"/>
        <family val="1"/>
      </rPr>
      <t xml:space="preserve">y </t>
    </r>
    <r>
      <rPr>
        <sz val="11"/>
        <rFont val="Times New Roman"/>
        <family val="1"/>
      </rPr>
      <t>reaction of crane (h)                =</t>
    </r>
  </si>
  <si>
    <r>
      <t>P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reaction of crane (u)               =</t>
    </r>
  </si>
  <si>
    <t xml:space="preserve">all -ive= </t>
  </si>
  <si>
    <t xml:space="preserve">all +ive= </t>
  </si>
  <si>
    <t>Case a/b</t>
  </si>
  <si>
    <t>Combination</t>
  </si>
  <si>
    <t>Ix (rafter)                                      =</t>
  </si>
  <si>
    <r>
      <t>S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</si>
  <si>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bcy</t>
    </r>
  </si>
  <si>
    <r>
      <t>F</t>
    </r>
    <r>
      <rPr>
        <vertAlign val="subscript"/>
        <sz val="11"/>
        <rFont val="Times New Roman"/>
        <family val="1"/>
      </rPr>
      <t xml:space="preserve">bcy </t>
    </r>
  </si>
  <si>
    <r>
      <t>F</t>
    </r>
    <r>
      <rPr>
        <vertAlign val="subscript"/>
        <sz val="11"/>
        <color indexed="8"/>
        <rFont val="Times New Roman"/>
        <family val="1"/>
      </rPr>
      <t>c</t>
    </r>
  </si>
  <si>
    <r>
      <t>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c</t>
    </r>
  </si>
  <si>
    <r>
      <t>( 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 xml:space="preserve">c </t>
    </r>
    <r>
      <rPr>
        <sz val="11"/>
        <color indexed="8"/>
        <rFont val="Times New Roman"/>
        <family val="1"/>
      </rPr>
      <t>) + 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+(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=</t>
    </r>
  </si>
  <si>
    <t>flange</t>
  </si>
  <si>
    <t>web</t>
  </si>
  <si>
    <t>fsec x =</t>
  </si>
  <si>
    <t>fsec y =</t>
  </si>
  <si>
    <t>Bus</t>
  </si>
  <si>
    <t>I1</t>
  </si>
  <si>
    <t>I2</t>
  </si>
  <si>
    <t>The main sec is</t>
  </si>
  <si>
    <t>The add. sec is</t>
  </si>
  <si>
    <t>act</t>
  </si>
  <si>
    <t>hw1/tw1</t>
  </si>
  <si>
    <t>hw2/tw2</t>
  </si>
  <si>
    <t>c/tf1</t>
  </si>
  <si>
    <t>c/tf2</t>
  </si>
  <si>
    <r>
      <t>Take  n</t>
    </r>
    <r>
      <rPr>
        <b/>
        <vertAlign val="subscript"/>
        <sz val="11"/>
        <rFont val="Times New Roman"/>
        <family val="1"/>
      </rPr>
      <t>tot</t>
    </r>
    <r>
      <rPr>
        <b/>
        <sz val="11"/>
        <rFont val="Times New Roman"/>
        <family val="1"/>
      </rPr>
      <t xml:space="preserve"> =</t>
    </r>
  </si>
  <si>
    <t>x1</t>
  </si>
  <si>
    <t>x2</t>
  </si>
  <si>
    <t>x3</t>
  </si>
  <si>
    <t>x4</t>
  </si>
  <si>
    <t>x5</t>
  </si>
  <si>
    <t>x6</t>
  </si>
  <si>
    <r>
      <t>y</t>
    </r>
    <r>
      <rPr>
        <vertAlign val="subscript"/>
        <sz val="11"/>
        <rFont val="Times New Roman"/>
        <family val="1"/>
      </rPr>
      <t>6</t>
    </r>
  </si>
  <si>
    <t>x7</t>
  </si>
  <si>
    <r>
      <t>T</t>
    </r>
    <r>
      <rPr>
        <vertAlign val="subscript"/>
        <sz val="11"/>
        <rFont val="Times New Roman"/>
        <family val="1"/>
      </rPr>
      <t>ext,b1,m</t>
    </r>
  </si>
  <si>
    <r>
      <t>T</t>
    </r>
    <r>
      <rPr>
        <vertAlign val="subscript"/>
        <sz val="11"/>
        <rFont val="Times New Roman"/>
        <family val="1"/>
      </rPr>
      <t>ext,b2,m</t>
    </r>
  </si>
  <si>
    <r>
      <t>T</t>
    </r>
    <r>
      <rPr>
        <vertAlign val="subscript"/>
        <sz val="11"/>
        <rFont val="Times New Roman"/>
        <family val="1"/>
      </rPr>
      <t>ext,b3,m</t>
    </r>
  </si>
  <si>
    <r>
      <t>T</t>
    </r>
    <r>
      <rPr>
        <vertAlign val="subscript"/>
        <sz val="11"/>
        <rFont val="Times New Roman"/>
        <family val="1"/>
      </rPr>
      <t>ext,b4,m</t>
    </r>
  </si>
  <si>
    <r>
      <t>T</t>
    </r>
    <r>
      <rPr>
        <vertAlign val="subscript"/>
        <sz val="11"/>
        <rFont val="Times New Roman"/>
        <family val="1"/>
      </rPr>
      <t>ext,b5,m</t>
    </r>
  </si>
  <si>
    <r>
      <t>T</t>
    </r>
    <r>
      <rPr>
        <vertAlign val="subscript"/>
        <sz val="11"/>
        <rFont val="Times New Roman"/>
        <family val="1"/>
      </rPr>
      <t>ext,b6,m</t>
    </r>
  </si>
  <si>
    <t>ft</t>
  </si>
  <si>
    <t>f4</t>
  </si>
  <si>
    <t>f5</t>
  </si>
  <si>
    <t>f6</t>
  </si>
  <si>
    <t>I=</t>
  </si>
  <si>
    <r>
      <t>T</t>
    </r>
    <r>
      <rPr>
        <vertAlign val="subscript"/>
        <sz val="11"/>
        <rFont val="Times New Roman"/>
        <family val="1"/>
      </rPr>
      <t>ext,b</t>
    </r>
  </si>
  <si>
    <r>
      <t>T</t>
    </r>
    <r>
      <rPr>
        <vertAlign val="subscript"/>
        <sz val="11"/>
        <rFont val="Times New Roman"/>
        <family val="1"/>
      </rPr>
      <t>ext</t>
    </r>
    <r>
      <rPr>
        <sz val="11"/>
        <rFont val="Times New Roman"/>
        <family val="1"/>
      </rPr>
      <t>/n</t>
    </r>
    <r>
      <rPr>
        <vertAlign val="subscript"/>
        <sz val="11"/>
        <rFont val="Times New Roman"/>
        <family val="1"/>
      </rPr>
      <t>tot</t>
    </r>
  </si>
  <si>
    <t>0.8T</t>
  </si>
  <si>
    <t>0.6T</t>
  </si>
  <si>
    <r>
      <t>(T</t>
    </r>
    <r>
      <rPr>
        <vertAlign val="subscript"/>
        <sz val="11"/>
        <rFont val="Times New Roman"/>
        <family val="1"/>
      </rPr>
      <t>ext,b</t>
    </r>
    <r>
      <rPr>
        <sz val="11"/>
        <rFont val="Times New Roman"/>
        <family val="1"/>
      </rPr>
      <t>) / 0.6T +  (T</t>
    </r>
    <r>
      <rPr>
        <vertAlign val="subscript"/>
        <sz val="11"/>
        <rFont val="Times New Roman"/>
        <family val="1"/>
      </rPr>
      <t>ext,b,m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 xml:space="preserve"> / 0.8T</t>
    </r>
  </si>
  <si>
    <t>case a/b</t>
  </si>
  <si>
    <r>
      <t>Ps ( 1 - (T</t>
    </r>
    <r>
      <rPr>
        <vertAlign val="subscript"/>
        <sz val="11"/>
        <rFont val="Times New Roman"/>
        <family val="1"/>
      </rPr>
      <t>ext,b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) / T )</t>
    </r>
  </si>
  <si>
    <t>6)- CHECK FORCES ON BOLTS :</t>
  </si>
  <si>
    <t>7)- CHECK HEAD PLATE THICKNESS :</t>
  </si>
  <si>
    <t>No Prying effect</t>
  </si>
  <si>
    <r>
      <t>M</t>
    </r>
    <r>
      <rPr>
        <vertAlign val="subscript"/>
        <sz val="11"/>
        <rFont val="Times New Roman"/>
        <family val="1"/>
      </rPr>
      <t xml:space="preserve">plate </t>
    </r>
  </si>
  <si>
    <r>
      <t>T</t>
    </r>
    <r>
      <rPr>
        <vertAlign val="subscript"/>
        <sz val="11"/>
        <rFont val="Times New Roman"/>
        <family val="1"/>
      </rPr>
      <t xml:space="preserve">ext,b1,m </t>
    </r>
    <r>
      <rPr>
        <sz val="11"/>
        <rFont val="Times New Roman"/>
        <family val="1"/>
      </rPr>
      <t>x e =</t>
    </r>
  </si>
  <si>
    <t>(F5 + F6)x B x (X6)/4 =</t>
  </si>
  <si>
    <t>(F4 + F5)x B x (X5)/4 =</t>
  </si>
  <si>
    <t>(Ft + F1)x B x (X1)/4 =</t>
  </si>
  <si>
    <t>(F1 + F2)x B x (X2)/4 =</t>
  </si>
  <si>
    <t>(F2 + F3)x B x (X3)/4 =</t>
  </si>
  <si>
    <t>(F3+ F4)x B x (X4)/4 =</t>
  </si>
  <si>
    <t>cmt</t>
  </si>
  <si>
    <r>
      <t>t</t>
    </r>
    <r>
      <rPr>
        <vertAlign val="subscript"/>
        <sz val="11"/>
        <rFont val="Times New Roman"/>
        <family val="1"/>
      </rPr>
      <t>p</t>
    </r>
  </si>
  <si>
    <r>
      <t>√</t>
    </r>
    <r>
      <rPr>
        <sz val="11"/>
        <rFont val="Times New Roman"/>
        <family val="1"/>
      </rPr>
      <t>(6M</t>
    </r>
    <r>
      <rPr>
        <vertAlign val="subscript"/>
        <sz val="11"/>
        <rFont val="Times New Roman"/>
        <family val="1"/>
      </rPr>
      <t>plate</t>
    </r>
    <r>
      <rPr>
        <sz val="11"/>
        <rFont val="Times New Roman"/>
        <family val="1"/>
      </rPr>
      <t>/(0.864B)) =</t>
    </r>
  </si>
  <si>
    <t>Prying effect</t>
  </si>
  <si>
    <t>w</t>
  </si>
  <si>
    <r>
      <t>S</t>
    </r>
    <r>
      <rPr>
        <vertAlign val="subscript"/>
        <sz val="11"/>
        <rFont val="Times New Roman"/>
        <family val="1"/>
      </rPr>
      <t>w</t>
    </r>
  </si>
  <si>
    <t>P</t>
  </si>
  <si>
    <r>
      <t>P + (T</t>
    </r>
    <r>
      <rPr>
        <vertAlign val="subscript"/>
        <sz val="11"/>
        <rFont val="Times New Roman"/>
        <family val="1"/>
      </rPr>
      <t>ext,b</t>
    </r>
    <r>
      <rPr>
        <sz val="11"/>
        <rFont val="Times New Roman"/>
        <family val="1"/>
      </rPr>
      <t>) + (T</t>
    </r>
    <r>
      <rPr>
        <vertAlign val="subscript"/>
        <sz val="11"/>
        <rFont val="Times New Roman"/>
        <family val="1"/>
      </rPr>
      <t>ext,b,m</t>
    </r>
    <r>
      <rPr>
        <sz val="11"/>
        <rFont val="Times New Roman"/>
        <family val="1"/>
      </rPr>
      <t>)</t>
    </r>
  </si>
  <si>
    <r>
      <t>M</t>
    </r>
    <r>
      <rPr>
        <vertAlign val="subscript"/>
        <sz val="11"/>
        <rFont val="Times New Roman"/>
        <family val="1"/>
      </rPr>
      <t xml:space="preserve">1 </t>
    </r>
  </si>
  <si>
    <r>
      <t>M</t>
    </r>
    <r>
      <rPr>
        <vertAlign val="subscript"/>
        <sz val="11"/>
        <rFont val="Times New Roman"/>
        <family val="1"/>
      </rPr>
      <t xml:space="preserve">2 </t>
    </r>
  </si>
  <si>
    <r>
      <t>P x a - T</t>
    </r>
    <r>
      <rPr>
        <vertAlign val="subscript"/>
        <sz val="11"/>
        <rFont val="Times New Roman"/>
        <family val="1"/>
      </rPr>
      <t>ext,b1,m</t>
    </r>
    <r>
      <rPr>
        <sz val="11"/>
        <rFont val="Times New Roman"/>
        <family val="1"/>
      </rPr>
      <t xml:space="preserve"> x b = </t>
    </r>
  </si>
  <si>
    <t xml:space="preserve">P x a = </t>
  </si>
  <si>
    <r>
      <t>M</t>
    </r>
    <r>
      <rPr>
        <vertAlign val="subscript"/>
        <sz val="11"/>
        <rFont val="Times New Roman"/>
        <family val="1"/>
      </rPr>
      <t>plate</t>
    </r>
  </si>
  <si>
    <r>
      <t>max of M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M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=</t>
    </r>
  </si>
  <si>
    <r>
      <t>&lt; 0.72 t/cm</t>
    </r>
    <r>
      <rPr>
        <vertAlign val="superscript"/>
        <sz val="11"/>
        <rFont val="Times New Roman"/>
        <family val="1"/>
      </rPr>
      <t>2</t>
    </r>
  </si>
  <si>
    <r>
      <t>&lt; 0.792 t/cm</t>
    </r>
    <r>
      <rPr>
        <vertAlign val="superscript"/>
        <sz val="11"/>
        <rFont val="Times New Roman"/>
        <family val="1"/>
      </rPr>
      <t>2</t>
    </r>
  </si>
  <si>
    <r>
      <t>A)- Section at M+ive  or M</t>
    </r>
    <r>
      <rPr>
        <b/>
        <u val="single"/>
        <vertAlign val="subscript"/>
        <sz val="11"/>
        <rFont val="Times New Roman"/>
        <family val="1"/>
      </rPr>
      <t>hunch</t>
    </r>
    <r>
      <rPr>
        <b/>
        <u val="single"/>
        <sz val="11"/>
        <rFont val="Times New Roman"/>
        <family val="1"/>
      </rPr>
      <t>:-</t>
    </r>
  </si>
  <si>
    <r>
      <t>C</t>
    </r>
    <r>
      <rPr>
        <vertAlign val="subscript"/>
        <sz val="11"/>
        <color indexed="8"/>
        <rFont val="Times New Roman"/>
        <family val="1"/>
      </rPr>
      <t>mx</t>
    </r>
  </si>
  <si>
    <r>
      <t>C</t>
    </r>
    <r>
      <rPr>
        <vertAlign val="subscript"/>
        <sz val="11"/>
        <color indexed="8"/>
        <rFont val="Times New Roman"/>
        <family val="1"/>
      </rPr>
      <t>my</t>
    </r>
  </si>
  <si>
    <t>Text</t>
  </si>
  <si>
    <r>
      <t>S</t>
    </r>
    <r>
      <rPr>
        <vertAlign val="subscript"/>
        <sz val="11"/>
        <rFont val="Times New Roman"/>
        <family val="1"/>
      </rPr>
      <t>xu</t>
    </r>
  </si>
  <si>
    <r>
      <t>S</t>
    </r>
    <r>
      <rPr>
        <vertAlign val="subscript"/>
        <sz val="11"/>
        <rFont val="Times New Roman"/>
        <family val="1"/>
      </rPr>
      <t>xl</t>
    </r>
  </si>
  <si>
    <r>
      <t>S</t>
    </r>
    <r>
      <rPr>
        <vertAlign val="subscript"/>
        <sz val="11"/>
        <rFont val="Times New Roman"/>
        <family val="1"/>
      </rPr>
      <t>yu</t>
    </r>
  </si>
  <si>
    <r>
      <t>C</t>
    </r>
    <r>
      <rPr>
        <vertAlign val="subscript"/>
        <sz val="11"/>
        <rFont val="Times New Roman"/>
        <family val="1"/>
      </rPr>
      <t>b</t>
    </r>
  </si>
  <si>
    <r>
      <t>L</t>
    </r>
    <r>
      <rPr>
        <vertAlign val="subscript"/>
        <sz val="11"/>
        <rFont val="Times New Roman"/>
        <family val="1"/>
      </rPr>
      <t>uact</t>
    </r>
  </si>
  <si>
    <r>
      <t>c/t</t>
    </r>
    <r>
      <rPr>
        <vertAlign val="subscript"/>
        <sz val="11"/>
        <rFont val="Times New Roman"/>
        <family val="1"/>
      </rPr>
      <t>f</t>
    </r>
  </si>
  <si>
    <r>
      <t>( 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 xml:space="preserve">c </t>
    </r>
    <r>
      <rPr>
        <sz val="11"/>
        <color indexed="8"/>
        <rFont val="Times New Roman"/>
        <family val="1"/>
      </rPr>
      <t>) + 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=</t>
    </r>
  </si>
  <si>
    <r>
      <t>Mx</t>
    </r>
  </si>
  <si>
    <t>Span/800</t>
  </si>
  <si>
    <r>
      <t>F</t>
    </r>
    <r>
      <rPr>
        <vertAlign val="subscript"/>
        <sz val="11"/>
        <rFont val="Times New Roman"/>
        <family val="1"/>
      </rPr>
      <t>bcy</t>
    </r>
  </si>
  <si>
    <r>
      <t>f</t>
    </r>
    <r>
      <rPr>
        <vertAlign val="subscript"/>
        <sz val="11"/>
        <rFont val="Times New Roman"/>
        <family val="1"/>
      </rPr>
      <t>1</t>
    </r>
  </si>
  <si>
    <r>
      <t>f</t>
    </r>
    <r>
      <rPr>
        <vertAlign val="subscript"/>
        <sz val="11"/>
        <rFont val="Times New Roman"/>
        <family val="1"/>
      </rPr>
      <t>2</t>
    </r>
  </si>
  <si>
    <t>Point 3 : subjected to Mx and My, Compression flange</t>
  </si>
  <si>
    <t>Point 2 : subjected to Mx only, Tension flange</t>
  </si>
  <si>
    <t>Point 1 : subjected to Mx only, Compresion flange</t>
  </si>
  <si>
    <r>
      <t>F</t>
    </r>
    <r>
      <rPr>
        <vertAlign val="subscript"/>
        <sz val="11"/>
        <rFont val="Times New Roman"/>
        <family val="1"/>
      </rPr>
      <t>btx</t>
    </r>
  </si>
  <si>
    <t>fsecx=</t>
  </si>
  <si>
    <t>fsecy=</t>
  </si>
  <si>
    <r>
      <t>0.35xFy t/cm</t>
    </r>
    <r>
      <rPr>
        <vertAlign val="superscript"/>
        <sz val="11"/>
        <rFont val="Times New Roman"/>
        <family val="1"/>
      </rPr>
      <t>2</t>
    </r>
  </si>
  <si>
    <t>(Lateral torsional buckling of comp.flange )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</si>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</sst>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GreekC"/>
      <family val="0"/>
    </font>
    <font>
      <vertAlign val="superscript"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sz val="11"/>
      <color indexed="56"/>
      <name val="Times New Roman"/>
      <family val="1"/>
    </font>
    <font>
      <vertAlign val="subscript"/>
      <sz val="14"/>
      <color indexed="5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Arial"/>
      <family val="2"/>
    </font>
    <font>
      <i/>
      <u val="single"/>
      <sz val="11"/>
      <name val="Times New Roman"/>
      <family val="1"/>
    </font>
    <font>
      <sz val="11"/>
      <name val="GreekC"/>
      <family val="0"/>
    </font>
    <font>
      <sz val="10"/>
      <color indexed="12"/>
      <name val="Arial"/>
      <family val="2"/>
    </font>
    <font>
      <u val="single"/>
      <sz val="11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vertAlign val="subscript"/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2"/>
      <color indexed="10"/>
      <name val="Times New Roman"/>
      <family val="1"/>
    </font>
    <font>
      <b/>
      <u val="single"/>
      <vertAlign val="subscript"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60">
    <xf numFmtId="201" fontId="0" fillId="0" borderId="0" xfId="0" applyAlignment="1">
      <alignment/>
    </xf>
    <xf numFmtId="201" fontId="6" fillId="0" borderId="0" xfId="0" applyFont="1" applyBorder="1" applyAlignment="1" applyProtection="1">
      <alignment/>
      <protection/>
    </xf>
    <xf numFmtId="201" fontId="12" fillId="0" borderId="0" xfId="0" applyFont="1" applyBorder="1" applyAlignment="1">
      <alignment/>
    </xf>
    <xf numFmtId="201" fontId="21" fillId="0" borderId="0" xfId="0" applyFont="1" applyBorder="1" applyAlignment="1">
      <alignment horizontal="center"/>
    </xf>
    <xf numFmtId="201" fontId="11" fillId="0" borderId="0" xfId="0" applyFont="1" applyBorder="1" applyAlignment="1">
      <alignment/>
    </xf>
    <xf numFmtId="201" fontId="11" fillId="0" borderId="0" xfId="0" applyFont="1" applyAlignment="1">
      <alignment/>
    </xf>
    <xf numFmtId="201" fontId="9" fillId="0" borderId="0" xfId="0" applyFont="1" applyBorder="1" applyAlignment="1">
      <alignment/>
    </xf>
    <xf numFmtId="201" fontId="10" fillId="0" borderId="0" xfId="0" applyFont="1" applyBorder="1" applyAlignment="1">
      <alignment/>
    </xf>
    <xf numFmtId="201" fontId="11" fillId="0" borderId="0" xfId="0" applyFont="1" applyAlignment="1">
      <alignment/>
    </xf>
    <xf numFmtId="201" fontId="11" fillId="0" borderId="0" xfId="0" applyFont="1" applyBorder="1" applyAlignment="1">
      <alignment horizontal="center"/>
    </xf>
    <xf numFmtId="201" fontId="11" fillId="0" borderId="0" xfId="0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01" fontId="10" fillId="0" borderId="0" xfId="0" applyFont="1" applyBorder="1" applyAlignment="1">
      <alignment horizontal="center"/>
    </xf>
    <xf numFmtId="201" fontId="22" fillId="0" borderId="0" xfId="0" applyFont="1" applyAlignment="1">
      <alignment horizontal="center"/>
    </xf>
    <xf numFmtId="201" fontId="11" fillId="0" borderId="0" xfId="0" applyFont="1" applyAlignment="1">
      <alignment horizontal="right"/>
    </xf>
    <xf numFmtId="204" fontId="1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01" fontId="11" fillId="0" borderId="0" xfId="0" applyFont="1" applyAlignment="1">
      <alignment horizontal="left"/>
    </xf>
    <xf numFmtId="201" fontId="8" fillId="0" borderId="0" xfId="0" applyFont="1" applyBorder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01" fontId="6" fillId="0" borderId="0" xfId="0" applyFont="1" applyBorder="1" applyAlignment="1">
      <alignment/>
    </xf>
    <xf numFmtId="201" fontId="20" fillId="0" borderId="0" xfId="0" applyFont="1" applyBorder="1" applyAlignment="1">
      <alignment horizontal="left"/>
    </xf>
    <xf numFmtId="201" fontId="13" fillId="0" borderId="0" xfId="0" applyFont="1" applyBorder="1" applyAlignment="1">
      <alignment/>
    </xf>
    <xf numFmtId="201" fontId="2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01" fontId="11" fillId="0" borderId="0" xfId="0" applyNumberFormat="1" applyFont="1" applyBorder="1" applyAlignment="1">
      <alignment horizontal="center"/>
    </xf>
    <xf numFmtId="201" fontId="20" fillId="0" borderId="0" xfId="0" applyFont="1" applyBorder="1" applyAlignment="1">
      <alignment horizontal="center"/>
    </xf>
    <xf numFmtId="201" fontId="23" fillId="0" borderId="0" xfId="0" applyFont="1" applyBorder="1" applyAlignment="1">
      <alignment horizontal="left"/>
    </xf>
    <xf numFmtId="201" fontId="11" fillId="0" borderId="10" xfId="0" applyFont="1" applyBorder="1" applyAlignment="1">
      <alignment horizontal="center"/>
    </xf>
    <xf numFmtId="201" fontId="11" fillId="0" borderId="11" xfId="0" applyFont="1" applyBorder="1" applyAlignment="1">
      <alignment horizontal="center"/>
    </xf>
    <xf numFmtId="201" fontId="11" fillId="0" borderId="12" xfId="0" applyFont="1" applyBorder="1" applyAlignment="1">
      <alignment horizontal="center"/>
    </xf>
    <xf numFmtId="201" fontId="11" fillId="0" borderId="13" xfId="0" applyFont="1" applyBorder="1" applyAlignment="1" quotePrefix="1">
      <alignment horizontal="center"/>
    </xf>
    <xf numFmtId="201" fontId="11" fillId="0" borderId="0" xfId="0" applyFont="1" applyBorder="1" applyAlignment="1" quotePrefix="1">
      <alignment horizontal="center"/>
    </xf>
    <xf numFmtId="201" fontId="11" fillId="0" borderId="14" xfId="0" applyFont="1" applyBorder="1" applyAlignment="1" quotePrefix="1">
      <alignment horizontal="center"/>
    </xf>
    <xf numFmtId="201" fontId="11" fillId="0" borderId="0" xfId="0" applyFont="1" applyBorder="1" applyAlignment="1">
      <alignment horizontal="left"/>
    </xf>
    <xf numFmtId="201" fontId="11" fillId="0" borderId="13" xfId="0" applyFont="1" applyBorder="1" applyAlignment="1">
      <alignment/>
    </xf>
    <xf numFmtId="201" fontId="11" fillId="0" borderId="14" xfId="0" applyFont="1" applyBorder="1" applyAlignment="1">
      <alignment/>
    </xf>
    <xf numFmtId="201" fontId="11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201" fontId="11" fillId="0" borderId="13" xfId="0" applyFont="1" applyBorder="1" applyAlignment="1">
      <alignment horizontal="center"/>
    </xf>
    <xf numFmtId="201" fontId="11" fillId="0" borderId="14" xfId="0" applyFont="1" applyBorder="1" applyAlignment="1">
      <alignment horizontal="center"/>
    </xf>
    <xf numFmtId="201" fontId="11" fillId="0" borderId="15" xfId="0" applyFont="1" applyBorder="1" applyAlignment="1">
      <alignment horizontal="center"/>
    </xf>
    <xf numFmtId="201" fontId="11" fillId="0" borderId="16" xfId="0" applyFont="1" applyBorder="1" applyAlignment="1">
      <alignment horizontal="center"/>
    </xf>
    <xf numFmtId="201" fontId="11" fillId="0" borderId="17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01" fontId="6" fillId="0" borderId="0" xfId="0" applyFont="1" applyBorder="1" applyAlignment="1">
      <alignment horizontal="left"/>
    </xf>
    <xf numFmtId="201" fontId="5" fillId="0" borderId="0" xfId="0" applyFont="1" applyAlignment="1">
      <alignment/>
    </xf>
    <xf numFmtId="201" fontId="7" fillId="33" borderId="18" xfId="0" applyFont="1" applyFill="1" applyBorder="1" applyAlignment="1">
      <alignment/>
    </xf>
    <xf numFmtId="1" fontId="8" fillId="33" borderId="19" xfId="0" applyNumberFormat="1" applyFont="1" applyFill="1" applyBorder="1" applyAlignment="1">
      <alignment horizontal="center"/>
    </xf>
    <xf numFmtId="201" fontId="7" fillId="33" borderId="20" xfId="0" applyFont="1" applyFill="1" applyBorder="1" applyAlignment="1">
      <alignment/>
    </xf>
    <xf numFmtId="201" fontId="6" fillId="0" borderId="0" xfId="0" applyFont="1" applyFill="1" applyAlignment="1">
      <alignment/>
    </xf>
    <xf numFmtId="201" fontId="11" fillId="0" borderId="0" xfId="0" applyFont="1" applyFill="1" applyAlignment="1">
      <alignment/>
    </xf>
    <xf numFmtId="201" fontId="7" fillId="0" borderId="0" xfId="0" applyFont="1" applyFill="1" applyAlignment="1">
      <alignment/>
    </xf>
    <xf numFmtId="201" fontId="11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01" fontId="11" fillId="0" borderId="0" xfId="0" applyFont="1" applyFill="1" applyAlignment="1">
      <alignment horizontal="right"/>
    </xf>
    <xf numFmtId="1" fontId="25" fillId="0" borderId="0" xfId="0" applyNumberFormat="1" applyFont="1" applyFill="1" applyAlignment="1">
      <alignment horizontal="left"/>
    </xf>
    <xf numFmtId="204" fontId="25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201" fontId="6" fillId="0" borderId="0" xfId="0" applyFont="1" applyFill="1" applyBorder="1" applyAlignment="1">
      <alignment/>
    </xf>
    <xf numFmtId="201" fontId="11" fillId="0" borderId="0" xfId="0" applyFont="1" applyFill="1" applyBorder="1" applyAlignment="1">
      <alignment/>
    </xf>
    <xf numFmtId="201" fontId="11" fillId="0" borderId="0" xfId="0" applyFont="1" applyFill="1" applyBorder="1" applyAlignment="1">
      <alignment horizontal="center"/>
    </xf>
    <xf numFmtId="201" fontId="20" fillId="0" borderId="0" xfId="0" applyFont="1" applyFill="1" applyBorder="1" applyAlignment="1">
      <alignment horizontal="center"/>
    </xf>
    <xf numFmtId="201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201" fontId="15" fillId="0" borderId="0" xfId="0" applyFont="1" applyBorder="1" applyAlignment="1">
      <alignment horizontal="center"/>
    </xf>
    <xf numFmtId="201" fontId="7" fillId="0" borderId="0" xfId="0" applyFont="1" applyBorder="1" applyAlignment="1">
      <alignment horizontal="center"/>
    </xf>
    <xf numFmtId="201" fontId="0" fillId="0" borderId="0" xfId="0" applyBorder="1" applyAlignment="1">
      <alignment/>
    </xf>
    <xf numFmtId="201" fontId="0" fillId="0" borderId="0" xfId="0" applyAlignment="1">
      <alignment horizontal="right"/>
    </xf>
    <xf numFmtId="2" fontId="0" fillId="0" borderId="0" xfId="0" applyNumberFormat="1" applyBorder="1" applyAlignment="1">
      <alignment horizontal="center"/>
    </xf>
    <xf numFmtId="201" fontId="4" fillId="0" borderId="0" xfId="0" applyFont="1" applyBorder="1" applyAlignment="1">
      <alignment/>
    </xf>
    <xf numFmtId="2" fontId="11" fillId="0" borderId="0" xfId="0" applyNumberFormat="1" applyFont="1" applyAlignment="1" quotePrefix="1">
      <alignment horizontal="center"/>
    </xf>
    <xf numFmtId="201" fontId="0" fillId="0" borderId="0" xfId="0" applyFont="1" applyBorder="1" applyAlignment="1">
      <alignment/>
    </xf>
    <xf numFmtId="201" fontId="28" fillId="0" borderId="0" xfId="0" applyFont="1" applyBorder="1" applyAlignment="1">
      <alignment/>
    </xf>
    <xf numFmtId="201" fontId="26" fillId="0" borderId="0" xfId="0" applyFont="1" applyFill="1" applyBorder="1" applyAlignment="1">
      <alignment/>
    </xf>
    <xf numFmtId="201" fontId="27" fillId="0" borderId="0" xfId="0" applyFont="1" applyFill="1" applyBorder="1" applyAlignment="1">
      <alignment/>
    </xf>
    <xf numFmtId="201" fontId="5" fillId="0" borderId="0" xfId="0" applyFont="1" applyAlignment="1">
      <alignment horizontal="center"/>
    </xf>
    <xf numFmtId="201" fontId="5" fillId="0" borderId="0" xfId="0" applyFont="1" applyAlignment="1">
      <alignment horizontal="left"/>
    </xf>
    <xf numFmtId="201" fontId="7" fillId="0" borderId="0" xfId="0" applyFont="1" applyBorder="1" applyAlignment="1">
      <alignment/>
    </xf>
    <xf numFmtId="201" fontId="0" fillId="0" borderId="0" xfId="0" applyFont="1" applyAlignment="1">
      <alignment/>
    </xf>
    <xf numFmtId="201" fontId="18" fillId="0" borderId="0" xfId="0" applyFont="1" applyBorder="1" applyAlignment="1">
      <alignment/>
    </xf>
    <xf numFmtId="201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201" fontId="18" fillId="0" borderId="0" xfId="0" applyFont="1" applyBorder="1" applyAlignment="1">
      <alignment horizontal="left"/>
    </xf>
    <xf numFmtId="201" fontId="29" fillId="0" borderId="0" xfId="0" applyFont="1" applyBorder="1" applyAlignment="1">
      <alignment/>
    </xf>
    <xf numFmtId="201" fontId="11" fillId="34" borderId="0" xfId="0" applyFont="1" applyFill="1" applyBorder="1" applyAlignment="1">
      <alignment/>
    </xf>
    <xf numFmtId="201" fontId="30" fillId="0" borderId="0" xfId="0" applyFont="1" applyAlignment="1">
      <alignment horizontal="center"/>
    </xf>
    <xf numFmtId="201" fontId="31" fillId="0" borderId="0" xfId="0" applyFont="1" applyAlignment="1">
      <alignment/>
    </xf>
    <xf numFmtId="201" fontId="29" fillId="0" borderId="0" xfId="0" applyFont="1" applyBorder="1" applyAlignment="1" applyProtection="1">
      <alignment horizontal="right"/>
      <protection/>
    </xf>
    <xf numFmtId="201" fontId="30" fillId="0" borderId="0" xfId="0" applyFont="1" applyBorder="1" applyAlignment="1">
      <alignment horizontal="center"/>
    </xf>
    <xf numFmtId="201" fontId="13" fillId="0" borderId="0" xfId="0" applyFont="1" applyAlignment="1">
      <alignment/>
    </xf>
    <xf numFmtId="201" fontId="18" fillId="0" borderId="0" xfId="0" applyFont="1" applyAlignment="1">
      <alignment/>
    </xf>
    <xf numFmtId="201" fontId="8" fillId="0" borderId="0" xfId="0" applyFont="1" applyBorder="1" applyAlignment="1" quotePrefix="1">
      <alignment horizontal="center"/>
    </xf>
    <xf numFmtId="201" fontId="11" fillId="0" borderId="11" xfId="0" applyFont="1" applyBorder="1" applyAlignment="1">
      <alignment/>
    </xf>
    <xf numFmtId="201" fontId="11" fillId="0" borderId="12" xfId="0" applyFont="1" applyBorder="1" applyAlignment="1">
      <alignment/>
    </xf>
    <xf numFmtId="201" fontId="11" fillId="0" borderId="15" xfId="0" applyFont="1" applyBorder="1" applyAlignment="1">
      <alignment/>
    </xf>
    <xf numFmtId="201" fontId="11" fillId="0" borderId="16" xfId="0" applyFont="1" applyBorder="1" applyAlignment="1">
      <alignment/>
    </xf>
    <xf numFmtId="201" fontId="11" fillId="0" borderId="17" xfId="0" applyFont="1" applyBorder="1" applyAlignment="1">
      <alignment/>
    </xf>
    <xf numFmtId="201" fontId="11" fillId="0" borderId="10" xfId="0" applyFont="1" applyBorder="1" applyAlignment="1">
      <alignment/>
    </xf>
    <xf numFmtId="201" fontId="12" fillId="0" borderId="0" xfId="0" applyFont="1" applyBorder="1" applyAlignment="1">
      <alignment horizontal="center"/>
    </xf>
    <xf numFmtId="201" fontId="18" fillId="0" borderId="0" xfId="0" applyFont="1" applyAlignment="1">
      <alignment horizontal="center"/>
    </xf>
    <xf numFmtId="204" fontId="32" fillId="0" borderId="0" xfId="0" applyNumberFormat="1" applyFont="1" applyBorder="1" applyAlignment="1">
      <alignment horizontal="center"/>
    </xf>
    <xf numFmtId="204" fontId="13" fillId="0" borderId="0" xfId="0" applyNumberFormat="1" applyFont="1" applyFill="1" applyAlignment="1">
      <alignment horizontal="center"/>
    </xf>
    <xf numFmtId="204" fontId="11" fillId="0" borderId="0" xfId="0" applyNumberFormat="1" applyFont="1" applyAlignment="1">
      <alignment/>
    </xf>
    <xf numFmtId="204" fontId="11" fillId="0" borderId="0" xfId="0" applyNumberFormat="1" applyFont="1" applyAlignment="1">
      <alignment horizontal="center"/>
    </xf>
    <xf numFmtId="201" fontId="0" fillId="0" borderId="0" xfId="0" applyAlignment="1">
      <alignment horizontal="center"/>
    </xf>
    <xf numFmtId="201" fontId="8" fillId="0" borderId="0" xfId="0" applyNumberFormat="1" applyFont="1" applyAlignment="1">
      <alignment horizontal="center"/>
    </xf>
    <xf numFmtId="201" fontId="20" fillId="0" borderId="0" xfId="0" applyFont="1" applyAlignment="1">
      <alignment horizontal="left"/>
    </xf>
    <xf numFmtId="201" fontId="32" fillId="0" borderId="0" xfId="0" applyFont="1" applyAlignment="1">
      <alignment horizontal="center"/>
    </xf>
    <xf numFmtId="201" fontId="18" fillId="0" borderId="0" xfId="0" applyFont="1" applyAlignment="1">
      <alignment horizontal="left"/>
    </xf>
    <xf numFmtId="201" fontId="8" fillId="0" borderId="0" xfId="0" applyFont="1" applyAlignment="1">
      <alignment horizontal="center"/>
    </xf>
    <xf numFmtId="201" fontId="13" fillId="0" borderId="0" xfId="0" applyFont="1" applyAlignment="1">
      <alignment horizontal="center"/>
    </xf>
    <xf numFmtId="201" fontId="11" fillId="0" borderId="0" xfId="0" applyFont="1" applyAlignment="1">
      <alignment/>
    </xf>
    <xf numFmtId="201" fontId="11" fillId="0" borderId="0" xfId="0" applyFont="1" applyAlignment="1">
      <alignment horizontal="center"/>
    </xf>
    <xf numFmtId="201" fontId="11" fillId="0" borderId="0" xfId="0" applyFont="1" applyBorder="1" applyAlignment="1">
      <alignment/>
    </xf>
    <xf numFmtId="201" fontId="11" fillId="0" borderId="0" xfId="0" applyFont="1" applyAlignment="1">
      <alignment horizontal="left"/>
    </xf>
    <xf numFmtId="201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01" fontId="6" fillId="0" borderId="0" xfId="0" applyFont="1" applyAlignment="1">
      <alignment/>
    </xf>
    <xf numFmtId="2" fontId="3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01" fontId="4" fillId="0" borderId="0" xfId="0" applyFont="1" applyAlignment="1">
      <alignment horizontal="center"/>
    </xf>
    <xf numFmtId="201" fontId="20" fillId="0" borderId="0" xfId="0" applyFont="1" applyAlignment="1">
      <alignment/>
    </xf>
    <xf numFmtId="201" fontId="10" fillId="0" borderId="0" xfId="0" applyFont="1" applyBorder="1" applyAlignment="1">
      <alignment horizontal="center"/>
    </xf>
    <xf numFmtId="201" fontId="36" fillId="0" borderId="0" xfId="0" applyFont="1" applyAlignment="1">
      <alignment horizontal="center"/>
    </xf>
    <xf numFmtId="201" fontId="36" fillId="0" borderId="0" xfId="0" applyFont="1" applyFill="1" applyAlignment="1">
      <alignment horizontal="center"/>
    </xf>
    <xf numFmtId="201" fontId="13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201" fontId="0" fillId="0" borderId="0" xfId="0" applyFont="1" applyAlignment="1">
      <alignment horizontal="center"/>
    </xf>
    <xf numFmtId="201" fontId="0" fillId="0" borderId="0" xfId="0" applyFont="1" applyAlignment="1">
      <alignment/>
    </xf>
    <xf numFmtId="201" fontId="0" fillId="0" borderId="0" xfId="0" applyFont="1" applyAlignment="1">
      <alignment horizontal="center"/>
    </xf>
    <xf numFmtId="201" fontId="37" fillId="0" borderId="0" xfId="0" applyFont="1" applyAlignment="1">
      <alignment/>
    </xf>
    <xf numFmtId="201" fontId="6" fillId="0" borderId="0" xfId="0" applyFont="1" applyAlignment="1">
      <alignment horizontal="center"/>
    </xf>
    <xf numFmtId="201" fontId="38" fillId="0" borderId="0" xfId="0" applyFont="1" applyAlignment="1">
      <alignment/>
    </xf>
    <xf numFmtId="2" fontId="18" fillId="0" borderId="0" xfId="0" applyNumberFormat="1" applyFont="1" applyBorder="1" applyAlignment="1">
      <alignment horizontal="center"/>
    </xf>
    <xf numFmtId="201" fontId="11" fillId="0" borderId="0" xfId="0" applyFont="1" applyAlignment="1" quotePrefix="1">
      <alignment/>
    </xf>
    <xf numFmtId="201" fontId="0" fillId="0" borderId="0" xfId="0" applyNumberFormat="1" applyAlignment="1">
      <alignment horizontal="center"/>
    </xf>
    <xf numFmtId="201" fontId="0" fillId="0" borderId="0" xfId="0" applyBorder="1" applyAlignment="1">
      <alignment horizontal="center"/>
    </xf>
    <xf numFmtId="201" fontId="20" fillId="0" borderId="0" xfId="0" applyFont="1" applyBorder="1" applyAlignment="1">
      <alignment horizontal="center"/>
    </xf>
    <xf numFmtId="201" fontId="4" fillId="0" borderId="0" xfId="0" applyFont="1" applyAlignment="1">
      <alignment horizontal="center"/>
    </xf>
    <xf numFmtId="201" fontId="0" fillId="0" borderId="0" xfId="0" applyAlignment="1" applyProtection="1">
      <alignment horizontal="center"/>
      <protection/>
    </xf>
    <xf numFmtId="207" fontId="11" fillId="0" borderId="0" xfId="0" applyNumberFormat="1" applyFont="1" applyFill="1" applyAlignment="1">
      <alignment horizontal="center"/>
    </xf>
    <xf numFmtId="208" fontId="5" fillId="0" borderId="0" xfId="0" applyNumberFormat="1" applyFont="1" applyAlignment="1">
      <alignment/>
    </xf>
    <xf numFmtId="201" fontId="40" fillId="0" borderId="0" xfId="0" applyFont="1" applyAlignment="1">
      <alignment/>
    </xf>
    <xf numFmtId="201" fontId="41" fillId="0" borderId="0" xfId="0" applyFont="1" applyAlignment="1">
      <alignment/>
    </xf>
    <xf numFmtId="201" fontId="42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01" fontId="11" fillId="0" borderId="0" xfId="0" applyFont="1" applyAlignment="1">
      <alignment horizontal="center" vertical="center"/>
    </xf>
    <xf numFmtId="201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01" fontId="20" fillId="0" borderId="0" xfId="0" applyFont="1" applyBorder="1" applyAlignment="1">
      <alignment horizontal="center"/>
    </xf>
    <xf numFmtId="201" fontId="11" fillId="0" borderId="0" xfId="0" applyFont="1" applyFill="1" applyBorder="1" applyAlignment="1">
      <alignment horizontal="left"/>
    </xf>
    <xf numFmtId="201" fontId="11" fillId="0" borderId="0" xfId="0" applyFont="1" applyFill="1" applyBorder="1" applyAlignment="1">
      <alignment horizontal="center"/>
    </xf>
    <xf numFmtId="201" fontId="1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54</xdr:row>
      <xdr:rowOff>66675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48125" y="1091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41</xdr:row>
      <xdr:rowOff>28575</xdr:rowOff>
    </xdr:from>
    <xdr:to>
      <xdr:col>0</xdr:col>
      <xdr:colOff>657225</xdr:colOff>
      <xdr:row>41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8143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15</xdr:row>
      <xdr:rowOff>38100</xdr:rowOff>
    </xdr:from>
    <xdr:to>
      <xdr:col>15</xdr:col>
      <xdr:colOff>485775</xdr:colOff>
      <xdr:row>15</xdr:row>
      <xdr:rowOff>38100</xdr:rowOff>
    </xdr:to>
    <xdr:sp>
      <xdr:nvSpPr>
        <xdr:cNvPr id="3" name="Line 3"/>
        <xdr:cNvSpPr>
          <a:spLocks/>
        </xdr:cNvSpPr>
      </xdr:nvSpPr>
      <xdr:spPr>
        <a:xfrm>
          <a:off x="11039475" y="2952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37</xdr:row>
      <xdr:rowOff>66675</xdr:rowOff>
    </xdr:from>
    <xdr:to>
      <xdr:col>6</xdr:col>
      <xdr:colOff>247650</xdr:colOff>
      <xdr:row>37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4457700" y="7400925"/>
          <a:ext cx="62865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37</xdr:row>
      <xdr:rowOff>133350</xdr:rowOff>
    </xdr:from>
    <xdr:to>
      <xdr:col>5</xdr:col>
      <xdr:colOff>819150</xdr:colOff>
      <xdr:row>42</xdr:row>
      <xdr:rowOff>95250</xdr:rowOff>
    </xdr:to>
    <xdr:sp>
      <xdr:nvSpPr>
        <xdr:cNvPr id="5" name="Rectangle 6"/>
        <xdr:cNvSpPr>
          <a:spLocks/>
        </xdr:cNvSpPr>
      </xdr:nvSpPr>
      <xdr:spPr>
        <a:xfrm>
          <a:off x="4800600" y="7467600"/>
          <a:ext cx="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42</xdr:row>
      <xdr:rowOff>85725</xdr:rowOff>
    </xdr:from>
    <xdr:to>
      <xdr:col>6</xdr:col>
      <xdr:colOff>247650</xdr:colOff>
      <xdr:row>42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4457700" y="8391525"/>
          <a:ext cx="62865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38</xdr:row>
      <xdr:rowOff>190500</xdr:rowOff>
    </xdr:from>
    <xdr:to>
      <xdr:col>5</xdr:col>
      <xdr:colOff>285750</xdr:colOff>
      <xdr:row>40</xdr:row>
      <xdr:rowOff>28575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867150" y="77343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7</xdr:col>
      <xdr:colOff>200025</xdr:colOff>
      <xdr:row>39</xdr:row>
      <xdr:rowOff>95250</xdr:rowOff>
    </xdr:from>
    <xdr:to>
      <xdr:col>7</xdr:col>
      <xdr:colOff>400050</xdr:colOff>
      <xdr:row>40</xdr:row>
      <xdr:rowOff>57150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648325" y="7829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838200</xdr:colOff>
      <xdr:row>34</xdr:row>
      <xdr:rowOff>28575</xdr:rowOff>
    </xdr:from>
    <xdr:to>
      <xdr:col>6</xdr:col>
      <xdr:colOff>361950</xdr:colOff>
      <xdr:row>35</xdr:row>
      <xdr:rowOff>19050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819650" y="675322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857250</xdr:colOff>
      <xdr:row>37</xdr:row>
      <xdr:rowOff>19050</xdr:rowOff>
    </xdr:from>
    <xdr:to>
      <xdr:col>5</xdr:col>
      <xdr:colOff>857250</xdr:colOff>
      <xdr:row>38</xdr:row>
      <xdr:rowOff>38100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4838700" y="73533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790575</xdr:colOff>
      <xdr:row>34</xdr:row>
      <xdr:rowOff>28575</xdr:rowOff>
    </xdr:from>
    <xdr:to>
      <xdr:col>5</xdr:col>
      <xdr:colOff>790575</xdr:colOff>
      <xdr:row>34</xdr:row>
      <xdr:rowOff>57150</xdr:rowOff>
    </xdr:to>
    <xdr:sp>
      <xdr:nvSpPr>
        <xdr:cNvPr id="11" name="Line 12"/>
        <xdr:cNvSpPr>
          <a:spLocks/>
        </xdr:cNvSpPr>
      </xdr:nvSpPr>
      <xdr:spPr>
        <a:xfrm flipV="1">
          <a:off x="4772025" y="6753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33</xdr:row>
      <xdr:rowOff>161925</xdr:rowOff>
    </xdr:from>
    <xdr:to>
      <xdr:col>5</xdr:col>
      <xdr:colOff>771525</xdr:colOff>
      <xdr:row>34</xdr:row>
      <xdr:rowOff>142875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524375" y="66960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466725</xdr:colOff>
      <xdr:row>36</xdr:row>
      <xdr:rowOff>104775</xdr:rowOff>
    </xdr:from>
    <xdr:to>
      <xdr:col>5</xdr:col>
      <xdr:colOff>466725</xdr:colOff>
      <xdr:row>37</xdr:row>
      <xdr:rowOff>38100</xdr:rowOff>
    </xdr:to>
    <xdr:sp>
      <xdr:nvSpPr>
        <xdr:cNvPr id="13" name="Line 14"/>
        <xdr:cNvSpPr>
          <a:spLocks/>
        </xdr:cNvSpPr>
      </xdr:nvSpPr>
      <xdr:spPr>
        <a:xfrm flipV="1">
          <a:off x="4448175" y="7229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36</xdr:row>
      <xdr:rowOff>104775</xdr:rowOff>
    </xdr:from>
    <xdr:to>
      <xdr:col>6</xdr:col>
      <xdr:colOff>238125</xdr:colOff>
      <xdr:row>37</xdr:row>
      <xdr:rowOff>38100</xdr:rowOff>
    </xdr:to>
    <xdr:sp>
      <xdr:nvSpPr>
        <xdr:cNvPr id="14" name="Line 15"/>
        <xdr:cNvSpPr>
          <a:spLocks/>
        </xdr:cNvSpPr>
      </xdr:nvSpPr>
      <xdr:spPr>
        <a:xfrm flipV="1">
          <a:off x="5076825" y="7229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36</xdr:row>
      <xdr:rowOff>142875</xdr:rowOff>
    </xdr:from>
    <xdr:to>
      <xdr:col>6</xdr:col>
      <xdr:colOff>238125</xdr:colOff>
      <xdr:row>36</xdr:row>
      <xdr:rowOff>142875</xdr:rowOff>
    </xdr:to>
    <xdr:sp>
      <xdr:nvSpPr>
        <xdr:cNvPr id="15" name="Line 16"/>
        <xdr:cNvSpPr>
          <a:spLocks/>
        </xdr:cNvSpPr>
      </xdr:nvSpPr>
      <xdr:spPr>
        <a:xfrm>
          <a:off x="4448175" y="72675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35</xdr:row>
      <xdr:rowOff>152400</xdr:rowOff>
    </xdr:from>
    <xdr:to>
      <xdr:col>6</xdr:col>
      <xdr:colOff>114300</xdr:colOff>
      <xdr:row>37</xdr:row>
      <xdr:rowOff>9525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4581525" y="70675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476250</xdr:colOff>
      <xdr:row>42</xdr:row>
      <xdr:rowOff>180975</xdr:rowOff>
    </xdr:from>
    <xdr:to>
      <xdr:col>5</xdr:col>
      <xdr:colOff>476250</xdr:colOff>
      <xdr:row>43</xdr:row>
      <xdr:rowOff>114300</xdr:rowOff>
    </xdr:to>
    <xdr:sp>
      <xdr:nvSpPr>
        <xdr:cNvPr id="17" name="Line 18"/>
        <xdr:cNvSpPr>
          <a:spLocks/>
        </xdr:cNvSpPr>
      </xdr:nvSpPr>
      <xdr:spPr>
        <a:xfrm flipV="1">
          <a:off x="4457700" y="8486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42</xdr:row>
      <xdr:rowOff>180975</xdr:rowOff>
    </xdr:from>
    <xdr:to>
      <xdr:col>6</xdr:col>
      <xdr:colOff>247650</xdr:colOff>
      <xdr:row>43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5086350" y="8486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43</xdr:row>
      <xdr:rowOff>76200</xdr:rowOff>
    </xdr:from>
    <xdr:to>
      <xdr:col>6</xdr:col>
      <xdr:colOff>247650</xdr:colOff>
      <xdr:row>43</xdr:row>
      <xdr:rowOff>76200</xdr:rowOff>
    </xdr:to>
    <xdr:sp>
      <xdr:nvSpPr>
        <xdr:cNvPr id="19" name="Line 20"/>
        <xdr:cNvSpPr>
          <a:spLocks/>
        </xdr:cNvSpPr>
      </xdr:nvSpPr>
      <xdr:spPr>
        <a:xfrm>
          <a:off x="4457700" y="8610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43</xdr:row>
      <xdr:rowOff>66675</xdr:rowOff>
    </xdr:from>
    <xdr:to>
      <xdr:col>6</xdr:col>
      <xdr:colOff>180975</xdr:colOff>
      <xdr:row>44</xdr:row>
      <xdr:rowOff>142875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4638675" y="86010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5</xdr:col>
      <xdr:colOff>161925</xdr:colOff>
      <xdr:row>37</xdr:row>
      <xdr:rowOff>66675</xdr:rowOff>
    </xdr:from>
    <xdr:to>
      <xdr:col>5</xdr:col>
      <xdr:colOff>419100</xdr:colOff>
      <xdr:row>37</xdr:row>
      <xdr:rowOff>66675</xdr:rowOff>
    </xdr:to>
    <xdr:sp>
      <xdr:nvSpPr>
        <xdr:cNvPr id="21" name="Line 22"/>
        <xdr:cNvSpPr>
          <a:spLocks/>
        </xdr:cNvSpPr>
      </xdr:nvSpPr>
      <xdr:spPr>
        <a:xfrm flipH="1">
          <a:off x="4143375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37</xdr:row>
      <xdr:rowOff>123825</xdr:rowOff>
    </xdr:from>
    <xdr:to>
      <xdr:col>5</xdr:col>
      <xdr:colOff>419100</xdr:colOff>
      <xdr:row>37</xdr:row>
      <xdr:rowOff>123825</xdr:rowOff>
    </xdr:to>
    <xdr:sp>
      <xdr:nvSpPr>
        <xdr:cNvPr id="22" name="Line 23"/>
        <xdr:cNvSpPr>
          <a:spLocks/>
        </xdr:cNvSpPr>
      </xdr:nvSpPr>
      <xdr:spPr>
        <a:xfrm flipH="1">
          <a:off x="4143375" y="7458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42</xdr:row>
      <xdr:rowOff>85725</xdr:rowOff>
    </xdr:from>
    <xdr:to>
      <xdr:col>5</xdr:col>
      <xdr:colOff>419100</xdr:colOff>
      <xdr:row>42</xdr:row>
      <xdr:rowOff>85725</xdr:rowOff>
    </xdr:to>
    <xdr:sp>
      <xdr:nvSpPr>
        <xdr:cNvPr id="23" name="Line 24"/>
        <xdr:cNvSpPr>
          <a:spLocks/>
        </xdr:cNvSpPr>
      </xdr:nvSpPr>
      <xdr:spPr>
        <a:xfrm flipH="1">
          <a:off x="4143375" y="8391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42</xdr:row>
      <xdr:rowOff>152400</xdr:rowOff>
    </xdr:from>
    <xdr:to>
      <xdr:col>5</xdr:col>
      <xdr:colOff>428625</xdr:colOff>
      <xdr:row>42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4152900" y="8458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37</xdr:row>
      <xdr:rowOff>123825</xdr:rowOff>
    </xdr:from>
    <xdr:to>
      <xdr:col>5</xdr:col>
      <xdr:colOff>257175</xdr:colOff>
      <xdr:row>42</xdr:row>
      <xdr:rowOff>85725</xdr:rowOff>
    </xdr:to>
    <xdr:sp>
      <xdr:nvSpPr>
        <xdr:cNvPr id="25" name="Line 27"/>
        <xdr:cNvSpPr>
          <a:spLocks/>
        </xdr:cNvSpPr>
      </xdr:nvSpPr>
      <xdr:spPr>
        <a:xfrm flipV="1">
          <a:off x="4238625" y="74580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36</xdr:row>
      <xdr:rowOff>104775</xdr:rowOff>
    </xdr:from>
    <xdr:to>
      <xdr:col>5</xdr:col>
      <xdr:colOff>257175</xdr:colOff>
      <xdr:row>37</xdr:row>
      <xdr:rowOff>66675</xdr:rowOff>
    </xdr:to>
    <xdr:sp>
      <xdr:nvSpPr>
        <xdr:cNvPr id="26" name="Line 28"/>
        <xdr:cNvSpPr>
          <a:spLocks/>
        </xdr:cNvSpPr>
      </xdr:nvSpPr>
      <xdr:spPr>
        <a:xfrm flipV="1">
          <a:off x="4238625" y="7229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42</xdr:row>
      <xdr:rowOff>133350</xdr:rowOff>
    </xdr:from>
    <xdr:to>
      <xdr:col>5</xdr:col>
      <xdr:colOff>257175</xdr:colOff>
      <xdr:row>43</xdr:row>
      <xdr:rowOff>57150</xdr:rowOff>
    </xdr:to>
    <xdr:sp>
      <xdr:nvSpPr>
        <xdr:cNvPr id="27" name="Line 29"/>
        <xdr:cNvSpPr>
          <a:spLocks/>
        </xdr:cNvSpPr>
      </xdr:nvSpPr>
      <xdr:spPr>
        <a:xfrm flipV="1">
          <a:off x="4238625" y="8439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42</xdr:row>
      <xdr:rowOff>152400</xdr:rowOff>
    </xdr:from>
    <xdr:to>
      <xdr:col>5</xdr:col>
      <xdr:colOff>257175</xdr:colOff>
      <xdr:row>43</xdr:row>
      <xdr:rowOff>123825</xdr:rowOff>
    </xdr:to>
    <xdr:sp>
      <xdr:nvSpPr>
        <xdr:cNvPr id="28" name="Line 30"/>
        <xdr:cNvSpPr>
          <a:spLocks/>
        </xdr:cNvSpPr>
      </xdr:nvSpPr>
      <xdr:spPr>
        <a:xfrm>
          <a:off x="4238625" y="8458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36</xdr:row>
      <xdr:rowOff>114300</xdr:rowOff>
    </xdr:from>
    <xdr:to>
      <xdr:col>5</xdr:col>
      <xdr:colOff>190500</xdr:colOff>
      <xdr:row>37</xdr:row>
      <xdr:rowOff>152400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3829050" y="723900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457200</xdr:colOff>
      <xdr:row>41</xdr:row>
      <xdr:rowOff>180975</xdr:rowOff>
    </xdr:from>
    <xdr:to>
      <xdr:col>5</xdr:col>
      <xdr:colOff>180975</xdr:colOff>
      <xdr:row>42</xdr:row>
      <xdr:rowOff>180975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3810000" y="8296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495300</xdr:colOff>
      <xdr:row>39</xdr:row>
      <xdr:rowOff>190500</xdr:rowOff>
    </xdr:from>
    <xdr:to>
      <xdr:col>7</xdr:col>
      <xdr:colOff>200025</xdr:colOff>
      <xdr:row>39</xdr:row>
      <xdr:rowOff>190500</xdr:rowOff>
    </xdr:to>
    <xdr:sp>
      <xdr:nvSpPr>
        <xdr:cNvPr id="31" name="Line 33"/>
        <xdr:cNvSpPr>
          <a:spLocks/>
        </xdr:cNvSpPr>
      </xdr:nvSpPr>
      <xdr:spPr>
        <a:xfrm>
          <a:off x="3848100" y="7924800"/>
          <a:ext cx="1800225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39</xdr:row>
      <xdr:rowOff>95250</xdr:rowOff>
    </xdr:from>
    <xdr:to>
      <xdr:col>4</xdr:col>
      <xdr:colOff>561975</xdr:colOff>
      <xdr:row>40</xdr:row>
      <xdr:rowOff>57150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3714750" y="7829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790575</xdr:colOff>
      <xdr:row>34</xdr:row>
      <xdr:rowOff>57150</xdr:rowOff>
    </xdr:from>
    <xdr:to>
      <xdr:col>5</xdr:col>
      <xdr:colOff>790575</xdr:colOff>
      <xdr:row>44</xdr:row>
      <xdr:rowOff>161925</xdr:rowOff>
    </xdr:to>
    <xdr:sp>
      <xdr:nvSpPr>
        <xdr:cNvPr id="33" name="Line 35"/>
        <xdr:cNvSpPr>
          <a:spLocks/>
        </xdr:cNvSpPr>
      </xdr:nvSpPr>
      <xdr:spPr>
        <a:xfrm>
          <a:off x="4772025" y="6781800"/>
          <a:ext cx="0" cy="21526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34</xdr:row>
      <xdr:rowOff>133350</xdr:rowOff>
    </xdr:from>
    <xdr:to>
      <xdr:col>5</xdr:col>
      <xdr:colOff>790575</xdr:colOff>
      <xdr:row>34</xdr:row>
      <xdr:rowOff>161925</xdr:rowOff>
    </xdr:to>
    <xdr:sp>
      <xdr:nvSpPr>
        <xdr:cNvPr id="34" name="Line 36"/>
        <xdr:cNvSpPr>
          <a:spLocks/>
        </xdr:cNvSpPr>
      </xdr:nvSpPr>
      <xdr:spPr>
        <a:xfrm flipV="1">
          <a:off x="4772025" y="68580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32</xdr:row>
      <xdr:rowOff>19050</xdr:rowOff>
    </xdr:from>
    <xdr:to>
      <xdr:col>2</xdr:col>
      <xdr:colOff>476250</xdr:colOff>
      <xdr:row>32</xdr:row>
      <xdr:rowOff>57150</xdr:rowOff>
    </xdr:to>
    <xdr:sp>
      <xdr:nvSpPr>
        <xdr:cNvPr id="35" name="Oval 37"/>
        <xdr:cNvSpPr>
          <a:spLocks/>
        </xdr:cNvSpPr>
      </xdr:nvSpPr>
      <xdr:spPr>
        <a:xfrm>
          <a:off x="2514600" y="6324600"/>
          <a:ext cx="285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37</xdr:row>
      <xdr:rowOff>133350</xdr:rowOff>
    </xdr:from>
    <xdr:to>
      <xdr:col>5</xdr:col>
      <xdr:colOff>762000</xdr:colOff>
      <xdr:row>42</xdr:row>
      <xdr:rowOff>95250</xdr:rowOff>
    </xdr:to>
    <xdr:sp>
      <xdr:nvSpPr>
        <xdr:cNvPr id="36" name="Rectangle 38"/>
        <xdr:cNvSpPr>
          <a:spLocks/>
        </xdr:cNvSpPr>
      </xdr:nvSpPr>
      <xdr:spPr>
        <a:xfrm>
          <a:off x="4743450" y="7467600"/>
          <a:ext cx="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44</xdr:row>
      <xdr:rowOff>95250</xdr:rowOff>
    </xdr:from>
    <xdr:to>
      <xdr:col>6</xdr:col>
      <xdr:colOff>314325</xdr:colOff>
      <xdr:row>45</xdr:row>
      <xdr:rowOff>104775</xdr:rowOff>
    </xdr:to>
    <xdr:sp>
      <xdr:nvSpPr>
        <xdr:cNvPr id="37" name="Text Box 39"/>
        <xdr:cNvSpPr txBox="1">
          <a:spLocks noChangeArrowheads="1"/>
        </xdr:cNvSpPr>
      </xdr:nvSpPr>
      <xdr:spPr>
        <a:xfrm>
          <a:off x="4772025" y="88677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38" name="Rectangle 48"/>
        <xdr:cNvSpPr>
          <a:spLocks/>
        </xdr:cNvSpPr>
      </xdr:nvSpPr>
      <xdr:spPr>
        <a:xfrm>
          <a:off x="0" y="0"/>
          <a:ext cx="20669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77</xdr:row>
      <xdr:rowOff>38100</xdr:rowOff>
    </xdr:from>
    <xdr:to>
      <xdr:col>0</xdr:col>
      <xdr:colOff>647700</xdr:colOff>
      <xdr:row>77</xdr:row>
      <xdr:rowOff>38100</xdr:rowOff>
    </xdr:to>
    <xdr:sp>
      <xdr:nvSpPr>
        <xdr:cNvPr id="39" name="Line 49"/>
        <xdr:cNvSpPr>
          <a:spLocks/>
        </xdr:cNvSpPr>
      </xdr:nvSpPr>
      <xdr:spPr>
        <a:xfrm>
          <a:off x="533400" y="15897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29</xdr:row>
      <xdr:rowOff>66675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1719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523875</xdr:colOff>
      <xdr:row>44</xdr:row>
      <xdr:rowOff>47625</xdr:rowOff>
    </xdr:from>
    <xdr:to>
      <xdr:col>0</xdr:col>
      <xdr:colOff>638175</xdr:colOff>
      <xdr:row>44</xdr:row>
      <xdr:rowOff>47625</xdr:rowOff>
    </xdr:to>
    <xdr:sp>
      <xdr:nvSpPr>
        <xdr:cNvPr id="2" name="Line 2"/>
        <xdr:cNvSpPr>
          <a:spLocks/>
        </xdr:cNvSpPr>
      </xdr:nvSpPr>
      <xdr:spPr>
        <a:xfrm>
          <a:off x="523875" y="7743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16</xdr:row>
      <xdr:rowOff>38100</xdr:rowOff>
    </xdr:from>
    <xdr:to>
      <xdr:col>15</xdr:col>
      <xdr:colOff>485775</xdr:colOff>
      <xdr:row>16</xdr:row>
      <xdr:rowOff>38100</xdr:rowOff>
    </xdr:to>
    <xdr:sp>
      <xdr:nvSpPr>
        <xdr:cNvPr id="3" name="Line 3"/>
        <xdr:cNvSpPr>
          <a:spLocks/>
        </xdr:cNvSpPr>
      </xdr:nvSpPr>
      <xdr:spPr>
        <a:xfrm>
          <a:off x="10839450" y="3181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38</xdr:row>
      <xdr:rowOff>161925</xdr:rowOff>
    </xdr:from>
    <xdr:to>
      <xdr:col>7</xdr:col>
      <xdr:colOff>0</xdr:colOff>
      <xdr:row>39</xdr:row>
      <xdr:rowOff>38100</xdr:rowOff>
    </xdr:to>
    <xdr:sp>
      <xdr:nvSpPr>
        <xdr:cNvPr id="4" name="Rectangle 6"/>
        <xdr:cNvSpPr>
          <a:spLocks/>
        </xdr:cNvSpPr>
      </xdr:nvSpPr>
      <xdr:spPr>
        <a:xfrm>
          <a:off x="4572000" y="6638925"/>
          <a:ext cx="809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34</xdr:row>
      <xdr:rowOff>190500</xdr:rowOff>
    </xdr:from>
    <xdr:to>
      <xdr:col>5</xdr:col>
      <xdr:colOff>19050</xdr:colOff>
      <xdr:row>36</xdr:row>
      <xdr:rowOff>47625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771900" y="584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8</xdr:col>
      <xdr:colOff>200025</xdr:colOff>
      <xdr:row>34</xdr:row>
      <xdr:rowOff>180975</xdr:rowOff>
    </xdr:from>
    <xdr:to>
      <xdr:col>8</xdr:col>
      <xdr:colOff>400050</xdr:colOff>
      <xdr:row>35</xdr:row>
      <xdr:rowOff>142875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191250" y="5838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29</xdr:row>
      <xdr:rowOff>142875</xdr:rowOff>
    </xdr:from>
    <xdr:to>
      <xdr:col>6</xdr:col>
      <xdr:colOff>323850</xdr:colOff>
      <xdr:row>30</xdr:row>
      <xdr:rowOff>123825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829175" y="48482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666750</xdr:colOff>
      <xdr:row>30</xdr:row>
      <xdr:rowOff>95250</xdr:rowOff>
    </xdr:from>
    <xdr:to>
      <xdr:col>5</xdr:col>
      <xdr:colOff>666750</xdr:colOff>
      <xdr:row>31</xdr:row>
      <xdr:rowOff>38100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4772025" y="49911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29</xdr:row>
      <xdr:rowOff>142875</xdr:rowOff>
    </xdr:from>
    <xdr:to>
      <xdr:col>6</xdr:col>
      <xdr:colOff>228600</xdr:colOff>
      <xdr:row>30</xdr:row>
      <xdr:rowOff>9525</xdr:rowOff>
    </xdr:to>
    <xdr:sp>
      <xdr:nvSpPr>
        <xdr:cNvPr id="9" name="Line 11"/>
        <xdr:cNvSpPr>
          <a:spLocks/>
        </xdr:cNvSpPr>
      </xdr:nvSpPr>
      <xdr:spPr>
        <a:xfrm flipV="1">
          <a:off x="5000625" y="4848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95250</xdr:rowOff>
    </xdr:from>
    <xdr:to>
      <xdr:col>5</xdr:col>
      <xdr:colOff>666750</xdr:colOff>
      <xdr:row>11</xdr:row>
      <xdr:rowOff>95250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733925" y="201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466725</xdr:colOff>
      <xdr:row>32</xdr:row>
      <xdr:rowOff>76200</xdr:rowOff>
    </xdr:from>
    <xdr:to>
      <xdr:col>5</xdr:col>
      <xdr:colOff>466725</xdr:colOff>
      <xdr:row>32</xdr:row>
      <xdr:rowOff>171450</xdr:rowOff>
    </xdr:to>
    <xdr:sp>
      <xdr:nvSpPr>
        <xdr:cNvPr id="11" name="Line 13"/>
        <xdr:cNvSpPr>
          <a:spLocks/>
        </xdr:cNvSpPr>
      </xdr:nvSpPr>
      <xdr:spPr>
        <a:xfrm flipV="1">
          <a:off x="4572000" y="535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32</xdr:row>
      <xdr:rowOff>123825</xdr:rowOff>
    </xdr:from>
    <xdr:to>
      <xdr:col>6</xdr:col>
      <xdr:colOff>600075</xdr:colOff>
      <xdr:row>32</xdr:row>
      <xdr:rowOff>123825</xdr:rowOff>
    </xdr:to>
    <xdr:sp>
      <xdr:nvSpPr>
        <xdr:cNvPr id="12" name="Line 15"/>
        <xdr:cNvSpPr>
          <a:spLocks/>
        </xdr:cNvSpPr>
      </xdr:nvSpPr>
      <xdr:spPr>
        <a:xfrm>
          <a:off x="4572000" y="54006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66675</xdr:rowOff>
    </xdr:from>
    <xdr:to>
      <xdr:col>6</xdr:col>
      <xdr:colOff>57150</xdr:colOff>
      <xdr:row>13</xdr:row>
      <xdr:rowOff>114300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4772025" y="2371725"/>
          <a:ext cx="57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476250</xdr:colOff>
      <xdr:row>39</xdr:row>
      <xdr:rowOff>57150</xdr:rowOff>
    </xdr:from>
    <xdr:to>
      <xdr:col>5</xdr:col>
      <xdr:colOff>476250</xdr:colOff>
      <xdr:row>39</xdr:row>
      <xdr:rowOff>152400</xdr:rowOff>
    </xdr:to>
    <xdr:sp>
      <xdr:nvSpPr>
        <xdr:cNvPr id="14" name="Line 17"/>
        <xdr:cNvSpPr>
          <a:spLocks/>
        </xdr:cNvSpPr>
      </xdr:nvSpPr>
      <xdr:spPr>
        <a:xfrm flipV="1">
          <a:off x="4581525" y="6724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39</xdr:row>
      <xdr:rowOff>152400</xdr:rowOff>
    </xdr:to>
    <xdr:sp>
      <xdr:nvSpPr>
        <xdr:cNvPr id="15" name="Line 18"/>
        <xdr:cNvSpPr>
          <a:spLocks/>
        </xdr:cNvSpPr>
      </xdr:nvSpPr>
      <xdr:spPr>
        <a:xfrm flipV="1">
          <a:off x="5381625" y="6724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39</xdr:row>
      <xdr:rowOff>142875</xdr:rowOff>
    </xdr:from>
    <xdr:to>
      <xdr:col>7</xdr:col>
      <xdr:colOff>9525</xdr:colOff>
      <xdr:row>39</xdr:row>
      <xdr:rowOff>142875</xdr:rowOff>
    </xdr:to>
    <xdr:sp>
      <xdr:nvSpPr>
        <xdr:cNvPr id="16" name="Line 19"/>
        <xdr:cNvSpPr>
          <a:spLocks/>
        </xdr:cNvSpPr>
      </xdr:nvSpPr>
      <xdr:spPr>
        <a:xfrm>
          <a:off x="4581525" y="68103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0</xdr:rowOff>
    </xdr:from>
    <xdr:to>
      <xdr:col>6</xdr:col>
      <xdr:colOff>19050</xdr:colOff>
      <xdr:row>14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4772025" y="2724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38100</xdr:rowOff>
    </xdr:from>
    <xdr:to>
      <xdr:col>5</xdr:col>
      <xdr:colOff>419100</xdr:colOff>
      <xdr:row>33</xdr:row>
      <xdr:rowOff>38100</xdr:rowOff>
    </xdr:to>
    <xdr:sp>
      <xdr:nvSpPr>
        <xdr:cNvPr id="18" name="Line 22"/>
        <xdr:cNvSpPr>
          <a:spLocks/>
        </xdr:cNvSpPr>
      </xdr:nvSpPr>
      <xdr:spPr>
        <a:xfrm flipH="1">
          <a:off x="4267200" y="5505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104775</xdr:rowOff>
    </xdr:from>
    <xdr:to>
      <xdr:col>5</xdr:col>
      <xdr:colOff>419100</xdr:colOff>
      <xdr:row>33</xdr:row>
      <xdr:rowOff>104775</xdr:rowOff>
    </xdr:to>
    <xdr:sp>
      <xdr:nvSpPr>
        <xdr:cNvPr id="19" name="Line 23"/>
        <xdr:cNvSpPr>
          <a:spLocks/>
        </xdr:cNvSpPr>
      </xdr:nvSpPr>
      <xdr:spPr>
        <a:xfrm flipH="1">
          <a:off x="4267200" y="5572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161925</xdr:rowOff>
    </xdr:from>
    <xdr:to>
      <xdr:col>5</xdr:col>
      <xdr:colOff>419100</xdr:colOff>
      <xdr:row>38</xdr:row>
      <xdr:rowOff>161925</xdr:rowOff>
    </xdr:to>
    <xdr:sp>
      <xdr:nvSpPr>
        <xdr:cNvPr id="20" name="Line 24"/>
        <xdr:cNvSpPr>
          <a:spLocks/>
        </xdr:cNvSpPr>
      </xdr:nvSpPr>
      <xdr:spPr>
        <a:xfrm flipH="1">
          <a:off x="4267200" y="6638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39</xdr:row>
      <xdr:rowOff>38100</xdr:rowOff>
    </xdr:from>
    <xdr:to>
      <xdr:col>5</xdr:col>
      <xdr:colOff>428625</xdr:colOff>
      <xdr:row>39</xdr:row>
      <xdr:rowOff>38100</xdr:rowOff>
    </xdr:to>
    <xdr:sp>
      <xdr:nvSpPr>
        <xdr:cNvPr id="21" name="Line 25"/>
        <xdr:cNvSpPr>
          <a:spLocks/>
        </xdr:cNvSpPr>
      </xdr:nvSpPr>
      <xdr:spPr>
        <a:xfrm flipH="1">
          <a:off x="4276725" y="6705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95250</xdr:rowOff>
    </xdr:from>
    <xdr:to>
      <xdr:col>5</xdr:col>
      <xdr:colOff>180975</xdr:colOff>
      <xdr:row>38</xdr:row>
      <xdr:rowOff>171450</xdr:rowOff>
    </xdr:to>
    <xdr:sp>
      <xdr:nvSpPr>
        <xdr:cNvPr id="22" name="Line 27"/>
        <xdr:cNvSpPr>
          <a:spLocks/>
        </xdr:cNvSpPr>
      </xdr:nvSpPr>
      <xdr:spPr>
        <a:xfrm flipV="1">
          <a:off x="4286250" y="5562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32</xdr:row>
      <xdr:rowOff>95250</xdr:rowOff>
    </xdr:from>
    <xdr:to>
      <xdr:col>5</xdr:col>
      <xdr:colOff>257175</xdr:colOff>
      <xdr:row>33</xdr:row>
      <xdr:rowOff>47625</xdr:rowOff>
    </xdr:to>
    <xdr:sp>
      <xdr:nvSpPr>
        <xdr:cNvPr id="23" name="Line 28"/>
        <xdr:cNvSpPr>
          <a:spLocks/>
        </xdr:cNvSpPr>
      </xdr:nvSpPr>
      <xdr:spPr>
        <a:xfrm flipV="1">
          <a:off x="4362450" y="5372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38</xdr:row>
      <xdr:rowOff>190500</xdr:rowOff>
    </xdr:from>
    <xdr:to>
      <xdr:col>5</xdr:col>
      <xdr:colOff>257175</xdr:colOff>
      <xdr:row>39</xdr:row>
      <xdr:rowOff>95250</xdr:rowOff>
    </xdr:to>
    <xdr:sp>
      <xdr:nvSpPr>
        <xdr:cNvPr id="24" name="Line 29"/>
        <xdr:cNvSpPr>
          <a:spLocks/>
        </xdr:cNvSpPr>
      </xdr:nvSpPr>
      <xdr:spPr>
        <a:xfrm flipV="1">
          <a:off x="4362450" y="6667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39</xdr:row>
      <xdr:rowOff>76200</xdr:rowOff>
    </xdr:from>
    <xdr:to>
      <xdr:col>5</xdr:col>
      <xdr:colOff>257175</xdr:colOff>
      <xdr:row>40</xdr:row>
      <xdr:rowOff>19050</xdr:rowOff>
    </xdr:to>
    <xdr:sp>
      <xdr:nvSpPr>
        <xdr:cNvPr id="25" name="Line 30"/>
        <xdr:cNvSpPr>
          <a:spLocks/>
        </xdr:cNvSpPr>
      </xdr:nvSpPr>
      <xdr:spPr>
        <a:xfrm>
          <a:off x="4362450" y="67437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32</xdr:row>
      <xdr:rowOff>152400</xdr:rowOff>
    </xdr:from>
    <xdr:to>
      <xdr:col>5</xdr:col>
      <xdr:colOff>171450</xdr:colOff>
      <xdr:row>34</xdr:row>
      <xdr:rowOff>0</xdr:rowOff>
    </xdr:to>
    <xdr:sp>
      <xdr:nvSpPr>
        <xdr:cNvPr id="26" name="Text Box 31"/>
        <xdr:cNvSpPr txBox="1">
          <a:spLocks noChangeArrowheads="1"/>
        </xdr:cNvSpPr>
      </xdr:nvSpPr>
      <xdr:spPr>
        <a:xfrm>
          <a:off x="3981450" y="542925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38</xdr:row>
      <xdr:rowOff>76200</xdr:rowOff>
    </xdr:from>
    <xdr:to>
      <xdr:col>5</xdr:col>
      <xdr:colOff>266700</xdr:colOff>
      <xdr:row>39</xdr:row>
      <xdr:rowOff>104775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3933825" y="65532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35</xdr:row>
      <xdr:rowOff>161925</xdr:rowOff>
    </xdr:from>
    <xdr:to>
      <xdr:col>8</xdr:col>
      <xdr:colOff>9525</xdr:colOff>
      <xdr:row>35</xdr:row>
      <xdr:rowOff>161925</xdr:rowOff>
    </xdr:to>
    <xdr:sp>
      <xdr:nvSpPr>
        <xdr:cNvPr id="28" name="Line 33"/>
        <xdr:cNvSpPr>
          <a:spLocks/>
        </xdr:cNvSpPr>
      </xdr:nvSpPr>
      <xdr:spPr>
        <a:xfrm>
          <a:off x="3600450" y="6048375"/>
          <a:ext cx="24003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57150</xdr:rowOff>
    </xdr:from>
    <xdr:to>
      <xdr:col>4</xdr:col>
      <xdr:colOff>209550</xdr:colOff>
      <xdr:row>36</xdr:row>
      <xdr:rowOff>57150</xdr:rowOff>
    </xdr:to>
    <xdr:sp>
      <xdr:nvSpPr>
        <xdr:cNvPr id="29" name="Text Box 34"/>
        <xdr:cNvSpPr txBox="1">
          <a:spLocks noChangeArrowheads="1"/>
        </xdr:cNvSpPr>
      </xdr:nvSpPr>
      <xdr:spPr>
        <a:xfrm>
          <a:off x="3505200" y="59436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30</xdr:row>
      <xdr:rowOff>0</xdr:rowOff>
    </xdr:from>
    <xdr:to>
      <xdr:col>6</xdr:col>
      <xdr:colOff>228600</xdr:colOff>
      <xdr:row>40</xdr:row>
      <xdr:rowOff>190500</xdr:rowOff>
    </xdr:to>
    <xdr:sp>
      <xdr:nvSpPr>
        <xdr:cNvPr id="30" name="Line 35"/>
        <xdr:cNvSpPr>
          <a:spLocks/>
        </xdr:cNvSpPr>
      </xdr:nvSpPr>
      <xdr:spPr>
        <a:xfrm>
          <a:off x="5000625" y="4895850"/>
          <a:ext cx="0" cy="21526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85725</xdr:rowOff>
    </xdr:from>
    <xdr:to>
      <xdr:col>6</xdr:col>
      <xdr:colOff>228600</xdr:colOff>
      <xdr:row>30</xdr:row>
      <xdr:rowOff>114300</xdr:rowOff>
    </xdr:to>
    <xdr:sp>
      <xdr:nvSpPr>
        <xdr:cNvPr id="31" name="Line 36"/>
        <xdr:cNvSpPr>
          <a:spLocks/>
        </xdr:cNvSpPr>
      </xdr:nvSpPr>
      <xdr:spPr>
        <a:xfrm flipV="1">
          <a:off x="5000625" y="4981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457200</xdr:colOff>
      <xdr:row>32</xdr:row>
      <xdr:rowOff>171450</xdr:rowOff>
    </xdr:to>
    <xdr:sp>
      <xdr:nvSpPr>
        <xdr:cNvPr id="32" name="Text Box 37"/>
        <xdr:cNvSpPr txBox="1">
          <a:spLocks noChangeArrowheads="1"/>
        </xdr:cNvSpPr>
      </xdr:nvSpPr>
      <xdr:spPr>
        <a:xfrm>
          <a:off x="4857750" y="5181600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76200</xdr:colOff>
      <xdr:row>39</xdr:row>
      <xdr:rowOff>123825</xdr:rowOff>
    </xdr:from>
    <xdr:to>
      <xdr:col>6</xdr:col>
      <xdr:colOff>428625</xdr:colOff>
      <xdr:row>40</xdr:row>
      <xdr:rowOff>171450</xdr:rowOff>
    </xdr:to>
    <xdr:sp>
      <xdr:nvSpPr>
        <xdr:cNvPr id="33" name="Text Box 38"/>
        <xdr:cNvSpPr txBox="1">
          <a:spLocks noChangeArrowheads="1"/>
        </xdr:cNvSpPr>
      </xdr:nvSpPr>
      <xdr:spPr>
        <a:xfrm>
          <a:off x="4848225" y="67913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6</xdr:col>
      <xdr:colOff>285750</xdr:colOff>
      <xdr:row>29</xdr:row>
      <xdr:rowOff>85725</xdr:rowOff>
    </xdr:from>
    <xdr:to>
      <xdr:col>6</xdr:col>
      <xdr:colOff>552450</xdr:colOff>
      <xdr:row>30</xdr:row>
      <xdr:rowOff>66675</xdr:rowOff>
    </xdr:to>
    <xdr:sp>
      <xdr:nvSpPr>
        <xdr:cNvPr id="34" name="Text Box 39"/>
        <xdr:cNvSpPr txBox="1">
          <a:spLocks noChangeArrowheads="1"/>
        </xdr:cNvSpPr>
      </xdr:nvSpPr>
      <xdr:spPr>
        <a:xfrm>
          <a:off x="5057775" y="47910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40</xdr:row>
      <xdr:rowOff>114300</xdr:rowOff>
    </xdr:from>
    <xdr:to>
      <xdr:col>6</xdr:col>
      <xdr:colOff>333375</xdr:colOff>
      <xdr:row>41</xdr:row>
      <xdr:rowOff>95250</xdr:rowOff>
    </xdr:to>
    <xdr:sp>
      <xdr:nvSpPr>
        <xdr:cNvPr id="35" name="Text Box 40"/>
        <xdr:cNvSpPr txBox="1">
          <a:spLocks noChangeArrowheads="1"/>
        </xdr:cNvSpPr>
      </xdr:nvSpPr>
      <xdr:spPr>
        <a:xfrm>
          <a:off x="4838700" y="69723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190500</xdr:colOff>
      <xdr:row>33</xdr:row>
      <xdr:rowOff>114300</xdr:rowOff>
    </xdr:from>
    <xdr:to>
      <xdr:col>6</xdr:col>
      <xdr:colOff>266700</xdr:colOff>
      <xdr:row>38</xdr:row>
      <xdr:rowOff>161925</xdr:rowOff>
    </xdr:to>
    <xdr:sp>
      <xdr:nvSpPr>
        <xdr:cNvPr id="36" name="Rectangle 41"/>
        <xdr:cNvSpPr>
          <a:spLocks/>
        </xdr:cNvSpPr>
      </xdr:nvSpPr>
      <xdr:spPr>
        <a:xfrm>
          <a:off x="4962525" y="5581650"/>
          <a:ext cx="762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85725</xdr:rowOff>
    </xdr:from>
    <xdr:to>
      <xdr:col>7</xdr:col>
      <xdr:colOff>0</xdr:colOff>
      <xdr:row>32</xdr:row>
      <xdr:rowOff>180975</xdr:rowOff>
    </xdr:to>
    <xdr:sp>
      <xdr:nvSpPr>
        <xdr:cNvPr id="37" name="Line 42"/>
        <xdr:cNvSpPr>
          <a:spLocks/>
        </xdr:cNvSpPr>
      </xdr:nvSpPr>
      <xdr:spPr>
        <a:xfrm flipV="1">
          <a:off x="5381625" y="5362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38" name="Rectangle 47"/>
        <xdr:cNvSpPr>
          <a:spLocks/>
        </xdr:cNvSpPr>
      </xdr:nvSpPr>
      <xdr:spPr>
        <a:xfrm>
          <a:off x="0" y="0"/>
          <a:ext cx="2143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33</xdr:row>
      <xdr:rowOff>38100</xdr:rowOff>
    </xdr:from>
    <xdr:to>
      <xdr:col>7</xdr:col>
      <xdr:colOff>19050</xdr:colOff>
      <xdr:row>33</xdr:row>
      <xdr:rowOff>104775</xdr:rowOff>
    </xdr:to>
    <xdr:sp>
      <xdr:nvSpPr>
        <xdr:cNvPr id="39" name="Rectangle 49"/>
        <xdr:cNvSpPr>
          <a:spLocks/>
        </xdr:cNvSpPr>
      </xdr:nvSpPr>
      <xdr:spPr>
        <a:xfrm>
          <a:off x="4591050" y="5505450"/>
          <a:ext cx="809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35</xdr:row>
      <xdr:rowOff>161925</xdr:rowOff>
    </xdr:from>
    <xdr:to>
      <xdr:col>8</xdr:col>
      <xdr:colOff>276225</xdr:colOff>
      <xdr:row>35</xdr:row>
      <xdr:rowOff>161925</xdr:rowOff>
    </xdr:to>
    <xdr:sp>
      <xdr:nvSpPr>
        <xdr:cNvPr id="40" name="Line 57"/>
        <xdr:cNvSpPr>
          <a:spLocks/>
        </xdr:cNvSpPr>
      </xdr:nvSpPr>
      <xdr:spPr>
        <a:xfrm>
          <a:off x="5962650" y="6048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43</xdr:row>
      <xdr:rowOff>38100</xdr:rowOff>
    </xdr:from>
    <xdr:to>
      <xdr:col>0</xdr:col>
      <xdr:colOff>638175</xdr:colOff>
      <xdr:row>43</xdr:row>
      <xdr:rowOff>38100</xdr:rowOff>
    </xdr:to>
    <xdr:sp>
      <xdr:nvSpPr>
        <xdr:cNvPr id="41" name="Line 65"/>
        <xdr:cNvSpPr>
          <a:spLocks/>
        </xdr:cNvSpPr>
      </xdr:nvSpPr>
      <xdr:spPr>
        <a:xfrm>
          <a:off x="523875" y="7505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57150</xdr:rowOff>
    </xdr:from>
    <xdr:to>
      <xdr:col>8</xdr:col>
      <xdr:colOff>495300</xdr:colOff>
      <xdr:row>37</xdr:row>
      <xdr:rowOff>76200</xdr:rowOff>
    </xdr:to>
    <xdr:sp>
      <xdr:nvSpPr>
        <xdr:cNvPr id="42" name="Text Box 70"/>
        <xdr:cNvSpPr txBox="1">
          <a:spLocks noChangeArrowheads="1"/>
        </xdr:cNvSpPr>
      </xdr:nvSpPr>
      <xdr:spPr>
        <a:xfrm>
          <a:off x="6010275" y="6134100"/>
          <a:ext cx="476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29</xdr:row>
      <xdr:rowOff>66675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587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523875</xdr:colOff>
      <xdr:row>44</xdr:row>
      <xdr:rowOff>47625</xdr:rowOff>
    </xdr:from>
    <xdr:to>
      <xdr:col>0</xdr:col>
      <xdr:colOff>638175</xdr:colOff>
      <xdr:row>44</xdr:row>
      <xdr:rowOff>47625</xdr:rowOff>
    </xdr:to>
    <xdr:sp>
      <xdr:nvSpPr>
        <xdr:cNvPr id="2" name="Line 2"/>
        <xdr:cNvSpPr>
          <a:spLocks/>
        </xdr:cNvSpPr>
      </xdr:nvSpPr>
      <xdr:spPr>
        <a:xfrm>
          <a:off x="523875" y="8848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16</xdr:row>
      <xdr:rowOff>38100</xdr:rowOff>
    </xdr:from>
    <xdr:to>
      <xdr:col>15</xdr:col>
      <xdr:colOff>485775</xdr:colOff>
      <xdr:row>16</xdr:row>
      <xdr:rowOff>38100</xdr:rowOff>
    </xdr:to>
    <xdr:sp>
      <xdr:nvSpPr>
        <xdr:cNvPr id="3" name="Line 3"/>
        <xdr:cNvSpPr>
          <a:spLocks/>
        </xdr:cNvSpPr>
      </xdr:nvSpPr>
      <xdr:spPr>
        <a:xfrm>
          <a:off x="11506200" y="3181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35</xdr:row>
      <xdr:rowOff>123825</xdr:rowOff>
    </xdr:from>
    <xdr:to>
      <xdr:col>7</xdr:col>
      <xdr:colOff>219075</xdr:colOff>
      <xdr:row>36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838700" y="7115175"/>
          <a:ext cx="1428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38</xdr:row>
      <xdr:rowOff>161925</xdr:rowOff>
    </xdr:from>
    <xdr:to>
      <xdr:col>7</xdr:col>
      <xdr:colOff>0</xdr:colOff>
      <xdr:row>39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4924425" y="7743825"/>
          <a:ext cx="112395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34</xdr:row>
      <xdr:rowOff>190500</xdr:rowOff>
    </xdr:from>
    <xdr:to>
      <xdr:col>5</xdr:col>
      <xdr:colOff>19050</xdr:colOff>
      <xdr:row>36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62375" y="6953250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8</xdr:col>
      <xdr:colOff>200025</xdr:colOff>
      <xdr:row>34</xdr:row>
      <xdr:rowOff>180975</xdr:rowOff>
    </xdr:from>
    <xdr:to>
      <xdr:col>8</xdr:col>
      <xdr:colOff>400050</xdr:colOff>
      <xdr:row>35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58000" y="6943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29</xdr:row>
      <xdr:rowOff>142875</xdr:rowOff>
    </xdr:from>
    <xdr:to>
      <xdr:col>6</xdr:col>
      <xdr:colOff>323850</xdr:colOff>
      <xdr:row>30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95925" y="59531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933450</xdr:colOff>
      <xdr:row>30</xdr:row>
      <xdr:rowOff>95250</xdr:rowOff>
    </xdr:from>
    <xdr:to>
      <xdr:col>5</xdr:col>
      <xdr:colOff>981075</xdr:colOff>
      <xdr:row>31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391150" y="6096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29</xdr:row>
      <xdr:rowOff>142875</xdr:rowOff>
    </xdr:from>
    <xdr:to>
      <xdr:col>6</xdr:col>
      <xdr:colOff>228600</xdr:colOff>
      <xdr:row>30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5667375" y="5953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95250</xdr:rowOff>
    </xdr:from>
    <xdr:to>
      <xdr:col>5</xdr:col>
      <xdr:colOff>866775</xdr:colOff>
      <xdr:row>11</xdr:row>
      <xdr:rowOff>95250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086350" y="20193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466725</xdr:colOff>
      <xdr:row>32</xdr:row>
      <xdr:rowOff>76200</xdr:rowOff>
    </xdr:from>
    <xdr:to>
      <xdr:col>5</xdr:col>
      <xdr:colOff>466725</xdr:colOff>
      <xdr:row>32</xdr:row>
      <xdr:rowOff>171450</xdr:rowOff>
    </xdr:to>
    <xdr:sp>
      <xdr:nvSpPr>
        <xdr:cNvPr id="12" name="Line 12"/>
        <xdr:cNvSpPr>
          <a:spLocks/>
        </xdr:cNvSpPr>
      </xdr:nvSpPr>
      <xdr:spPr>
        <a:xfrm flipV="1">
          <a:off x="4924425" y="6457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32</xdr:row>
      <xdr:rowOff>123825</xdr:rowOff>
    </xdr:from>
    <xdr:to>
      <xdr:col>6</xdr:col>
      <xdr:colOff>600075</xdr:colOff>
      <xdr:row>32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924425" y="6505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12</xdr:row>
      <xdr:rowOff>66675</xdr:rowOff>
    </xdr:from>
    <xdr:to>
      <xdr:col>6</xdr:col>
      <xdr:colOff>57150</xdr:colOff>
      <xdr:row>13</xdr:row>
      <xdr:rowOff>114300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238750" y="237172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476250</xdr:colOff>
      <xdr:row>39</xdr:row>
      <xdr:rowOff>57150</xdr:rowOff>
    </xdr:from>
    <xdr:to>
      <xdr:col>5</xdr:col>
      <xdr:colOff>476250</xdr:colOff>
      <xdr:row>39</xdr:row>
      <xdr:rowOff>152400</xdr:rowOff>
    </xdr:to>
    <xdr:sp>
      <xdr:nvSpPr>
        <xdr:cNvPr id="15" name="Line 15"/>
        <xdr:cNvSpPr>
          <a:spLocks/>
        </xdr:cNvSpPr>
      </xdr:nvSpPr>
      <xdr:spPr>
        <a:xfrm flipV="1">
          <a:off x="4933950" y="7829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39</xdr:row>
      <xdr:rowOff>152400</xdr:rowOff>
    </xdr:to>
    <xdr:sp>
      <xdr:nvSpPr>
        <xdr:cNvPr id="16" name="Line 16"/>
        <xdr:cNvSpPr>
          <a:spLocks/>
        </xdr:cNvSpPr>
      </xdr:nvSpPr>
      <xdr:spPr>
        <a:xfrm flipV="1">
          <a:off x="6048375" y="7829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39</xdr:row>
      <xdr:rowOff>142875</xdr:rowOff>
    </xdr:from>
    <xdr:to>
      <xdr:col>7</xdr:col>
      <xdr:colOff>9525</xdr:colOff>
      <xdr:row>39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4933950" y="79152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14</xdr:row>
      <xdr:rowOff>0</xdr:rowOff>
    </xdr:from>
    <xdr:to>
      <xdr:col>6</xdr:col>
      <xdr:colOff>19050</xdr:colOff>
      <xdr:row>14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305425" y="2724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38100</xdr:rowOff>
    </xdr:from>
    <xdr:to>
      <xdr:col>5</xdr:col>
      <xdr:colOff>419100</xdr:colOff>
      <xdr:row>33</xdr:row>
      <xdr:rowOff>38100</xdr:rowOff>
    </xdr:to>
    <xdr:sp>
      <xdr:nvSpPr>
        <xdr:cNvPr id="19" name="Line 19"/>
        <xdr:cNvSpPr>
          <a:spLocks/>
        </xdr:cNvSpPr>
      </xdr:nvSpPr>
      <xdr:spPr>
        <a:xfrm flipH="1">
          <a:off x="4619625" y="6610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104775</xdr:rowOff>
    </xdr:from>
    <xdr:to>
      <xdr:col>5</xdr:col>
      <xdr:colOff>419100</xdr:colOff>
      <xdr:row>33</xdr:row>
      <xdr:rowOff>104775</xdr:rowOff>
    </xdr:to>
    <xdr:sp>
      <xdr:nvSpPr>
        <xdr:cNvPr id="20" name="Line 20"/>
        <xdr:cNvSpPr>
          <a:spLocks/>
        </xdr:cNvSpPr>
      </xdr:nvSpPr>
      <xdr:spPr>
        <a:xfrm flipH="1">
          <a:off x="4619625" y="66770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161925</xdr:rowOff>
    </xdr:from>
    <xdr:to>
      <xdr:col>5</xdr:col>
      <xdr:colOff>419100</xdr:colOff>
      <xdr:row>38</xdr:row>
      <xdr:rowOff>161925</xdr:rowOff>
    </xdr:to>
    <xdr:sp>
      <xdr:nvSpPr>
        <xdr:cNvPr id="21" name="Line 21"/>
        <xdr:cNvSpPr>
          <a:spLocks/>
        </xdr:cNvSpPr>
      </xdr:nvSpPr>
      <xdr:spPr>
        <a:xfrm flipH="1">
          <a:off x="4619625" y="7743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39</xdr:row>
      <xdr:rowOff>38100</xdr:rowOff>
    </xdr:from>
    <xdr:to>
      <xdr:col>5</xdr:col>
      <xdr:colOff>428625</xdr:colOff>
      <xdr:row>39</xdr:row>
      <xdr:rowOff>38100</xdr:rowOff>
    </xdr:to>
    <xdr:sp>
      <xdr:nvSpPr>
        <xdr:cNvPr id="22" name="Line 22"/>
        <xdr:cNvSpPr>
          <a:spLocks/>
        </xdr:cNvSpPr>
      </xdr:nvSpPr>
      <xdr:spPr>
        <a:xfrm flipH="1">
          <a:off x="4629150" y="7810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95250</xdr:rowOff>
    </xdr:from>
    <xdr:to>
      <xdr:col>5</xdr:col>
      <xdr:colOff>180975</xdr:colOff>
      <xdr:row>38</xdr:row>
      <xdr:rowOff>171450</xdr:rowOff>
    </xdr:to>
    <xdr:sp>
      <xdr:nvSpPr>
        <xdr:cNvPr id="23" name="Line 23"/>
        <xdr:cNvSpPr>
          <a:spLocks/>
        </xdr:cNvSpPr>
      </xdr:nvSpPr>
      <xdr:spPr>
        <a:xfrm flipV="1">
          <a:off x="4638675" y="66675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32</xdr:row>
      <xdr:rowOff>95250</xdr:rowOff>
    </xdr:from>
    <xdr:to>
      <xdr:col>5</xdr:col>
      <xdr:colOff>257175</xdr:colOff>
      <xdr:row>33</xdr:row>
      <xdr:rowOff>47625</xdr:rowOff>
    </xdr:to>
    <xdr:sp>
      <xdr:nvSpPr>
        <xdr:cNvPr id="24" name="Line 24"/>
        <xdr:cNvSpPr>
          <a:spLocks/>
        </xdr:cNvSpPr>
      </xdr:nvSpPr>
      <xdr:spPr>
        <a:xfrm flipV="1">
          <a:off x="4714875" y="6477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38</xdr:row>
      <xdr:rowOff>190500</xdr:rowOff>
    </xdr:from>
    <xdr:to>
      <xdr:col>5</xdr:col>
      <xdr:colOff>257175</xdr:colOff>
      <xdr:row>39</xdr:row>
      <xdr:rowOff>95250</xdr:rowOff>
    </xdr:to>
    <xdr:sp>
      <xdr:nvSpPr>
        <xdr:cNvPr id="25" name="Line 25"/>
        <xdr:cNvSpPr>
          <a:spLocks/>
        </xdr:cNvSpPr>
      </xdr:nvSpPr>
      <xdr:spPr>
        <a:xfrm flipV="1">
          <a:off x="4714875" y="7772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39</xdr:row>
      <xdr:rowOff>76200</xdr:rowOff>
    </xdr:from>
    <xdr:to>
      <xdr:col>5</xdr:col>
      <xdr:colOff>257175</xdr:colOff>
      <xdr:row>40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471487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32</xdr:row>
      <xdr:rowOff>152400</xdr:rowOff>
    </xdr:from>
    <xdr:to>
      <xdr:col>5</xdr:col>
      <xdr:colOff>171450</xdr:colOff>
      <xdr:row>34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3971925" y="65341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428625</xdr:colOff>
      <xdr:row>38</xdr:row>
      <xdr:rowOff>76200</xdr:rowOff>
    </xdr:from>
    <xdr:to>
      <xdr:col>5</xdr:col>
      <xdr:colOff>266700</xdr:colOff>
      <xdr:row>39</xdr:row>
      <xdr:rowOff>104775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924300" y="765810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35</xdr:row>
      <xdr:rowOff>161925</xdr:rowOff>
    </xdr:from>
    <xdr:to>
      <xdr:col>8</xdr:col>
      <xdr:colOff>9525</xdr:colOff>
      <xdr:row>35</xdr:row>
      <xdr:rowOff>161925</xdr:rowOff>
    </xdr:to>
    <xdr:sp>
      <xdr:nvSpPr>
        <xdr:cNvPr id="29" name="Line 29"/>
        <xdr:cNvSpPr>
          <a:spLocks/>
        </xdr:cNvSpPr>
      </xdr:nvSpPr>
      <xdr:spPr>
        <a:xfrm>
          <a:off x="3600450" y="7153275"/>
          <a:ext cx="30670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57150</xdr:rowOff>
    </xdr:from>
    <xdr:to>
      <xdr:col>4</xdr:col>
      <xdr:colOff>209550</xdr:colOff>
      <xdr:row>36</xdr:row>
      <xdr:rowOff>57150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3505200" y="7048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30</xdr:row>
      <xdr:rowOff>0</xdr:rowOff>
    </xdr:from>
    <xdr:to>
      <xdr:col>6</xdr:col>
      <xdr:colOff>228600</xdr:colOff>
      <xdr:row>40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5667375" y="6000750"/>
          <a:ext cx="0" cy="21526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85725</xdr:rowOff>
    </xdr:from>
    <xdr:to>
      <xdr:col>6</xdr:col>
      <xdr:colOff>228600</xdr:colOff>
      <xdr:row>30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5667375" y="60864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457200</xdr:colOff>
      <xdr:row>32</xdr:row>
      <xdr:rowOff>171450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5524500" y="6286500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76200</xdr:colOff>
      <xdr:row>39</xdr:row>
      <xdr:rowOff>123825</xdr:rowOff>
    </xdr:from>
    <xdr:to>
      <xdr:col>6</xdr:col>
      <xdr:colOff>428625</xdr:colOff>
      <xdr:row>40</xdr:row>
      <xdr:rowOff>171450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5514975" y="78962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6</xdr:col>
      <xdr:colOff>285750</xdr:colOff>
      <xdr:row>29</xdr:row>
      <xdr:rowOff>85725</xdr:rowOff>
    </xdr:from>
    <xdr:to>
      <xdr:col>6</xdr:col>
      <xdr:colOff>552450</xdr:colOff>
      <xdr:row>30</xdr:row>
      <xdr:rowOff>66675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724525" y="58959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40</xdr:row>
      <xdr:rowOff>114300</xdr:rowOff>
    </xdr:from>
    <xdr:to>
      <xdr:col>6</xdr:col>
      <xdr:colOff>333375</xdr:colOff>
      <xdr:row>41</xdr:row>
      <xdr:rowOff>95250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5505450" y="80772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190500</xdr:colOff>
      <xdr:row>33</xdr:row>
      <xdr:rowOff>114300</xdr:rowOff>
    </xdr:from>
    <xdr:to>
      <xdr:col>6</xdr:col>
      <xdr:colOff>266700</xdr:colOff>
      <xdr:row>38</xdr:row>
      <xdr:rowOff>161925</xdr:rowOff>
    </xdr:to>
    <xdr:sp>
      <xdr:nvSpPr>
        <xdr:cNvPr id="37" name="Rectangle 37"/>
        <xdr:cNvSpPr>
          <a:spLocks/>
        </xdr:cNvSpPr>
      </xdr:nvSpPr>
      <xdr:spPr>
        <a:xfrm>
          <a:off x="5629275" y="6686550"/>
          <a:ext cx="762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85725</xdr:rowOff>
    </xdr:from>
    <xdr:to>
      <xdr:col>7</xdr:col>
      <xdr:colOff>0</xdr:colOff>
      <xdr:row>32</xdr:row>
      <xdr:rowOff>180975</xdr:rowOff>
    </xdr:to>
    <xdr:sp>
      <xdr:nvSpPr>
        <xdr:cNvPr id="38" name="Line 38"/>
        <xdr:cNvSpPr>
          <a:spLocks/>
        </xdr:cNvSpPr>
      </xdr:nvSpPr>
      <xdr:spPr>
        <a:xfrm flipV="1">
          <a:off x="6048375" y="646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0" y="0"/>
          <a:ext cx="2143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33</xdr:row>
      <xdr:rowOff>38100</xdr:rowOff>
    </xdr:from>
    <xdr:to>
      <xdr:col>7</xdr:col>
      <xdr:colOff>19050</xdr:colOff>
      <xdr:row>33</xdr:row>
      <xdr:rowOff>104775</xdr:rowOff>
    </xdr:to>
    <xdr:sp>
      <xdr:nvSpPr>
        <xdr:cNvPr id="40" name="Rectangle 42"/>
        <xdr:cNvSpPr>
          <a:spLocks/>
        </xdr:cNvSpPr>
      </xdr:nvSpPr>
      <xdr:spPr>
        <a:xfrm>
          <a:off x="4953000" y="6610350"/>
          <a:ext cx="11144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34</xdr:row>
      <xdr:rowOff>28575</xdr:rowOff>
    </xdr:from>
    <xdr:to>
      <xdr:col>5</xdr:col>
      <xdr:colOff>400050</xdr:colOff>
      <xdr:row>37</xdr:row>
      <xdr:rowOff>133350</xdr:rowOff>
    </xdr:to>
    <xdr:sp>
      <xdr:nvSpPr>
        <xdr:cNvPr id="41" name="Rectangle 43"/>
        <xdr:cNvSpPr>
          <a:spLocks/>
        </xdr:cNvSpPr>
      </xdr:nvSpPr>
      <xdr:spPr>
        <a:xfrm>
          <a:off x="4800600" y="6791325"/>
          <a:ext cx="57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34</xdr:row>
      <xdr:rowOff>28575</xdr:rowOff>
    </xdr:from>
    <xdr:to>
      <xdr:col>7</xdr:col>
      <xdr:colOff>285750</xdr:colOff>
      <xdr:row>37</xdr:row>
      <xdr:rowOff>133350</xdr:rowOff>
    </xdr:to>
    <xdr:sp>
      <xdr:nvSpPr>
        <xdr:cNvPr id="42" name="Rectangle 44"/>
        <xdr:cNvSpPr>
          <a:spLocks/>
        </xdr:cNvSpPr>
      </xdr:nvSpPr>
      <xdr:spPr>
        <a:xfrm>
          <a:off x="6276975" y="6791325"/>
          <a:ext cx="57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36</xdr:row>
      <xdr:rowOff>123825</xdr:rowOff>
    </xdr:from>
    <xdr:to>
      <xdr:col>7</xdr:col>
      <xdr:colOff>257175</xdr:colOff>
      <xdr:row>36</xdr:row>
      <xdr:rowOff>123825</xdr:rowOff>
    </xdr:to>
    <xdr:sp>
      <xdr:nvSpPr>
        <xdr:cNvPr id="43" name="Line 45"/>
        <xdr:cNvSpPr>
          <a:spLocks/>
        </xdr:cNvSpPr>
      </xdr:nvSpPr>
      <xdr:spPr>
        <a:xfrm>
          <a:off x="5686425" y="7305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34</xdr:row>
      <xdr:rowOff>0</xdr:rowOff>
    </xdr:from>
    <xdr:to>
      <xdr:col>7</xdr:col>
      <xdr:colOff>466725</xdr:colOff>
      <xdr:row>37</xdr:row>
      <xdr:rowOff>133350</xdr:rowOff>
    </xdr:to>
    <xdr:sp>
      <xdr:nvSpPr>
        <xdr:cNvPr id="44" name="Line 46"/>
        <xdr:cNvSpPr>
          <a:spLocks/>
        </xdr:cNvSpPr>
      </xdr:nvSpPr>
      <xdr:spPr>
        <a:xfrm flipV="1">
          <a:off x="6515100" y="6762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36</xdr:row>
      <xdr:rowOff>123825</xdr:rowOff>
    </xdr:from>
    <xdr:to>
      <xdr:col>6</xdr:col>
      <xdr:colOff>200025</xdr:colOff>
      <xdr:row>36</xdr:row>
      <xdr:rowOff>123825</xdr:rowOff>
    </xdr:to>
    <xdr:sp>
      <xdr:nvSpPr>
        <xdr:cNvPr id="45" name="Line 47"/>
        <xdr:cNvSpPr>
          <a:spLocks/>
        </xdr:cNvSpPr>
      </xdr:nvSpPr>
      <xdr:spPr>
        <a:xfrm>
          <a:off x="4886325" y="73056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34</xdr:row>
      <xdr:rowOff>0</xdr:rowOff>
    </xdr:from>
    <xdr:to>
      <xdr:col>5</xdr:col>
      <xdr:colOff>285750</xdr:colOff>
      <xdr:row>37</xdr:row>
      <xdr:rowOff>133350</xdr:rowOff>
    </xdr:to>
    <xdr:sp>
      <xdr:nvSpPr>
        <xdr:cNvPr id="46" name="Line 48"/>
        <xdr:cNvSpPr>
          <a:spLocks/>
        </xdr:cNvSpPr>
      </xdr:nvSpPr>
      <xdr:spPr>
        <a:xfrm flipV="1">
          <a:off x="4743450" y="6762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35</xdr:row>
      <xdr:rowOff>161925</xdr:rowOff>
    </xdr:from>
    <xdr:to>
      <xdr:col>8</xdr:col>
      <xdr:colOff>276225</xdr:colOff>
      <xdr:row>35</xdr:row>
      <xdr:rowOff>161925</xdr:rowOff>
    </xdr:to>
    <xdr:sp>
      <xdr:nvSpPr>
        <xdr:cNvPr id="47" name="Line 49"/>
        <xdr:cNvSpPr>
          <a:spLocks/>
        </xdr:cNvSpPr>
      </xdr:nvSpPr>
      <xdr:spPr>
        <a:xfrm>
          <a:off x="6629400" y="7153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43</xdr:row>
      <xdr:rowOff>38100</xdr:rowOff>
    </xdr:from>
    <xdr:to>
      <xdr:col>0</xdr:col>
      <xdr:colOff>638175</xdr:colOff>
      <xdr:row>43</xdr:row>
      <xdr:rowOff>38100</xdr:rowOff>
    </xdr:to>
    <xdr:sp>
      <xdr:nvSpPr>
        <xdr:cNvPr id="48" name="Line 50"/>
        <xdr:cNvSpPr>
          <a:spLocks/>
        </xdr:cNvSpPr>
      </xdr:nvSpPr>
      <xdr:spPr>
        <a:xfrm>
          <a:off x="523875" y="8610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34</xdr:row>
      <xdr:rowOff>123825</xdr:rowOff>
    </xdr:from>
    <xdr:to>
      <xdr:col>8</xdr:col>
      <xdr:colOff>304800</xdr:colOff>
      <xdr:row>35</xdr:row>
      <xdr:rowOff>104775</xdr:rowOff>
    </xdr:to>
    <xdr:sp>
      <xdr:nvSpPr>
        <xdr:cNvPr id="49" name="Text Box 51"/>
        <xdr:cNvSpPr txBox="1">
          <a:spLocks noChangeArrowheads="1"/>
        </xdr:cNvSpPr>
      </xdr:nvSpPr>
      <xdr:spPr>
        <a:xfrm>
          <a:off x="6534150" y="6886575"/>
          <a:ext cx="428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f1
</a:t>
          </a:r>
        </a:p>
      </xdr:txBody>
    </xdr:sp>
    <xdr:clientData/>
  </xdr:twoCellAnchor>
  <xdr:twoCellAnchor>
    <xdr:from>
      <xdr:col>6</xdr:col>
      <xdr:colOff>381000</xdr:colOff>
      <xdr:row>37</xdr:row>
      <xdr:rowOff>38100</xdr:rowOff>
    </xdr:from>
    <xdr:to>
      <xdr:col>7</xdr:col>
      <xdr:colOff>133350</xdr:colOff>
      <xdr:row>38</xdr:row>
      <xdr:rowOff>28575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5819775" y="7410450"/>
          <a:ext cx="361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web1</a:t>
          </a:r>
        </a:p>
      </xdr:txBody>
    </xdr:sp>
    <xdr:clientData/>
  </xdr:twoCellAnchor>
  <xdr:twoCellAnchor>
    <xdr:from>
      <xdr:col>5</xdr:col>
      <xdr:colOff>409575</xdr:colOff>
      <xdr:row>37</xdr:row>
      <xdr:rowOff>47625</xdr:rowOff>
    </xdr:from>
    <xdr:to>
      <xdr:col>6</xdr:col>
      <xdr:colOff>114300</xdr:colOff>
      <xdr:row>38</xdr:row>
      <xdr:rowOff>28575</xdr:rowOff>
    </xdr:to>
    <xdr:sp>
      <xdr:nvSpPr>
        <xdr:cNvPr id="51" name="Text Box 53"/>
        <xdr:cNvSpPr txBox="1">
          <a:spLocks noChangeArrowheads="1"/>
        </xdr:cNvSpPr>
      </xdr:nvSpPr>
      <xdr:spPr>
        <a:xfrm>
          <a:off x="4867275" y="7419975"/>
          <a:ext cx="685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466725</xdr:colOff>
      <xdr:row>34</xdr:row>
      <xdr:rowOff>76200</xdr:rowOff>
    </xdr:from>
    <xdr:to>
      <xdr:col>6</xdr:col>
      <xdr:colOff>104775</xdr:colOff>
      <xdr:row>35</xdr:row>
      <xdr:rowOff>47625</xdr:rowOff>
    </xdr:to>
    <xdr:sp>
      <xdr:nvSpPr>
        <xdr:cNvPr id="52" name="Text Box 54"/>
        <xdr:cNvSpPr txBox="1">
          <a:spLocks noChangeArrowheads="1"/>
        </xdr:cNvSpPr>
      </xdr:nvSpPr>
      <xdr:spPr>
        <a:xfrm>
          <a:off x="4924425" y="6838950"/>
          <a:ext cx="619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f2
</a:t>
          </a:r>
        </a:p>
      </xdr:txBody>
    </xdr:sp>
    <xdr:clientData/>
  </xdr:twoCellAnchor>
  <xdr:twoCellAnchor>
    <xdr:from>
      <xdr:col>8</xdr:col>
      <xdr:colOff>19050</xdr:colOff>
      <xdr:row>36</xdr:row>
      <xdr:rowOff>57150</xdr:rowOff>
    </xdr:from>
    <xdr:to>
      <xdr:col>8</xdr:col>
      <xdr:colOff>495300</xdr:colOff>
      <xdr:row>37</xdr:row>
      <xdr:rowOff>76200</xdr:rowOff>
    </xdr:to>
    <xdr:sp>
      <xdr:nvSpPr>
        <xdr:cNvPr id="53" name="Text Box 55"/>
        <xdr:cNvSpPr txBox="1">
          <a:spLocks noChangeArrowheads="1"/>
        </xdr:cNvSpPr>
      </xdr:nvSpPr>
      <xdr:spPr>
        <a:xfrm>
          <a:off x="6677025" y="7239000"/>
          <a:ext cx="476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1" name="Rectangle 40"/>
        <xdr:cNvSpPr>
          <a:spLocks/>
        </xdr:cNvSpPr>
      </xdr:nvSpPr>
      <xdr:spPr>
        <a:xfrm>
          <a:off x="0" y="0"/>
          <a:ext cx="26670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142875</xdr:rowOff>
    </xdr:from>
    <xdr:to>
      <xdr:col>11</xdr:col>
      <xdr:colOff>533400</xdr:colOff>
      <xdr:row>20</xdr:row>
      <xdr:rowOff>57150</xdr:rowOff>
    </xdr:to>
    <xdr:grpSp>
      <xdr:nvGrpSpPr>
        <xdr:cNvPr id="2" name="Group 361"/>
        <xdr:cNvGrpSpPr>
          <a:grpSpLocks/>
        </xdr:cNvGrpSpPr>
      </xdr:nvGrpSpPr>
      <xdr:grpSpPr>
        <a:xfrm>
          <a:off x="3533775" y="142875"/>
          <a:ext cx="4152900" cy="4076700"/>
          <a:chOff x="399" y="19"/>
          <a:chExt cx="549" cy="530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560" y="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4" name="Rectangle 227"/>
          <xdr:cNvSpPr>
            <a:spLocks/>
          </xdr:cNvSpPr>
        </xdr:nvSpPr>
        <xdr:spPr>
          <a:xfrm>
            <a:off x="484" y="91"/>
            <a:ext cx="161" cy="10"/>
          </a:xfrm>
          <a:prstGeom prst="rect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28"/>
          <xdr:cNvSpPr>
            <a:spLocks/>
          </xdr:cNvSpPr>
        </xdr:nvSpPr>
        <xdr:spPr>
          <a:xfrm>
            <a:off x="563" y="91"/>
            <a:ext cx="8" cy="183"/>
          </a:xfrm>
          <a:prstGeom prst="rect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29"/>
          <xdr:cNvSpPr>
            <a:spLocks/>
          </xdr:cNvSpPr>
        </xdr:nvSpPr>
        <xdr:spPr>
          <a:xfrm>
            <a:off x="471" y="80"/>
            <a:ext cx="185" cy="42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30"/>
          <xdr:cNvSpPr>
            <a:spLocks/>
          </xdr:cNvSpPr>
        </xdr:nvSpPr>
        <xdr:spPr>
          <a:xfrm>
            <a:off x="485" y="276"/>
            <a:ext cx="161" cy="10"/>
          </a:xfrm>
          <a:prstGeom prst="rect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1"/>
          <xdr:cNvSpPr>
            <a:spLocks/>
          </xdr:cNvSpPr>
        </xdr:nvSpPr>
        <xdr:spPr>
          <a:xfrm>
            <a:off x="430" y="81"/>
            <a:ext cx="0" cy="4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232"/>
          <xdr:cNvSpPr txBox="1">
            <a:spLocks noChangeArrowheads="1"/>
          </xdr:cNvSpPr>
        </xdr:nvSpPr>
        <xdr:spPr>
          <a:xfrm>
            <a:off x="409" y="231"/>
            <a:ext cx="2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0" name="Line 233"/>
          <xdr:cNvSpPr>
            <a:spLocks/>
          </xdr:cNvSpPr>
        </xdr:nvSpPr>
        <xdr:spPr>
          <a:xfrm>
            <a:off x="471" y="55"/>
            <a:ext cx="1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234"/>
          <xdr:cNvSpPr txBox="1">
            <a:spLocks noChangeArrowheads="1"/>
          </xdr:cNvSpPr>
        </xdr:nvSpPr>
        <xdr:spPr>
          <a:xfrm>
            <a:off x="549" y="26"/>
            <a:ext cx="3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Line 236"/>
          <xdr:cNvSpPr>
            <a:spLocks/>
          </xdr:cNvSpPr>
        </xdr:nvSpPr>
        <xdr:spPr>
          <a:xfrm flipV="1">
            <a:off x="566" y="19"/>
            <a:ext cx="1" cy="53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39"/>
          <xdr:cNvSpPr>
            <a:spLocks/>
          </xdr:cNvSpPr>
        </xdr:nvSpPr>
        <xdr:spPr>
          <a:xfrm>
            <a:off x="747" y="120"/>
            <a:ext cx="0" cy="3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40"/>
          <xdr:cNvSpPr>
            <a:spLocks/>
          </xdr:cNvSpPr>
        </xdr:nvSpPr>
        <xdr:spPr>
          <a:xfrm>
            <a:off x="705" y="158"/>
            <a:ext cx="0" cy="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241"/>
          <xdr:cNvSpPr txBox="1">
            <a:spLocks noChangeArrowheads="1"/>
          </xdr:cNvSpPr>
        </xdr:nvSpPr>
        <xdr:spPr>
          <a:xfrm>
            <a:off x="745" y="293"/>
            <a:ext cx="4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Y</a:t>
            </a:r>
            <a:r>
              <a:rPr lang="en-US" cap="none" sz="12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16" name="Text Box 242"/>
          <xdr:cNvSpPr txBox="1">
            <a:spLocks noChangeArrowheads="1"/>
          </xdr:cNvSpPr>
        </xdr:nvSpPr>
        <xdr:spPr>
          <a:xfrm>
            <a:off x="702" y="288"/>
            <a:ext cx="37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Y</a:t>
            </a:r>
            <a:r>
              <a:rPr lang="en-US" cap="none" sz="12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17" name="Line 243"/>
          <xdr:cNvSpPr>
            <a:spLocks/>
          </xdr:cNvSpPr>
        </xdr:nvSpPr>
        <xdr:spPr>
          <a:xfrm>
            <a:off x="399" y="501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44"/>
          <xdr:cNvSpPr>
            <a:spLocks/>
          </xdr:cNvSpPr>
        </xdr:nvSpPr>
        <xdr:spPr>
          <a:xfrm>
            <a:off x="657" y="502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45"/>
          <xdr:cNvSpPr>
            <a:spLocks/>
          </xdr:cNvSpPr>
        </xdr:nvSpPr>
        <xdr:spPr>
          <a:xfrm>
            <a:off x="471" y="46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46"/>
          <xdr:cNvSpPr>
            <a:spLocks/>
          </xdr:cNvSpPr>
        </xdr:nvSpPr>
        <xdr:spPr>
          <a:xfrm>
            <a:off x="655" y="46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47"/>
          <xdr:cNvSpPr>
            <a:spLocks/>
          </xdr:cNvSpPr>
        </xdr:nvSpPr>
        <xdr:spPr>
          <a:xfrm flipH="1">
            <a:off x="645" y="119"/>
            <a:ext cx="11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48"/>
          <xdr:cNvSpPr>
            <a:spLocks/>
          </xdr:cNvSpPr>
        </xdr:nvSpPr>
        <xdr:spPr>
          <a:xfrm flipH="1">
            <a:off x="650" y="158"/>
            <a:ext cx="7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9"/>
          <xdr:cNvSpPr>
            <a:spLocks/>
          </xdr:cNvSpPr>
        </xdr:nvSpPr>
        <xdr:spPr>
          <a:xfrm flipH="1">
            <a:off x="410" y="80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72"/>
          <xdr:cNvSpPr>
            <a:spLocks/>
          </xdr:cNvSpPr>
        </xdr:nvSpPr>
        <xdr:spPr>
          <a:xfrm>
            <a:off x="596" y="112"/>
            <a:ext cx="14" cy="13"/>
          </a:xfrm>
          <a:prstGeom prst="flowChar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73"/>
          <xdr:cNvSpPr>
            <a:spLocks/>
          </xdr:cNvSpPr>
        </xdr:nvSpPr>
        <xdr:spPr>
          <a:xfrm>
            <a:off x="603" y="113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74"/>
          <xdr:cNvSpPr>
            <a:spLocks/>
          </xdr:cNvSpPr>
        </xdr:nvSpPr>
        <xdr:spPr>
          <a:xfrm>
            <a:off x="601" y="113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5"/>
          <xdr:cNvSpPr>
            <a:spLocks/>
          </xdr:cNvSpPr>
        </xdr:nvSpPr>
        <xdr:spPr>
          <a:xfrm>
            <a:off x="600" y="113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76"/>
          <xdr:cNvSpPr>
            <a:spLocks/>
          </xdr:cNvSpPr>
        </xdr:nvSpPr>
        <xdr:spPr>
          <a:xfrm>
            <a:off x="599" y="11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77"/>
          <xdr:cNvSpPr>
            <a:spLocks/>
          </xdr:cNvSpPr>
        </xdr:nvSpPr>
        <xdr:spPr>
          <a:xfrm>
            <a:off x="598" y="115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78"/>
          <xdr:cNvSpPr>
            <a:spLocks/>
          </xdr:cNvSpPr>
        </xdr:nvSpPr>
        <xdr:spPr>
          <a:xfrm>
            <a:off x="608" y="11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79"/>
          <xdr:cNvSpPr>
            <a:spLocks/>
          </xdr:cNvSpPr>
        </xdr:nvSpPr>
        <xdr:spPr>
          <a:xfrm>
            <a:off x="607" y="11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80"/>
          <xdr:cNvSpPr>
            <a:spLocks/>
          </xdr:cNvSpPr>
        </xdr:nvSpPr>
        <xdr:spPr>
          <a:xfrm>
            <a:off x="605" y="11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281"/>
          <xdr:cNvSpPr>
            <a:spLocks/>
          </xdr:cNvSpPr>
        </xdr:nvSpPr>
        <xdr:spPr>
          <a:xfrm>
            <a:off x="604" y="11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82"/>
          <xdr:cNvSpPr>
            <a:spLocks/>
          </xdr:cNvSpPr>
        </xdr:nvSpPr>
        <xdr:spPr>
          <a:xfrm>
            <a:off x="609" y="11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94"/>
          <xdr:cNvSpPr>
            <a:spLocks/>
          </xdr:cNvSpPr>
        </xdr:nvSpPr>
        <xdr:spPr>
          <a:xfrm>
            <a:off x="596" y="148"/>
            <a:ext cx="14" cy="14"/>
          </a:xfrm>
          <a:prstGeom prst="flowChar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295"/>
          <xdr:cNvSpPr>
            <a:spLocks/>
          </xdr:cNvSpPr>
        </xdr:nvSpPr>
        <xdr:spPr>
          <a:xfrm>
            <a:off x="603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296"/>
          <xdr:cNvSpPr>
            <a:spLocks/>
          </xdr:cNvSpPr>
        </xdr:nvSpPr>
        <xdr:spPr>
          <a:xfrm>
            <a:off x="601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297"/>
          <xdr:cNvSpPr>
            <a:spLocks/>
          </xdr:cNvSpPr>
        </xdr:nvSpPr>
        <xdr:spPr>
          <a:xfrm>
            <a:off x="600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298"/>
          <xdr:cNvSpPr>
            <a:spLocks/>
          </xdr:cNvSpPr>
        </xdr:nvSpPr>
        <xdr:spPr>
          <a:xfrm>
            <a:off x="599" y="150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299"/>
          <xdr:cNvSpPr>
            <a:spLocks/>
          </xdr:cNvSpPr>
        </xdr:nvSpPr>
        <xdr:spPr>
          <a:xfrm>
            <a:off x="598" y="15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00"/>
          <xdr:cNvSpPr>
            <a:spLocks/>
          </xdr:cNvSpPr>
        </xdr:nvSpPr>
        <xdr:spPr>
          <a:xfrm>
            <a:off x="608" y="15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01"/>
          <xdr:cNvSpPr>
            <a:spLocks/>
          </xdr:cNvSpPr>
        </xdr:nvSpPr>
        <xdr:spPr>
          <a:xfrm>
            <a:off x="605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02"/>
          <xdr:cNvSpPr>
            <a:spLocks/>
          </xdr:cNvSpPr>
        </xdr:nvSpPr>
        <xdr:spPr>
          <a:xfrm>
            <a:off x="604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03"/>
          <xdr:cNvSpPr>
            <a:spLocks/>
          </xdr:cNvSpPr>
        </xdr:nvSpPr>
        <xdr:spPr>
          <a:xfrm>
            <a:off x="609" y="155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15"/>
          <xdr:cNvSpPr>
            <a:spLocks/>
          </xdr:cNvSpPr>
        </xdr:nvSpPr>
        <xdr:spPr>
          <a:xfrm>
            <a:off x="607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316"/>
          <xdr:cNvSpPr>
            <a:spLocks/>
          </xdr:cNvSpPr>
        </xdr:nvSpPr>
        <xdr:spPr>
          <a:xfrm>
            <a:off x="563" y="274"/>
            <a:ext cx="8" cy="217"/>
          </a:xfrm>
          <a:prstGeom prst="rect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317"/>
          <xdr:cNvSpPr>
            <a:spLocks/>
          </xdr:cNvSpPr>
        </xdr:nvSpPr>
        <xdr:spPr>
          <a:xfrm>
            <a:off x="485" y="481"/>
            <a:ext cx="161" cy="10"/>
          </a:xfrm>
          <a:prstGeom prst="rect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318"/>
          <xdr:cNvSpPr>
            <a:spLocks/>
          </xdr:cNvSpPr>
        </xdr:nvSpPr>
        <xdr:spPr>
          <a:xfrm>
            <a:off x="596" y="447"/>
            <a:ext cx="14" cy="14"/>
          </a:xfrm>
          <a:prstGeom prst="flowChar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19"/>
          <xdr:cNvSpPr>
            <a:spLocks/>
          </xdr:cNvSpPr>
        </xdr:nvSpPr>
        <xdr:spPr>
          <a:xfrm>
            <a:off x="603" y="448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20"/>
          <xdr:cNvSpPr>
            <a:spLocks/>
          </xdr:cNvSpPr>
        </xdr:nvSpPr>
        <xdr:spPr>
          <a:xfrm>
            <a:off x="601" y="448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21"/>
          <xdr:cNvSpPr>
            <a:spLocks/>
          </xdr:cNvSpPr>
        </xdr:nvSpPr>
        <xdr:spPr>
          <a:xfrm>
            <a:off x="600" y="448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22"/>
          <xdr:cNvSpPr>
            <a:spLocks/>
          </xdr:cNvSpPr>
        </xdr:nvSpPr>
        <xdr:spPr>
          <a:xfrm>
            <a:off x="599" y="4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23"/>
          <xdr:cNvSpPr>
            <a:spLocks/>
          </xdr:cNvSpPr>
        </xdr:nvSpPr>
        <xdr:spPr>
          <a:xfrm>
            <a:off x="598" y="450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24"/>
          <xdr:cNvSpPr>
            <a:spLocks/>
          </xdr:cNvSpPr>
        </xdr:nvSpPr>
        <xdr:spPr>
          <a:xfrm>
            <a:off x="608" y="4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25"/>
          <xdr:cNvSpPr>
            <a:spLocks/>
          </xdr:cNvSpPr>
        </xdr:nvSpPr>
        <xdr:spPr>
          <a:xfrm>
            <a:off x="605" y="454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26"/>
          <xdr:cNvSpPr>
            <a:spLocks/>
          </xdr:cNvSpPr>
        </xdr:nvSpPr>
        <xdr:spPr>
          <a:xfrm>
            <a:off x="604" y="454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27"/>
          <xdr:cNvSpPr>
            <a:spLocks/>
          </xdr:cNvSpPr>
        </xdr:nvSpPr>
        <xdr:spPr>
          <a:xfrm>
            <a:off x="609" y="454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8" name="Group 341"/>
          <xdr:cNvGrpSpPr>
            <a:grpSpLocks/>
          </xdr:cNvGrpSpPr>
        </xdr:nvGrpSpPr>
        <xdr:grpSpPr>
          <a:xfrm>
            <a:off x="519" y="113"/>
            <a:ext cx="14" cy="349"/>
            <a:chOff x="485" y="112"/>
            <a:chExt cx="14" cy="349"/>
          </a:xfrm>
          <a:solidFill>
            <a:srgbClr val="FFFFFF"/>
          </a:solidFill>
        </xdr:grpSpPr>
        <xdr:sp>
          <xdr:nvSpPr>
            <xdr:cNvPr id="59" name="AutoShape 283"/>
            <xdr:cNvSpPr>
              <a:spLocks/>
            </xdr:cNvSpPr>
          </xdr:nvSpPr>
          <xdr:spPr>
            <a:xfrm>
              <a:off x="485" y="112"/>
              <a:ext cx="14" cy="13"/>
            </a:xfrm>
            <a:prstGeom prst="flowChar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284"/>
            <xdr:cNvSpPr>
              <a:spLocks/>
            </xdr:cNvSpPr>
          </xdr:nvSpPr>
          <xdr:spPr>
            <a:xfrm>
              <a:off x="491" y="113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285"/>
            <xdr:cNvSpPr>
              <a:spLocks/>
            </xdr:cNvSpPr>
          </xdr:nvSpPr>
          <xdr:spPr>
            <a:xfrm>
              <a:off x="490" y="113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286"/>
            <xdr:cNvSpPr>
              <a:spLocks/>
            </xdr:cNvSpPr>
          </xdr:nvSpPr>
          <xdr:spPr>
            <a:xfrm>
              <a:off x="489" y="113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287"/>
            <xdr:cNvSpPr>
              <a:spLocks/>
            </xdr:cNvSpPr>
          </xdr:nvSpPr>
          <xdr:spPr>
            <a:xfrm>
              <a:off x="487" y="114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288"/>
            <xdr:cNvSpPr>
              <a:spLocks/>
            </xdr:cNvSpPr>
          </xdr:nvSpPr>
          <xdr:spPr>
            <a:xfrm>
              <a:off x="486" y="115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289"/>
            <xdr:cNvSpPr>
              <a:spLocks/>
            </xdr:cNvSpPr>
          </xdr:nvSpPr>
          <xdr:spPr>
            <a:xfrm>
              <a:off x="496" y="11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290"/>
            <xdr:cNvSpPr>
              <a:spLocks/>
            </xdr:cNvSpPr>
          </xdr:nvSpPr>
          <xdr:spPr>
            <a:xfrm>
              <a:off x="495" y="119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291"/>
            <xdr:cNvSpPr>
              <a:spLocks/>
            </xdr:cNvSpPr>
          </xdr:nvSpPr>
          <xdr:spPr>
            <a:xfrm>
              <a:off x="494" y="119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292"/>
            <xdr:cNvSpPr>
              <a:spLocks/>
            </xdr:cNvSpPr>
          </xdr:nvSpPr>
          <xdr:spPr>
            <a:xfrm>
              <a:off x="493" y="119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293"/>
            <xdr:cNvSpPr>
              <a:spLocks/>
            </xdr:cNvSpPr>
          </xdr:nvSpPr>
          <xdr:spPr>
            <a:xfrm>
              <a:off x="498" y="119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304"/>
            <xdr:cNvSpPr>
              <a:spLocks/>
            </xdr:cNvSpPr>
          </xdr:nvSpPr>
          <xdr:spPr>
            <a:xfrm>
              <a:off x="485" y="148"/>
              <a:ext cx="14" cy="14"/>
            </a:xfrm>
            <a:prstGeom prst="flowChar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305"/>
            <xdr:cNvSpPr>
              <a:spLocks/>
            </xdr:cNvSpPr>
          </xdr:nvSpPr>
          <xdr:spPr>
            <a:xfrm>
              <a:off x="491" y="149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306"/>
            <xdr:cNvSpPr>
              <a:spLocks/>
            </xdr:cNvSpPr>
          </xdr:nvSpPr>
          <xdr:spPr>
            <a:xfrm>
              <a:off x="490" y="149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307"/>
            <xdr:cNvSpPr>
              <a:spLocks/>
            </xdr:cNvSpPr>
          </xdr:nvSpPr>
          <xdr:spPr>
            <a:xfrm>
              <a:off x="487" y="150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308"/>
            <xdr:cNvSpPr>
              <a:spLocks/>
            </xdr:cNvSpPr>
          </xdr:nvSpPr>
          <xdr:spPr>
            <a:xfrm>
              <a:off x="486" y="15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309"/>
            <xdr:cNvSpPr>
              <a:spLocks/>
            </xdr:cNvSpPr>
          </xdr:nvSpPr>
          <xdr:spPr>
            <a:xfrm>
              <a:off x="496" y="15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310"/>
            <xdr:cNvSpPr>
              <a:spLocks/>
            </xdr:cNvSpPr>
          </xdr:nvSpPr>
          <xdr:spPr>
            <a:xfrm>
              <a:off x="495" y="155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311"/>
            <xdr:cNvSpPr>
              <a:spLocks/>
            </xdr:cNvSpPr>
          </xdr:nvSpPr>
          <xdr:spPr>
            <a:xfrm>
              <a:off x="494" y="155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312"/>
            <xdr:cNvSpPr>
              <a:spLocks/>
            </xdr:cNvSpPr>
          </xdr:nvSpPr>
          <xdr:spPr>
            <a:xfrm>
              <a:off x="493" y="155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313"/>
            <xdr:cNvSpPr>
              <a:spLocks/>
            </xdr:cNvSpPr>
          </xdr:nvSpPr>
          <xdr:spPr>
            <a:xfrm>
              <a:off x="498" y="155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314"/>
            <xdr:cNvSpPr>
              <a:spLocks/>
            </xdr:cNvSpPr>
          </xdr:nvSpPr>
          <xdr:spPr>
            <a:xfrm flipV="1">
              <a:off x="489" y="149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328"/>
            <xdr:cNvSpPr>
              <a:spLocks/>
            </xdr:cNvSpPr>
          </xdr:nvSpPr>
          <xdr:spPr>
            <a:xfrm>
              <a:off x="485" y="447"/>
              <a:ext cx="14" cy="14"/>
            </a:xfrm>
            <a:prstGeom prst="flowChar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329"/>
            <xdr:cNvSpPr>
              <a:spLocks/>
            </xdr:cNvSpPr>
          </xdr:nvSpPr>
          <xdr:spPr>
            <a:xfrm>
              <a:off x="491" y="448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330"/>
            <xdr:cNvSpPr>
              <a:spLocks/>
            </xdr:cNvSpPr>
          </xdr:nvSpPr>
          <xdr:spPr>
            <a:xfrm>
              <a:off x="490" y="448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331"/>
            <xdr:cNvSpPr>
              <a:spLocks/>
            </xdr:cNvSpPr>
          </xdr:nvSpPr>
          <xdr:spPr>
            <a:xfrm>
              <a:off x="487" y="44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332"/>
            <xdr:cNvSpPr>
              <a:spLocks/>
            </xdr:cNvSpPr>
          </xdr:nvSpPr>
          <xdr:spPr>
            <a:xfrm>
              <a:off x="486" y="450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333"/>
            <xdr:cNvSpPr>
              <a:spLocks/>
            </xdr:cNvSpPr>
          </xdr:nvSpPr>
          <xdr:spPr>
            <a:xfrm>
              <a:off x="496" y="454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334"/>
            <xdr:cNvSpPr>
              <a:spLocks/>
            </xdr:cNvSpPr>
          </xdr:nvSpPr>
          <xdr:spPr>
            <a:xfrm>
              <a:off x="495" y="454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335"/>
            <xdr:cNvSpPr>
              <a:spLocks/>
            </xdr:cNvSpPr>
          </xdr:nvSpPr>
          <xdr:spPr>
            <a:xfrm>
              <a:off x="494" y="454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336"/>
            <xdr:cNvSpPr>
              <a:spLocks/>
            </xdr:cNvSpPr>
          </xdr:nvSpPr>
          <xdr:spPr>
            <a:xfrm>
              <a:off x="493" y="454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337"/>
            <xdr:cNvSpPr>
              <a:spLocks/>
            </xdr:cNvSpPr>
          </xdr:nvSpPr>
          <xdr:spPr>
            <a:xfrm>
              <a:off x="498" y="454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338"/>
            <xdr:cNvSpPr>
              <a:spLocks/>
            </xdr:cNvSpPr>
          </xdr:nvSpPr>
          <xdr:spPr>
            <a:xfrm flipV="1">
              <a:off x="489" y="448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2" name="Line 339"/>
          <xdr:cNvSpPr>
            <a:spLocks/>
          </xdr:cNvSpPr>
        </xdr:nvSpPr>
        <xdr:spPr>
          <a:xfrm>
            <a:off x="607" y="454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43"/>
          <xdr:cNvSpPr>
            <a:spLocks/>
          </xdr:cNvSpPr>
        </xdr:nvSpPr>
        <xdr:spPr>
          <a:xfrm>
            <a:off x="850" y="82"/>
            <a:ext cx="0" cy="4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344"/>
          <xdr:cNvSpPr>
            <a:spLocks/>
          </xdr:cNvSpPr>
        </xdr:nvSpPr>
        <xdr:spPr>
          <a:xfrm>
            <a:off x="851" y="81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345"/>
          <xdr:cNvSpPr>
            <a:spLocks/>
          </xdr:cNvSpPr>
        </xdr:nvSpPr>
        <xdr:spPr>
          <a:xfrm flipH="1">
            <a:off x="796" y="81"/>
            <a:ext cx="111" cy="4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46"/>
          <xdr:cNvSpPr>
            <a:spLocks/>
          </xdr:cNvSpPr>
        </xdr:nvSpPr>
        <xdr:spPr>
          <a:xfrm>
            <a:off x="795" y="501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47"/>
          <xdr:cNvSpPr>
            <a:spLocks/>
          </xdr:cNvSpPr>
        </xdr:nvSpPr>
        <xdr:spPr>
          <a:xfrm>
            <a:off x="849" y="135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Text Box 349"/>
          <xdr:cNvSpPr txBox="1">
            <a:spLocks noChangeArrowheads="1"/>
          </xdr:cNvSpPr>
        </xdr:nvSpPr>
        <xdr:spPr>
          <a:xfrm>
            <a:off x="908" y="118"/>
            <a:ext cx="3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</a:t>
            </a:r>
            <a:r>
              <a:rPr lang="en-US" cap="none" sz="12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99" name="Text Box 350"/>
          <xdr:cNvSpPr txBox="1">
            <a:spLocks noChangeArrowheads="1"/>
          </xdr:cNvSpPr>
        </xdr:nvSpPr>
        <xdr:spPr>
          <a:xfrm>
            <a:off x="866" y="481"/>
            <a:ext cx="2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</a:t>
            </a:r>
            <a:r>
              <a:rPr lang="en-US" cap="none" sz="12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</a:t>
            </a:r>
          </a:p>
        </xdr:txBody>
      </xdr:sp>
      <xdr:sp>
        <xdr:nvSpPr>
          <xdr:cNvPr id="100" name="Text Box 351"/>
          <xdr:cNvSpPr txBox="1">
            <a:spLocks noChangeArrowheads="1"/>
          </xdr:cNvSpPr>
        </xdr:nvSpPr>
        <xdr:spPr>
          <a:xfrm>
            <a:off x="920" y="56"/>
            <a:ext cx="2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</a:t>
            </a:r>
            <a:r>
              <a:rPr lang="en-US" cap="none" sz="12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</a:t>
            </a:r>
          </a:p>
        </xdr:txBody>
      </xdr:sp>
      <xdr:sp>
        <xdr:nvSpPr>
          <xdr:cNvPr id="101" name="Text Box 352"/>
          <xdr:cNvSpPr txBox="1">
            <a:spLocks noChangeArrowheads="1"/>
          </xdr:cNvSpPr>
        </xdr:nvSpPr>
        <xdr:spPr>
          <a:xfrm>
            <a:off x="867" y="273"/>
            <a:ext cx="2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</a:t>
            </a:r>
            <a:r>
              <a:rPr lang="en-US" cap="none" sz="12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102" name="Line 353"/>
          <xdr:cNvSpPr>
            <a:spLocks/>
          </xdr:cNvSpPr>
        </xdr:nvSpPr>
        <xdr:spPr>
          <a:xfrm>
            <a:off x="824" y="80"/>
            <a:ext cx="1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55"/>
          <xdr:cNvSpPr>
            <a:spLocks/>
          </xdr:cNvSpPr>
        </xdr:nvSpPr>
        <xdr:spPr>
          <a:xfrm flipH="1">
            <a:off x="824" y="139"/>
            <a:ext cx="1" cy="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Text Box 357"/>
          <xdr:cNvSpPr txBox="1">
            <a:spLocks noChangeArrowheads="1"/>
          </xdr:cNvSpPr>
        </xdr:nvSpPr>
        <xdr:spPr>
          <a:xfrm>
            <a:off x="781" y="82"/>
            <a:ext cx="29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X</a:t>
            </a:r>
            <a:r>
              <a:rPr lang="en-US" cap="none" sz="12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105" name="Text Box 358"/>
          <xdr:cNvSpPr txBox="1">
            <a:spLocks noChangeArrowheads="1"/>
          </xdr:cNvSpPr>
        </xdr:nvSpPr>
        <xdr:spPr>
          <a:xfrm>
            <a:off x="783" y="185"/>
            <a:ext cx="2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X</a:t>
            </a:r>
            <a:r>
              <a:rPr lang="en-US" cap="none" sz="12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26670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2" name="Rectangle 144"/>
        <xdr:cNvSpPr>
          <a:spLocks/>
        </xdr:cNvSpPr>
      </xdr:nvSpPr>
      <xdr:spPr>
        <a:xfrm>
          <a:off x="0" y="0"/>
          <a:ext cx="26670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0</xdr:rowOff>
    </xdr:from>
    <xdr:to>
      <xdr:col>7</xdr:col>
      <xdr:colOff>304800</xdr:colOff>
      <xdr:row>3</xdr:row>
      <xdr:rowOff>19050</xdr:rowOff>
    </xdr:to>
    <xdr:sp>
      <xdr:nvSpPr>
        <xdr:cNvPr id="3" name="Text Box 146"/>
        <xdr:cNvSpPr txBox="1">
          <a:spLocks noChangeArrowheads="1"/>
        </xdr:cNvSpPr>
      </xdr:nvSpPr>
      <xdr:spPr>
        <a:xfrm>
          <a:off x="4733925" y="4572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19050</xdr:rowOff>
    </xdr:from>
    <xdr:to>
      <xdr:col>8</xdr:col>
      <xdr:colOff>66675</xdr:colOff>
      <xdr:row>5</xdr:row>
      <xdr:rowOff>95250</xdr:rowOff>
    </xdr:to>
    <xdr:sp>
      <xdr:nvSpPr>
        <xdr:cNvPr id="4" name="Rectangle 147"/>
        <xdr:cNvSpPr>
          <a:spLocks/>
        </xdr:cNvSpPr>
      </xdr:nvSpPr>
      <xdr:spPr>
        <a:xfrm>
          <a:off x="4181475" y="1076325"/>
          <a:ext cx="1209675" cy="76200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28575</xdr:rowOff>
    </xdr:from>
    <xdr:to>
      <xdr:col>7</xdr:col>
      <xdr:colOff>95250</xdr:colOff>
      <xdr:row>9</xdr:row>
      <xdr:rowOff>180975</xdr:rowOff>
    </xdr:to>
    <xdr:sp>
      <xdr:nvSpPr>
        <xdr:cNvPr id="5" name="Rectangle 148"/>
        <xdr:cNvSpPr>
          <a:spLocks/>
        </xdr:cNvSpPr>
      </xdr:nvSpPr>
      <xdr:spPr>
        <a:xfrm>
          <a:off x="4752975" y="685800"/>
          <a:ext cx="57150" cy="1409700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142875</xdr:rowOff>
    </xdr:from>
    <xdr:to>
      <xdr:col>8</xdr:col>
      <xdr:colOff>133350</xdr:colOff>
      <xdr:row>18</xdr:row>
      <xdr:rowOff>85725</xdr:rowOff>
    </xdr:to>
    <xdr:sp>
      <xdr:nvSpPr>
        <xdr:cNvPr id="6" name="Rectangle 149"/>
        <xdr:cNvSpPr>
          <a:spLocks/>
        </xdr:cNvSpPr>
      </xdr:nvSpPr>
      <xdr:spPr>
        <a:xfrm>
          <a:off x="4067175" y="600075"/>
          <a:ext cx="1390650" cy="3257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190500</xdr:rowOff>
    </xdr:from>
    <xdr:to>
      <xdr:col>8</xdr:col>
      <xdr:colOff>57150</xdr:colOff>
      <xdr:row>11</xdr:row>
      <xdr:rowOff>57150</xdr:rowOff>
    </xdr:to>
    <xdr:sp>
      <xdr:nvSpPr>
        <xdr:cNvPr id="7" name="Rectangle 150"/>
        <xdr:cNvSpPr>
          <a:spLocks/>
        </xdr:cNvSpPr>
      </xdr:nvSpPr>
      <xdr:spPr>
        <a:xfrm>
          <a:off x="4162425" y="2343150"/>
          <a:ext cx="1219200" cy="76200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152400</xdr:rowOff>
    </xdr:from>
    <xdr:to>
      <xdr:col>5</xdr:col>
      <xdr:colOff>409575</xdr:colOff>
      <xdr:row>18</xdr:row>
      <xdr:rowOff>76200</xdr:rowOff>
    </xdr:to>
    <xdr:sp>
      <xdr:nvSpPr>
        <xdr:cNvPr id="8" name="Line 151"/>
        <xdr:cNvSpPr>
          <a:spLocks/>
        </xdr:cNvSpPr>
      </xdr:nvSpPr>
      <xdr:spPr>
        <a:xfrm>
          <a:off x="3762375" y="609600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</xdr:row>
      <xdr:rowOff>114300</xdr:rowOff>
    </xdr:from>
    <xdr:to>
      <xdr:col>5</xdr:col>
      <xdr:colOff>457200</xdr:colOff>
      <xdr:row>9</xdr:row>
      <xdr:rowOff>171450</xdr:rowOff>
    </xdr:to>
    <xdr:sp>
      <xdr:nvSpPr>
        <xdr:cNvPr id="9" name="Text Box 152"/>
        <xdr:cNvSpPr txBox="1">
          <a:spLocks noChangeArrowheads="1"/>
        </xdr:cNvSpPr>
      </xdr:nvSpPr>
      <xdr:spPr>
        <a:xfrm>
          <a:off x="3609975" y="17716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6</xdr:col>
      <xdr:colOff>66675</xdr:colOff>
      <xdr:row>1</xdr:row>
      <xdr:rowOff>152400</xdr:rowOff>
    </xdr:from>
    <xdr:to>
      <xdr:col>8</xdr:col>
      <xdr:colOff>123825</xdr:colOff>
      <xdr:row>1</xdr:row>
      <xdr:rowOff>152400</xdr:rowOff>
    </xdr:to>
    <xdr:sp>
      <xdr:nvSpPr>
        <xdr:cNvPr id="10" name="Line 153"/>
        <xdr:cNvSpPr>
          <a:spLocks/>
        </xdr:cNvSpPr>
      </xdr:nvSpPr>
      <xdr:spPr>
        <a:xfrm>
          <a:off x="406717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200025</xdr:rowOff>
    </xdr:from>
    <xdr:to>
      <xdr:col>7</xdr:col>
      <xdr:colOff>209550</xdr:colOff>
      <xdr:row>2</xdr:row>
      <xdr:rowOff>66675</xdr:rowOff>
    </xdr:to>
    <xdr:sp>
      <xdr:nvSpPr>
        <xdr:cNvPr id="11" name="Text Box 154"/>
        <xdr:cNvSpPr txBox="1">
          <a:spLocks noChangeArrowheads="1"/>
        </xdr:cNvSpPr>
      </xdr:nvSpPr>
      <xdr:spPr>
        <a:xfrm>
          <a:off x="4648200" y="2000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57150</xdr:colOff>
      <xdr:row>0</xdr:row>
      <xdr:rowOff>142875</xdr:rowOff>
    </xdr:from>
    <xdr:to>
      <xdr:col>7</xdr:col>
      <xdr:colOff>66675</xdr:colOff>
      <xdr:row>20</xdr:row>
      <xdr:rowOff>57150</xdr:rowOff>
    </xdr:to>
    <xdr:sp>
      <xdr:nvSpPr>
        <xdr:cNvPr id="12" name="Line 155"/>
        <xdr:cNvSpPr>
          <a:spLocks/>
        </xdr:cNvSpPr>
      </xdr:nvSpPr>
      <xdr:spPr>
        <a:xfrm flipV="1">
          <a:off x="4772025" y="142875"/>
          <a:ext cx="9525" cy="4086225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4</xdr:row>
      <xdr:rowOff>57150</xdr:rowOff>
    </xdr:from>
    <xdr:to>
      <xdr:col>9</xdr:col>
      <xdr:colOff>219075</xdr:colOff>
      <xdr:row>18</xdr:row>
      <xdr:rowOff>95250</xdr:rowOff>
    </xdr:to>
    <xdr:sp>
      <xdr:nvSpPr>
        <xdr:cNvPr id="13" name="Line 156"/>
        <xdr:cNvSpPr>
          <a:spLocks/>
        </xdr:cNvSpPr>
      </xdr:nvSpPr>
      <xdr:spPr>
        <a:xfrm>
          <a:off x="6153150" y="914400"/>
          <a:ext cx="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104775</xdr:rowOff>
    </xdr:from>
    <xdr:to>
      <xdr:col>8</xdr:col>
      <xdr:colOff>514350</xdr:colOff>
      <xdr:row>18</xdr:row>
      <xdr:rowOff>104775</xdr:rowOff>
    </xdr:to>
    <xdr:sp>
      <xdr:nvSpPr>
        <xdr:cNvPr id="14" name="Line 157"/>
        <xdr:cNvSpPr>
          <a:spLocks/>
        </xdr:cNvSpPr>
      </xdr:nvSpPr>
      <xdr:spPr>
        <a:xfrm>
          <a:off x="5838825" y="13620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10</xdr:row>
      <xdr:rowOff>95250</xdr:rowOff>
    </xdr:from>
    <xdr:to>
      <xdr:col>9</xdr:col>
      <xdr:colOff>514350</xdr:colOff>
      <xdr:row>11</xdr:row>
      <xdr:rowOff>142875</xdr:rowOff>
    </xdr:to>
    <xdr:sp>
      <xdr:nvSpPr>
        <xdr:cNvPr id="15" name="Text Box 158"/>
        <xdr:cNvSpPr txBox="1">
          <a:spLocks noChangeArrowheads="1"/>
        </xdr:cNvSpPr>
      </xdr:nvSpPr>
      <xdr:spPr>
        <a:xfrm>
          <a:off x="6143625" y="2247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8</xdr:col>
      <xdr:colOff>485775</xdr:colOff>
      <xdr:row>10</xdr:row>
      <xdr:rowOff>57150</xdr:rowOff>
    </xdr:from>
    <xdr:to>
      <xdr:col>9</xdr:col>
      <xdr:colOff>161925</xdr:colOff>
      <xdr:row>12</xdr:row>
      <xdr:rowOff>57150</xdr:rowOff>
    </xdr:to>
    <xdr:sp>
      <xdr:nvSpPr>
        <xdr:cNvPr id="16" name="Text Box 159"/>
        <xdr:cNvSpPr txBox="1">
          <a:spLocks noChangeArrowheads="1"/>
        </xdr:cNvSpPr>
      </xdr:nvSpPr>
      <xdr:spPr>
        <a:xfrm>
          <a:off x="5810250" y="22098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5</xdr:col>
      <xdr:colOff>180975</xdr:colOff>
      <xdr:row>18</xdr:row>
      <xdr:rowOff>85725</xdr:rowOff>
    </xdr:from>
    <xdr:to>
      <xdr:col>6</xdr:col>
      <xdr:colOff>9525</xdr:colOff>
      <xdr:row>18</xdr:row>
      <xdr:rowOff>85725</xdr:rowOff>
    </xdr:to>
    <xdr:sp>
      <xdr:nvSpPr>
        <xdr:cNvPr id="17" name="Line 160"/>
        <xdr:cNvSpPr>
          <a:spLocks/>
        </xdr:cNvSpPr>
      </xdr:nvSpPr>
      <xdr:spPr>
        <a:xfrm>
          <a:off x="3533775" y="3857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95250</xdr:rowOff>
    </xdr:from>
    <xdr:to>
      <xdr:col>9</xdr:col>
      <xdr:colOff>285750</xdr:colOff>
      <xdr:row>18</xdr:row>
      <xdr:rowOff>95250</xdr:rowOff>
    </xdr:to>
    <xdr:sp>
      <xdr:nvSpPr>
        <xdr:cNvPr id="18" name="Line 161"/>
        <xdr:cNvSpPr>
          <a:spLocks/>
        </xdr:cNvSpPr>
      </xdr:nvSpPr>
      <xdr:spPr>
        <a:xfrm>
          <a:off x="5467350" y="38671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85725</xdr:rowOff>
    </xdr:from>
    <xdr:to>
      <xdr:col>6</xdr:col>
      <xdr:colOff>66675</xdr:colOff>
      <xdr:row>2</xdr:row>
      <xdr:rowOff>104775</xdr:rowOff>
    </xdr:to>
    <xdr:sp>
      <xdr:nvSpPr>
        <xdr:cNvPr id="19" name="Line 162"/>
        <xdr:cNvSpPr>
          <a:spLocks/>
        </xdr:cNvSpPr>
      </xdr:nvSpPr>
      <xdr:spPr>
        <a:xfrm>
          <a:off x="4067175" y="342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85725</xdr:rowOff>
    </xdr:from>
    <xdr:to>
      <xdr:col>8</xdr:col>
      <xdr:colOff>133350</xdr:colOff>
      <xdr:row>2</xdr:row>
      <xdr:rowOff>104775</xdr:rowOff>
    </xdr:to>
    <xdr:sp>
      <xdr:nvSpPr>
        <xdr:cNvPr id="20" name="Line 163"/>
        <xdr:cNvSpPr>
          <a:spLocks/>
        </xdr:cNvSpPr>
      </xdr:nvSpPr>
      <xdr:spPr>
        <a:xfrm>
          <a:off x="5457825" y="342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9</xdr:col>
      <xdr:colOff>295275</xdr:colOff>
      <xdr:row>4</xdr:row>
      <xdr:rowOff>47625</xdr:rowOff>
    </xdr:to>
    <xdr:sp>
      <xdr:nvSpPr>
        <xdr:cNvPr id="21" name="Line 164"/>
        <xdr:cNvSpPr>
          <a:spLocks/>
        </xdr:cNvSpPr>
      </xdr:nvSpPr>
      <xdr:spPr>
        <a:xfrm flipH="1">
          <a:off x="5381625" y="9048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104775</xdr:rowOff>
    </xdr:from>
    <xdr:to>
      <xdr:col>9</xdr:col>
      <xdr:colOff>57150</xdr:colOff>
      <xdr:row>6</xdr:row>
      <xdr:rowOff>104775</xdr:rowOff>
    </xdr:to>
    <xdr:sp>
      <xdr:nvSpPr>
        <xdr:cNvPr id="22" name="Line 165"/>
        <xdr:cNvSpPr>
          <a:spLocks/>
        </xdr:cNvSpPr>
      </xdr:nvSpPr>
      <xdr:spPr>
        <a:xfrm flipH="1">
          <a:off x="5419725" y="1362075"/>
          <a:ext cx="571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</xdr:row>
      <xdr:rowOff>142875</xdr:rowOff>
    </xdr:from>
    <xdr:to>
      <xdr:col>6</xdr:col>
      <xdr:colOff>9525</xdr:colOff>
      <xdr:row>2</xdr:row>
      <xdr:rowOff>142875</xdr:rowOff>
    </xdr:to>
    <xdr:sp>
      <xdr:nvSpPr>
        <xdr:cNvPr id="23" name="Line 166"/>
        <xdr:cNvSpPr>
          <a:spLocks/>
        </xdr:cNvSpPr>
      </xdr:nvSpPr>
      <xdr:spPr>
        <a:xfrm flipH="1">
          <a:off x="3609975" y="600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</xdr:row>
      <xdr:rowOff>190500</xdr:rowOff>
    </xdr:from>
    <xdr:to>
      <xdr:col>7</xdr:col>
      <xdr:colOff>400050</xdr:colOff>
      <xdr:row>4</xdr:row>
      <xdr:rowOff>95250</xdr:rowOff>
    </xdr:to>
    <xdr:sp>
      <xdr:nvSpPr>
        <xdr:cNvPr id="24" name="AutoShape 167"/>
        <xdr:cNvSpPr>
          <a:spLocks/>
        </xdr:cNvSpPr>
      </xdr:nvSpPr>
      <xdr:spPr>
        <a:xfrm>
          <a:off x="5000625" y="847725"/>
          <a:ext cx="114300" cy="1047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4</xdr:row>
      <xdr:rowOff>0</xdr:rowOff>
    </xdr:from>
    <xdr:to>
      <xdr:col>7</xdr:col>
      <xdr:colOff>342900</xdr:colOff>
      <xdr:row>4</xdr:row>
      <xdr:rowOff>38100</xdr:rowOff>
    </xdr:to>
    <xdr:sp>
      <xdr:nvSpPr>
        <xdr:cNvPr id="25" name="Line 168"/>
        <xdr:cNvSpPr>
          <a:spLocks/>
        </xdr:cNvSpPr>
      </xdr:nvSpPr>
      <xdr:spPr>
        <a:xfrm>
          <a:off x="5057775" y="8572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4</xdr:row>
      <xdr:rowOff>0</xdr:rowOff>
    </xdr:from>
    <xdr:to>
      <xdr:col>7</xdr:col>
      <xdr:colOff>323850</xdr:colOff>
      <xdr:row>4</xdr:row>
      <xdr:rowOff>38100</xdr:rowOff>
    </xdr:to>
    <xdr:sp>
      <xdr:nvSpPr>
        <xdr:cNvPr id="26" name="Line 169"/>
        <xdr:cNvSpPr>
          <a:spLocks/>
        </xdr:cNvSpPr>
      </xdr:nvSpPr>
      <xdr:spPr>
        <a:xfrm>
          <a:off x="5038725" y="8572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4</xdr:row>
      <xdr:rowOff>0</xdr:rowOff>
    </xdr:from>
    <xdr:to>
      <xdr:col>7</xdr:col>
      <xdr:colOff>323850</xdr:colOff>
      <xdr:row>4</xdr:row>
      <xdr:rowOff>38100</xdr:rowOff>
    </xdr:to>
    <xdr:sp>
      <xdr:nvSpPr>
        <xdr:cNvPr id="27" name="Line 170"/>
        <xdr:cNvSpPr>
          <a:spLocks/>
        </xdr:cNvSpPr>
      </xdr:nvSpPr>
      <xdr:spPr>
        <a:xfrm>
          <a:off x="5038725" y="8572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</xdr:row>
      <xdr:rowOff>9525</xdr:rowOff>
    </xdr:from>
    <xdr:to>
      <xdr:col>7</xdr:col>
      <xdr:colOff>314325</xdr:colOff>
      <xdr:row>4</xdr:row>
      <xdr:rowOff>38100</xdr:rowOff>
    </xdr:to>
    <xdr:sp>
      <xdr:nvSpPr>
        <xdr:cNvPr id="28" name="Line 171"/>
        <xdr:cNvSpPr>
          <a:spLocks/>
        </xdr:cNvSpPr>
      </xdr:nvSpPr>
      <xdr:spPr>
        <a:xfrm>
          <a:off x="5029200" y="866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</xdr:row>
      <xdr:rowOff>19050</xdr:rowOff>
    </xdr:from>
    <xdr:to>
      <xdr:col>7</xdr:col>
      <xdr:colOff>304800</xdr:colOff>
      <xdr:row>4</xdr:row>
      <xdr:rowOff>38100</xdr:rowOff>
    </xdr:to>
    <xdr:sp>
      <xdr:nvSpPr>
        <xdr:cNvPr id="29" name="Line 172"/>
        <xdr:cNvSpPr>
          <a:spLocks/>
        </xdr:cNvSpPr>
      </xdr:nvSpPr>
      <xdr:spPr>
        <a:xfrm>
          <a:off x="5019675" y="876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</xdr:row>
      <xdr:rowOff>47625</xdr:rowOff>
    </xdr:from>
    <xdr:to>
      <xdr:col>7</xdr:col>
      <xdr:colOff>381000</xdr:colOff>
      <xdr:row>4</xdr:row>
      <xdr:rowOff>76200</xdr:rowOff>
    </xdr:to>
    <xdr:sp>
      <xdr:nvSpPr>
        <xdr:cNvPr id="30" name="Line 173"/>
        <xdr:cNvSpPr>
          <a:spLocks/>
        </xdr:cNvSpPr>
      </xdr:nvSpPr>
      <xdr:spPr>
        <a:xfrm>
          <a:off x="5095875" y="904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</xdr:row>
      <xdr:rowOff>47625</xdr:rowOff>
    </xdr:from>
    <xdr:to>
      <xdr:col>7</xdr:col>
      <xdr:colOff>371475</xdr:colOff>
      <xdr:row>4</xdr:row>
      <xdr:rowOff>85725</xdr:rowOff>
    </xdr:to>
    <xdr:sp>
      <xdr:nvSpPr>
        <xdr:cNvPr id="31" name="Line 174"/>
        <xdr:cNvSpPr>
          <a:spLocks/>
        </xdr:cNvSpPr>
      </xdr:nvSpPr>
      <xdr:spPr>
        <a:xfrm>
          <a:off x="5086350" y="904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</xdr:row>
      <xdr:rowOff>47625</xdr:rowOff>
    </xdr:from>
    <xdr:to>
      <xdr:col>7</xdr:col>
      <xdr:colOff>361950</xdr:colOff>
      <xdr:row>4</xdr:row>
      <xdr:rowOff>85725</xdr:rowOff>
    </xdr:to>
    <xdr:sp>
      <xdr:nvSpPr>
        <xdr:cNvPr id="32" name="Line 175"/>
        <xdr:cNvSpPr>
          <a:spLocks/>
        </xdr:cNvSpPr>
      </xdr:nvSpPr>
      <xdr:spPr>
        <a:xfrm>
          <a:off x="5076825" y="904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4</xdr:row>
      <xdr:rowOff>47625</xdr:rowOff>
    </xdr:from>
    <xdr:to>
      <xdr:col>7</xdr:col>
      <xdr:colOff>352425</xdr:colOff>
      <xdr:row>4</xdr:row>
      <xdr:rowOff>85725</xdr:rowOff>
    </xdr:to>
    <xdr:sp>
      <xdr:nvSpPr>
        <xdr:cNvPr id="33" name="Line 176"/>
        <xdr:cNvSpPr>
          <a:spLocks/>
        </xdr:cNvSpPr>
      </xdr:nvSpPr>
      <xdr:spPr>
        <a:xfrm>
          <a:off x="5067300" y="904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</xdr:row>
      <xdr:rowOff>47625</xdr:rowOff>
    </xdr:from>
    <xdr:to>
      <xdr:col>7</xdr:col>
      <xdr:colOff>390525</xdr:colOff>
      <xdr:row>4</xdr:row>
      <xdr:rowOff>66675</xdr:rowOff>
    </xdr:to>
    <xdr:sp>
      <xdr:nvSpPr>
        <xdr:cNvPr id="34" name="Line 177"/>
        <xdr:cNvSpPr>
          <a:spLocks/>
        </xdr:cNvSpPr>
      </xdr:nvSpPr>
      <xdr:spPr>
        <a:xfrm>
          <a:off x="5105400" y="9048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180975</xdr:rowOff>
    </xdr:from>
    <xdr:to>
      <xdr:col>7</xdr:col>
      <xdr:colOff>95250</xdr:colOff>
      <xdr:row>18</xdr:row>
      <xdr:rowOff>9525</xdr:rowOff>
    </xdr:to>
    <xdr:sp>
      <xdr:nvSpPr>
        <xdr:cNvPr id="35" name="Rectangle 189"/>
        <xdr:cNvSpPr>
          <a:spLocks/>
        </xdr:cNvSpPr>
      </xdr:nvSpPr>
      <xdr:spPr>
        <a:xfrm>
          <a:off x="4752975" y="2095500"/>
          <a:ext cx="57150" cy="1685925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17</xdr:row>
      <xdr:rowOff>133350</xdr:rowOff>
    </xdr:from>
    <xdr:to>
      <xdr:col>8</xdr:col>
      <xdr:colOff>57150</xdr:colOff>
      <xdr:row>18</xdr:row>
      <xdr:rowOff>9525</xdr:rowOff>
    </xdr:to>
    <xdr:sp>
      <xdr:nvSpPr>
        <xdr:cNvPr id="36" name="Rectangle 190"/>
        <xdr:cNvSpPr>
          <a:spLocks/>
        </xdr:cNvSpPr>
      </xdr:nvSpPr>
      <xdr:spPr>
        <a:xfrm>
          <a:off x="4171950" y="3705225"/>
          <a:ext cx="1209675" cy="76200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16</xdr:row>
      <xdr:rowOff>66675</xdr:rowOff>
    </xdr:from>
    <xdr:to>
      <xdr:col>7</xdr:col>
      <xdr:colOff>390525</xdr:colOff>
      <xdr:row>16</xdr:row>
      <xdr:rowOff>171450</xdr:rowOff>
    </xdr:to>
    <xdr:sp>
      <xdr:nvSpPr>
        <xdr:cNvPr id="37" name="AutoShape 191"/>
        <xdr:cNvSpPr>
          <a:spLocks/>
        </xdr:cNvSpPr>
      </xdr:nvSpPr>
      <xdr:spPr>
        <a:xfrm>
          <a:off x="5000625" y="3429000"/>
          <a:ext cx="104775" cy="1047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16</xdr:row>
      <xdr:rowOff>76200</xdr:rowOff>
    </xdr:from>
    <xdr:to>
      <xdr:col>7</xdr:col>
      <xdr:colOff>342900</xdr:colOff>
      <xdr:row>16</xdr:row>
      <xdr:rowOff>114300</xdr:rowOff>
    </xdr:to>
    <xdr:sp>
      <xdr:nvSpPr>
        <xdr:cNvPr id="38" name="Line 192"/>
        <xdr:cNvSpPr>
          <a:spLocks/>
        </xdr:cNvSpPr>
      </xdr:nvSpPr>
      <xdr:spPr>
        <a:xfrm>
          <a:off x="5057775" y="3438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76200</xdr:rowOff>
    </xdr:from>
    <xdr:to>
      <xdr:col>7</xdr:col>
      <xdr:colOff>323850</xdr:colOff>
      <xdr:row>16</xdr:row>
      <xdr:rowOff>114300</xdr:rowOff>
    </xdr:to>
    <xdr:sp>
      <xdr:nvSpPr>
        <xdr:cNvPr id="39" name="Line 193"/>
        <xdr:cNvSpPr>
          <a:spLocks/>
        </xdr:cNvSpPr>
      </xdr:nvSpPr>
      <xdr:spPr>
        <a:xfrm>
          <a:off x="5038725" y="3438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76200</xdr:rowOff>
    </xdr:from>
    <xdr:to>
      <xdr:col>7</xdr:col>
      <xdr:colOff>323850</xdr:colOff>
      <xdr:row>16</xdr:row>
      <xdr:rowOff>114300</xdr:rowOff>
    </xdr:to>
    <xdr:sp>
      <xdr:nvSpPr>
        <xdr:cNvPr id="40" name="Line 194"/>
        <xdr:cNvSpPr>
          <a:spLocks/>
        </xdr:cNvSpPr>
      </xdr:nvSpPr>
      <xdr:spPr>
        <a:xfrm>
          <a:off x="5038725" y="3438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85725</xdr:rowOff>
    </xdr:from>
    <xdr:to>
      <xdr:col>7</xdr:col>
      <xdr:colOff>314325</xdr:colOff>
      <xdr:row>16</xdr:row>
      <xdr:rowOff>114300</xdr:rowOff>
    </xdr:to>
    <xdr:sp>
      <xdr:nvSpPr>
        <xdr:cNvPr id="41" name="Line 195"/>
        <xdr:cNvSpPr>
          <a:spLocks/>
        </xdr:cNvSpPr>
      </xdr:nvSpPr>
      <xdr:spPr>
        <a:xfrm>
          <a:off x="5029200" y="3448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16</xdr:row>
      <xdr:rowOff>95250</xdr:rowOff>
    </xdr:from>
    <xdr:to>
      <xdr:col>7</xdr:col>
      <xdr:colOff>304800</xdr:colOff>
      <xdr:row>16</xdr:row>
      <xdr:rowOff>114300</xdr:rowOff>
    </xdr:to>
    <xdr:sp>
      <xdr:nvSpPr>
        <xdr:cNvPr id="42" name="Line 196"/>
        <xdr:cNvSpPr>
          <a:spLocks/>
        </xdr:cNvSpPr>
      </xdr:nvSpPr>
      <xdr:spPr>
        <a:xfrm>
          <a:off x="5019675" y="34575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16</xdr:row>
      <xdr:rowOff>123825</xdr:rowOff>
    </xdr:from>
    <xdr:to>
      <xdr:col>7</xdr:col>
      <xdr:colOff>381000</xdr:colOff>
      <xdr:row>16</xdr:row>
      <xdr:rowOff>152400</xdr:rowOff>
    </xdr:to>
    <xdr:sp>
      <xdr:nvSpPr>
        <xdr:cNvPr id="43" name="Line 197"/>
        <xdr:cNvSpPr>
          <a:spLocks/>
        </xdr:cNvSpPr>
      </xdr:nvSpPr>
      <xdr:spPr>
        <a:xfrm>
          <a:off x="5095875" y="34861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123825</xdr:rowOff>
    </xdr:from>
    <xdr:to>
      <xdr:col>7</xdr:col>
      <xdr:colOff>361950</xdr:colOff>
      <xdr:row>16</xdr:row>
      <xdr:rowOff>161925</xdr:rowOff>
    </xdr:to>
    <xdr:sp>
      <xdr:nvSpPr>
        <xdr:cNvPr id="44" name="Line 198"/>
        <xdr:cNvSpPr>
          <a:spLocks/>
        </xdr:cNvSpPr>
      </xdr:nvSpPr>
      <xdr:spPr>
        <a:xfrm>
          <a:off x="5076825" y="3486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16</xdr:row>
      <xdr:rowOff>123825</xdr:rowOff>
    </xdr:from>
    <xdr:to>
      <xdr:col>7</xdr:col>
      <xdr:colOff>352425</xdr:colOff>
      <xdr:row>16</xdr:row>
      <xdr:rowOff>161925</xdr:rowOff>
    </xdr:to>
    <xdr:sp>
      <xdr:nvSpPr>
        <xdr:cNvPr id="45" name="Line 199"/>
        <xdr:cNvSpPr>
          <a:spLocks/>
        </xdr:cNvSpPr>
      </xdr:nvSpPr>
      <xdr:spPr>
        <a:xfrm>
          <a:off x="5067300" y="3486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16</xdr:row>
      <xdr:rowOff>123825</xdr:rowOff>
    </xdr:from>
    <xdr:to>
      <xdr:col>7</xdr:col>
      <xdr:colOff>390525</xdr:colOff>
      <xdr:row>16</xdr:row>
      <xdr:rowOff>142875</xdr:rowOff>
    </xdr:to>
    <xdr:sp>
      <xdr:nvSpPr>
        <xdr:cNvPr id="46" name="Line 200"/>
        <xdr:cNvSpPr>
          <a:spLocks/>
        </xdr:cNvSpPr>
      </xdr:nvSpPr>
      <xdr:spPr>
        <a:xfrm>
          <a:off x="5105400" y="34861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0</xdr:rowOff>
    </xdr:from>
    <xdr:to>
      <xdr:col>6</xdr:col>
      <xdr:colOff>533400</xdr:colOff>
      <xdr:row>4</xdr:row>
      <xdr:rowOff>104775</xdr:rowOff>
    </xdr:to>
    <xdr:sp>
      <xdr:nvSpPr>
        <xdr:cNvPr id="47" name="AutoShape 202"/>
        <xdr:cNvSpPr>
          <a:spLocks/>
        </xdr:cNvSpPr>
      </xdr:nvSpPr>
      <xdr:spPr>
        <a:xfrm>
          <a:off x="4429125" y="857250"/>
          <a:ext cx="104775" cy="1047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</xdr:row>
      <xdr:rowOff>9525</xdr:rowOff>
    </xdr:from>
    <xdr:to>
      <xdr:col>6</xdr:col>
      <xdr:colOff>466725</xdr:colOff>
      <xdr:row>4</xdr:row>
      <xdr:rowOff>47625</xdr:rowOff>
    </xdr:to>
    <xdr:sp>
      <xdr:nvSpPr>
        <xdr:cNvPr id="48" name="Line 203"/>
        <xdr:cNvSpPr>
          <a:spLocks/>
        </xdr:cNvSpPr>
      </xdr:nvSpPr>
      <xdr:spPr>
        <a:xfrm>
          <a:off x="4467225" y="8667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9525</xdr:rowOff>
    </xdr:from>
    <xdr:to>
      <xdr:col>6</xdr:col>
      <xdr:colOff>457200</xdr:colOff>
      <xdr:row>4</xdr:row>
      <xdr:rowOff>47625</xdr:rowOff>
    </xdr:to>
    <xdr:sp>
      <xdr:nvSpPr>
        <xdr:cNvPr id="49" name="Line 204"/>
        <xdr:cNvSpPr>
          <a:spLocks/>
        </xdr:cNvSpPr>
      </xdr:nvSpPr>
      <xdr:spPr>
        <a:xfrm>
          <a:off x="4457700" y="8667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9525</xdr:rowOff>
    </xdr:from>
    <xdr:to>
      <xdr:col>6</xdr:col>
      <xdr:colOff>457200</xdr:colOff>
      <xdr:row>4</xdr:row>
      <xdr:rowOff>47625</xdr:rowOff>
    </xdr:to>
    <xdr:sp>
      <xdr:nvSpPr>
        <xdr:cNvPr id="50" name="Line 205"/>
        <xdr:cNvSpPr>
          <a:spLocks/>
        </xdr:cNvSpPr>
      </xdr:nvSpPr>
      <xdr:spPr>
        <a:xfrm>
          <a:off x="4457700" y="8667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19050</xdr:rowOff>
    </xdr:from>
    <xdr:to>
      <xdr:col>6</xdr:col>
      <xdr:colOff>438150</xdr:colOff>
      <xdr:row>4</xdr:row>
      <xdr:rowOff>47625</xdr:rowOff>
    </xdr:to>
    <xdr:sp>
      <xdr:nvSpPr>
        <xdr:cNvPr id="51" name="Line 206"/>
        <xdr:cNvSpPr>
          <a:spLocks/>
        </xdr:cNvSpPr>
      </xdr:nvSpPr>
      <xdr:spPr>
        <a:xfrm>
          <a:off x="4438650" y="8763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19050</xdr:rowOff>
    </xdr:from>
    <xdr:to>
      <xdr:col>6</xdr:col>
      <xdr:colOff>428625</xdr:colOff>
      <xdr:row>4</xdr:row>
      <xdr:rowOff>38100</xdr:rowOff>
    </xdr:to>
    <xdr:sp>
      <xdr:nvSpPr>
        <xdr:cNvPr id="52" name="Line 207"/>
        <xdr:cNvSpPr>
          <a:spLocks/>
        </xdr:cNvSpPr>
      </xdr:nvSpPr>
      <xdr:spPr>
        <a:xfrm>
          <a:off x="4429125" y="876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57150</xdr:rowOff>
    </xdr:from>
    <xdr:to>
      <xdr:col>6</xdr:col>
      <xdr:colOff>504825</xdr:colOff>
      <xdr:row>4</xdr:row>
      <xdr:rowOff>85725</xdr:rowOff>
    </xdr:to>
    <xdr:sp>
      <xdr:nvSpPr>
        <xdr:cNvPr id="53" name="Line 208"/>
        <xdr:cNvSpPr>
          <a:spLocks/>
        </xdr:cNvSpPr>
      </xdr:nvSpPr>
      <xdr:spPr>
        <a:xfrm>
          <a:off x="4505325" y="914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</xdr:row>
      <xdr:rowOff>57150</xdr:rowOff>
    </xdr:from>
    <xdr:to>
      <xdr:col>6</xdr:col>
      <xdr:colOff>495300</xdr:colOff>
      <xdr:row>4</xdr:row>
      <xdr:rowOff>95250</xdr:rowOff>
    </xdr:to>
    <xdr:sp>
      <xdr:nvSpPr>
        <xdr:cNvPr id="54" name="Line 209"/>
        <xdr:cNvSpPr>
          <a:spLocks/>
        </xdr:cNvSpPr>
      </xdr:nvSpPr>
      <xdr:spPr>
        <a:xfrm>
          <a:off x="4495800" y="9144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</xdr:row>
      <xdr:rowOff>57150</xdr:rowOff>
    </xdr:from>
    <xdr:to>
      <xdr:col>6</xdr:col>
      <xdr:colOff>495300</xdr:colOff>
      <xdr:row>4</xdr:row>
      <xdr:rowOff>95250</xdr:rowOff>
    </xdr:to>
    <xdr:sp>
      <xdr:nvSpPr>
        <xdr:cNvPr id="55" name="Line 210"/>
        <xdr:cNvSpPr>
          <a:spLocks/>
        </xdr:cNvSpPr>
      </xdr:nvSpPr>
      <xdr:spPr>
        <a:xfrm>
          <a:off x="4495800" y="9144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</xdr:row>
      <xdr:rowOff>57150</xdr:rowOff>
    </xdr:from>
    <xdr:to>
      <xdr:col>6</xdr:col>
      <xdr:colOff>485775</xdr:colOff>
      <xdr:row>4</xdr:row>
      <xdr:rowOff>95250</xdr:rowOff>
    </xdr:to>
    <xdr:sp>
      <xdr:nvSpPr>
        <xdr:cNvPr id="56" name="Line 211"/>
        <xdr:cNvSpPr>
          <a:spLocks/>
        </xdr:cNvSpPr>
      </xdr:nvSpPr>
      <xdr:spPr>
        <a:xfrm>
          <a:off x="4486275" y="9144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57150</xdr:rowOff>
    </xdr:from>
    <xdr:to>
      <xdr:col>6</xdr:col>
      <xdr:colOff>523875</xdr:colOff>
      <xdr:row>4</xdr:row>
      <xdr:rowOff>76200</xdr:rowOff>
    </xdr:to>
    <xdr:sp>
      <xdr:nvSpPr>
        <xdr:cNvPr id="57" name="Line 212"/>
        <xdr:cNvSpPr>
          <a:spLocks/>
        </xdr:cNvSpPr>
      </xdr:nvSpPr>
      <xdr:spPr>
        <a:xfrm>
          <a:off x="4524375" y="914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57150</xdr:rowOff>
    </xdr:from>
    <xdr:to>
      <xdr:col>7</xdr:col>
      <xdr:colOff>400050</xdr:colOff>
      <xdr:row>6</xdr:row>
      <xdr:rowOff>180975</xdr:rowOff>
    </xdr:to>
    <xdr:grpSp>
      <xdr:nvGrpSpPr>
        <xdr:cNvPr id="58" name="Group 249"/>
        <xdr:cNvGrpSpPr>
          <a:grpSpLocks/>
        </xdr:cNvGrpSpPr>
      </xdr:nvGrpSpPr>
      <xdr:grpSpPr>
        <a:xfrm>
          <a:off x="4429125" y="1314450"/>
          <a:ext cx="685800" cy="123825"/>
          <a:chOff x="597" y="148"/>
          <a:chExt cx="91" cy="15"/>
        </a:xfrm>
        <a:solidFill>
          <a:srgbClr val="FFFFFF"/>
        </a:solidFill>
      </xdr:grpSpPr>
      <xdr:sp>
        <xdr:nvSpPr>
          <xdr:cNvPr id="59" name="AutoShape 178"/>
          <xdr:cNvSpPr>
            <a:spLocks/>
          </xdr:cNvSpPr>
        </xdr:nvSpPr>
        <xdr:spPr>
          <a:xfrm>
            <a:off x="674" y="148"/>
            <a:ext cx="14" cy="14"/>
          </a:xfrm>
          <a:prstGeom prst="flowChar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79"/>
          <xdr:cNvSpPr>
            <a:spLocks/>
          </xdr:cNvSpPr>
        </xdr:nvSpPr>
        <xdr:spPr>
          <a:xfrm>
            <a:off x="681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80"/>
          <xdr:cNvSpPr>
            <a:spLocks/>
          </xdr:cNvSpPr>
        </xdr:nvSpPr>
        <xdr:spPr>
          <a:xfrm>
            <a:off x="679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81"/>
          <xdr:cNvSpPr>
            <a:spLocks/>
          </xdr:cNvSpPr>
        </xdr:nvSpPr>
        <xdr:spPr>
          <a:xfrm>
            <a:off x="678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82"/>
          <xdr:cNvSpPr>
            <a:spLocks/>
          </xdr:cNvSpPr>
        </xdr:nvSpPr>
        <xdr:spPr>
          <a:xfrm>
            <a:off x="677" y="150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83"/>
          <xdr:cNvSpPr>
            <a:spLocks/>
          </xdr:cNvSpPr>
        </xdr:nvSpPr>
        <xdr:spPr>
          <a:xfrm>
            <a:off x="676" y="15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84"/>
          <xdr:cNvSpPr>
            <a:spLocks/>
          </xdr:cNvSpPr>
        </xdr:nvSpPr>
        <xdr:spPr>
          <a:xfrm>
            <a:off x="686" y="15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85"/>
          <xdr:cNvSpPr>
            <a:spLocks/>
          </xdr:cNvSpPr>
        </xdr:nvSpPr>
        <xdr:spPr>
          <a:xfrm>
            <a:off x="683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86"/>
          <xdr:cNvSpPr>
            <a:spLocks/>
          </xdr:cNvSpPr>
        </xdr:nvSpPr>
        <xdr:spPr>
          <a:xfrm>
            <a:off x="682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87"/>
          <xdr:cNvSpPr>
            <a:spLocks/>
          </xdr:cNvSpPr>
        </xdr:nvSpPr>
        <xdr:spPr>
          <a:xfrm>
            <a:off x="687" y="155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88"/>
          <xdr:cNvSpPr>
            <a:spLocks/>
          </xdr:cNvSpPr>
        </xdr:nvSpPr>
        <xdr:spPr>
          <a:xfrm>
            <a:off x="685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213"/>
          <xdr:cNvSpPr>
            <a:spLocks/>
          </xdr:cNvSpPr>
        </xdr:nvSpPr>
        <xdr:spPr>
          <a:xfrm>
            <a:off x="597" y="149"/>
            <a:ext cx="14" cy="14"/>
          </a:xfrm>
          <a:prstGeom prst="flowChar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14"/>
          <xdr:cNvSpPr>
            <a:spLocks/>
          </xdr:cNvSpPr>
        </xdr:nvSpPr>
        <xdr:spPr>
          <a:xfrm>
            <a:off x="603" y="150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215"/>
          <xdr:cNvSpPr>
            <a:spLocks/>
          </xdr:cNvSpPr>
        </xdr:nvSpPr>
        <xdr:spPr>
          <a:xfrm>
            <a:off x="602" y="150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216"/>
          <xdr:cNvSpPr>
            <a:spLocks/>
          </xdr:cNvSpPr>
        </xdr:nvSpPr>
        <xdr:spPr>
          <a:xfrm>
            <a:off x="599" y="15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217"/>
          <xdr:cNvSpPr>
            <a:spLocks/>
          </xdr:cNvSpPr>
        </xdr:nvSpPr>
        <xdr:spPr>
          <a:xfrm>
            <a:off x="598" y="152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218"/>
          <xdr:cNvSpPr>
            <a:spLocks/>
          </xdr:cNvSpPr>
        </xdr:nvSpPr>
        <xdr:spPr>
          <a:xfrm>
            <a:off x="608" y="15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219"/>
          <xdr:cNvSpPr>
            <a:spLocks/>
          </xdr:cNvSpPr>
        </xdr:nvSpPr>
        <xdr:spPr>
          <a:xfrm>
            <a:off x="607" y="15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220"/>
          <xdr:cNvSpPr>
            <a:spLocks/>
          </xdr:cNvSpPr>
        </xdr:nvSpPr>
        <xdr:spPr>
          <a:xfrm>
            <a:off x="606" y="15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221"/>
          <xdr:cNvSpPr>
            <a:spLocks/>
          </xdr:cNvSpPr>
        </xdr:nvSpPr>
        <xdr:spPr>
          <a:xfrm>
            <a:off x="605" y="15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222"/>
          <xdr:cNvSpPr>
            <a:spLocks/>
          </xdr:cNvSpPr>
        </xdr:nvSpPr>
        <xdr:spPr>
          <a:xfrm>
            <a:off x="610" y="156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223"/>
          <xdr:cNvSpPr>
            <a:spLocks/>
          </xdr:cNvSpPr>
        </xdr:nvSpPr>
        <xdr:spPr>
          <a:xfrm flipV="1">
            <a:off x="601" y="150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16</xdr:row>
      <xdr:rowOff>76200</xdr:rowOff>
    </xdr:from>
    <xdr:to>
      <xdr:col>6</xdr:col>
      <xdr:colOff>533400</xdr:colOff>
      <xdr:row>16</xdr:row>
      <xdr:rowOff>180975</xdr:rowOff>
    </xdr:to>
    <xdr:sp>
      <xdr:nvSpPr>
        <xdr:cNvPr id="81" name="AutoShape 224"/>
        <xdr:cNvSpPr>
          <a:spLocks/>
        </xdr:cNvSpPr>
      </xdr:nvSpPr>
      <xdr:spPr>
        <a:xfrm>
          <a:off x="4429125" y="3438525"/>
          <a:ext cx="104775" cy="1047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16</xdr:row>
      <xdr:rowOff>85725</xdr:rowOff>
    </xdr:from>
    <xdr:to>
      <xdr:col>6</xdr:col>
      <xdr:colOff>466725</xdr:colOff>
      <xdr:row>16</xdr:row>
      <xdr:rowOff>123825</xdr:rowOff>
    </xdr:to>
    <xdr:sp>
      <xdr:nvSpPr>
        <xdr:cNvPr id="82" name="Line 225"/>
        <xdr:cNvSpPr>
          <a:spLocks/>
        </xdr:cNvSpPr>
      </xdr:nvSpPr>
      <xdr:spPr>
        <a:xfrm>
          <a:off x="4467225" y="3448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85725</xdr:rowOff>
    </xdr:from>
    <xdr:to>
      <xdr:col>6</xdr:col>
      <xdr:colOff>457200</xdr:colOff>
      <xdr:row>16</xdr:row>
      <xdr:rowOff>123825</xdr:rowOff>
    </xdr:to>
    <xdr:sp>
      <xdr:nvSpPr>
        <xdr:cNvPr id="83" name="Line 226"/>
        <xdr:cNvSpPr>
          <a:spLocks/>
        </xdr:cNvSpPr>
      </xdr:nvSpPr>
      <xdr:spPr>
        <a:xfrm>
          <a:off x="4457700" y="3448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95250</xdr:rowOff>
    </xdr:from>
    <xdr:to>
      <xdr:col>6</xdr:col>
      <xdr:colOff>438150</xdr:colOff>
      <xdr:row>16</xdr:row>
      <xdr:rowOff>123825</xdr:rowOff>
    </xdr:to>
    <xdr:sp>
      <xdr:nvSpPr>
        <xdr:cNvPr id="84" name="Line 227"/>
        <xdr:cNvSpPr>
          <a:spLocks/>
        </xdr:cNvSpPr>
      </xdr:nvSpPr>
      <xdr:spPr>
        <a:xfrm>
          <a:off x="4438650" y="3457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104775</xdr:rowOff>
    </xdr:from>
    <xdr:to>
      <xdr:col>6</xdr:col>
      <xdr:colOff>428625</xdr:colOff>
      <xdr:row>16</xdr:row>
      <xdr:rowOff>123825</xdr:rowOff>
    </xdr:to>
    <xdr:sp>
      <xdr:nvSpPr>
        <xdr:cNvPr id="85" name="Line 228"/>
        <xdr:cNvSpPr>
          <a:spLocks/>
        </xdr:cNvSpPr>
      </xdr:nvSpPr>
      <xdr:spPr>
        <a:xfrm>
          <a:off x="4429125" y="3467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133350</xdr:rowOff>
    </xdr:from>
    <xdr:to>
      <xdr:col>6</xdr:col>
      <xdr:colOff>504825</xdr:colOff>
      <xdr:row>16</xdr:row>
      <xdr:rowOff>161925</xdr:rowOff>
    </xdr:to>
    <xdr:sp>
      <xdr:nvSpPr>
        <xdr:cNvPr id="86" name="Line 229"/>
        <xdr:cNvSpPr>
          <a:spLocks/>
        </xdr:cNvSpPr>
      </xdr:nvSpPr>
      <xdr:spPr>
        <a:xfrm>
          <a:off x="4505325" y="3495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16</xdr:row>
      <xdr:rowOff>133350</xdr:rowOff>
    </xdr:from>
    <xdr:to>
      <xdr:col>6</xdr:col>
      <xdr:colOff>495300</xdr:colOff>
      <xdr:row>16</xdr:row>
      <xdr:rowOff>171450</xdr:rowOff>
    </xdr:to>
    <xdr:sp>
      <xdr:nvSpPr>
        <xdr:cNvPr id="87" name="Line 230"/>
        <xdr:cNvSpPr>
          <a:spLocks/>
        </xdr:cNvSpPr>
      </xdr:nvSpPr>
      <xdr:spPr>
        <a:xfrm>
          <a:off x="4495800" y="3495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16</xdr:row>
      <xdr:rowOff>133350</xdr:rowOff>
    </xdr:from>
    <xdr:to>
      <xdr:col>6</xdr:col>
      <xdr:colOff>495300</xdr:colOff>
      <xdr:row>16</xdr:row>
      <xdr:rowOff>171450</xdr:rowOff>
    </xdr:to>
    <xdr:sp>
      <xdr:nvSpPr>
        <xdr:cNvPr id="88" name="Line 231"/>
        <xdr:cNvSpPr>
          <a:spLocks/>
        </xdr:cNvSpPr>
      </xdr:nvSpPr>
      <xdr:spPr>
        <a:xfrm>
          <a:off x="4495800" y="3495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133350</xdr:rowOff>
    </xdr:from>
    <xdr:to>
      <xdr:col>6</xdr:col>
      <xdr:colOff>485775</xdr:colOff>
      <xdr:row>16</xdr:row>
      <xdr:rowOff>171450</xdr:rowOff>
    </xdr:to>
    <xdr:sp>
      <xdr:nvSpPr>
        <xdr:cNvPr id="89" name="Line 232"/>
        <xdr:cNvSpPr>
          <a:spLocks/>
        </xdr:cNvSpPr>
      </xdr:nvSpPr>
      <xdr:spPr>
        <a:xfrm>
          <a:off x="4486275" y="3495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16</xdr:row>
      <xdr:rowOff>133350</xdr:rowOff>
    </xdr:from>
    <xdr:to>
      <xdr:col>6</xdr:col>
      <xdr:colOff>523875</xdr:colOff>
      <xdr:row>16</xdr:row>
      <xdr:rowOff>152400</xdr:rowOff>
    </xdr:to>
    <xdr:sp>
      <xdr:nvSpPr>
        <xdr:cNvPr id="90" name="Line 233"/>
        <xdr:cNvSpPr>
          <a:spLocks/>
        </xdr:cNvSpPr>
      </xdr:nvSpPr>
      <xdr:spPr>
        <a:xfrm>
          <a:off x="4524375" y="3495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85725</xdr:rowOff>
    </xdr:from>
    <xdr:to>
      <xdr:col>6</xdr:col>
      <xdr:colOff>457200</xdr:colOff>
      <xdr:row>16</xdr:row>
      <xdr:rowOff>123825</xdr:rowOff>
    </xdr:to>
    <xdr:sp>
      <xdr:nvSpPr>
        <xdr:cNvPr id="91" name="Line 234"/>
        <xdr:cNvSpPr>
          <a:spLocks/>
        </xdr:cNvSpPr>
      </xdr:nvSpPr>
      <xdr:spPr>
        <a:xfrm flipV="1">
          <a:off x="4457700" y="3448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16</xdr:row>
      <xdr:rowOff>123825</xdr:rowOff>
    </xdr:from>
    <xdr:to>
      <xdr:col>7</xdr:col>
      <xdr:colOff>371475</xdr:colOff>
      <xdr:row>16</xdr:row>
      <xdr:rowOff>161925</xdr:rowOff>
    </xdr:to>
    <xdr:sp>
      <xdr:nvSpPr>
        <xdr:cNvPr id="92" name="Line 235"/>
        <xdr:cNvSpPr>
          <a:spLocks/>
        </xdr:cNvSpPr>
      </xdr:nvSpPr>
      <xdr:spPr>
        <a:xfrm>
          <a:off x="5086350" y="3486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161925</xdr:rowOff>
    </xdr:from>
    <xdr:to>
      <xdr:col>10</xdr:col>
      <xdr:colOff>400050</xdr:colOff>
      <xdr:row>18</xdr:row>
      <xdr:rowOff>76200</xdr:rowOff>
    </xdr:to>
    <xdr:sp>
      <xdr:nvSpPr>
        <xdr:cNvPr id="93" name="Line 236"/>
        <xdr:cNvSpPr>
          <a:spLocks/>
        </xdr:cNvSpPr>
      </xdr:nvSpPr>
      <xdr:spPr>
        <a:xfrm>
          <a:off x="6943725" y="619125"/>
          <a:ext cx="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152400</xdr:rowOff>
    </xdr:from>
    <xdr:to>
      <xdr:col>11</xdr:col>
      <xdr:colOff>219075</xdr:colOff>
      <xdr:row>2</xdr:row>
      <xdr:rowOff>152400</xdr:rowOff>
    </xdr:to>
    <xdr:sp>
      <xdr:nvSpPr>
        <xdr:cNvPr id="94" name="Line 237"/>
        <xdr:cNvSpPr>
          <a:spLocks/>
        </xdr:cNvSpPr>
      </xdr:nvSpPr>
      <xdr:spPr>
        <a:xfrm>
          <a:off x="6943725" y="609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2</xdr:row>
      <xdr:rowOff>152400</xdr:rowOff>
    </xdr:from>
    <xdr:to>
      <xdr:col>11</xdr:col>
      <xdr:colOff>219075</xdr:colOff>
      <xdr:row>18</xdr:row>
      <xdr:rowOff>85725</xdr:rowOff>
    </xdr:to>
    <xdr:sp>
      <xdr:nvSpPr>
        <xdr:cNvPr id="95" name="Line 238"/>
        <xdr:cNvSpPr>
          <a:spLocks/>
        </xdr:cNvSpPr>
      </xdr:nvSpPr>
      <xdr:spPr>
        <a:xfrm flipH="1">
          <a:off x="6524625" y="609600"/>
          <a:ext cx="847725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18</xdr:row>
      <xdr:rowOff>85725</xdr:rowOff>
    </xdr:from>
    <xdr:to>
      <xdr:col>10</xdr:col>
      <xdr:colOff>400050</xdr:colOff>
      <xdr:row>18</xdr:row>
      <xdr:rowOff>85725</xdr:rowOff>
    </xdr:to>
    <xdr:sp>
      <xdr:nvSpPr>
        <xdr:cNvPr id="96" name="Line 239"/>
        <xdr:cNvSpPr>
          <a:spLocks/>
        </xdr:cNvSpPr>
      </xdr:nvSpPr>
      <xdr:spPr>
        <a:xfrm>
          <a:off x="6524625" y="3857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5</xdr:row>
      <xdr:rowOff>47625</xdr:rowOff>
    </xdr:from>
    <xdr:to>
      <xdr:col>11</xdr:col>
      <xdr:colOff>114300</xdr:colOff>
      <xdr:row>5</xdr:row>
      <xdr:rowOff>47625</xdr:rowOff>
    </xdr:to>
    <xdr:sp>
      <xdr:nvSpPr>
        <xdr:cNvPr id="97" name="Line 240"/>
        <xdr:cNvSpPr>
          <a:spLocks/>
        </xdr:cNvSpPr>
      </xdr:nvSpPr>
      <xdr:spPr>
        <a:xfrm>
          <a:off x="6934200" y="11049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38100</xdr:rowOff>
    </xdr:from>
    <xdr:to>
      <xdr:col>11</xdr:col>
      <xdr:colOff>514350</xdr:colOff>
      <xdr:row>5</xdr:row>
      <xdr:rowOff>152400</xdr:rowOff>
    </xdr:to>
    <xdr:sp>
      <xdr:nvSpPr>
        <xdr:cNvPr id="98" name="Text Box 241"/>
        <xdr:cNvSpPr txBox="1">
          <a:spLocks noChangeArrowheads="1"/>
        </xdr:cNvSpPr>
      </xdr:nvSpPr>
      <xdr:spPr>
        <a:xfrm>
          <a:off x="7381875" y="89535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10</xdr:col>
      <xdr:colOff>514350</xdr:colOff>
      <xdr:row>17</xdr:row>
      <xdr:rowOff>133350</xdr:rowOff>
    </xdr:from>
    <xdr:to>
      <xdr:col>11</xdr:col>
      <xdr:colOff>123825</xdr:colOff>
      <xdr:row>19</xdr:row>
      <xdr:rowOff>47625</xdr:rowOff>
    </xdr:to>
    <xdr:sp>
      <xdr:nvSpPr>
        <xdr:cNvPr id="99" name="Text Box 242"/>
        <xdr:cNvSpPr txBox="1">
          <a:spLocks noChangeArrowheads="1"/>
        </xdr:cNvSpPr>
      </xdr:nvSpPr>
      <xdr:spPr>
        <a:xfrm>
          <a:off x="7058025" y="37052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</a:p>
      </xdr:txBody>
    </xdr:sp>
    <xdr:clientData/>
  </xdr:twoCellAnchor>
  <xdr:twoCellAnchor>
    <xdr:from>
      <xdr:col>11</xdr:col>
      <xdr:colOff>323850</xdr:colOff>
      <xdr:row>1</xdr:row>
      <xdr:rowOff>161925</xdr:rowOff>
    </xdr:from>
    <xdr:to>
      <xdr:col>11</xdr:col>
      <xdr:colOff>533400</xdr:colOff>
      <xdr:row>3</xdr:row>
      <xdr:rowOff>76200</xdr:rowOff>
    </xdr:to>
    <xdr:sp>
      <xdr:nvSpPr>
        <xdr:cNvPr id="100" name="Text Box 243"/>
        <xdr:cNvSpPr txBox="1">
          <a:spLocks noChangeArrowheads="1"/>
        </xdr:cNvSpPr>
      </xdr:nvSpPr>
      <xdr:spPr>
        <a:xfrm>
          <a:off x="7477125" y="419100"/>
          <a:ext cx="20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</a:p>
      </xdr:txBody>
    </xdr:sp>
    <xdr:clientData/>
  </xdr:twoCellAnchor>
  <xdr:twoCellAnchor>
    <xdr:from>
      <xdr:col>10</xdr:col>
      <xdr:colOff>533400</xdr:colOff>
      <xdr:row>9</xdr:row>
      <xdr:rowOff>180975</xdr:rowOff>
    </xdr:from>
    <xdr:to>
      <xdr:col>11</xdr:col>
      <xdr:colOff>133350</xdr:colOff>
      <xdr:row>11</xdr:row>
      <xdr:rowOff>57150</xdr:rowOff>
    </xdr:to>
    <xdr:sp>
      <xdr:nvSpPr>
        <xdr:cNvPr id="101" name="Text Box 244"/>
        <xdr:cNvSpPr txBox="1">
          <a:spLocks noChangeArrowheads="1"/>
        </xdr:cNvSpPr>
      </xdr:nvSpPr>
      <xdr:spPr>
        <a:xfrm>
          <a:off x="7077075" y="209550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10</xdr:col>
      <xdr:colOff>200025</xdr:colOff>
      <xdr:row>2</xdr:row>
      <xdr:rowOff>142875</xdr:rowOff>
    </xdr:from>
    <xdr:to>
      <xdr:col>10</xdr:col>
      <xdr:colOff>209550</xdr:colOff>
      <xdr:row>5</xdr:row>
      <xdr:rowOff>66675</xdr:rowOff>
    </xdr:to>
    <xdr:sp>
      <xdr:nvSpPr>
        <xdr:cNvPr id="102" name="Line 245"/>
        <xdr:cNvSpPr>
          <a:spLocks/>
        </xdr:cNvSpPr>
      </xdr:nvSpPr>
      <xdr:spPr>
        <a:xfrm>
          <a:off x="6743700" y="6000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5</xdr:row>
      <xdr:rowOff>57150</xdr:rowOff>
    </xdr:from>
    <xdr:to>
      <xdr:col>10</xdr:col>
      <xdr:colOff>200025</xdr:colOff>
      <xdr:row>10</xdr:row>
      <xdr:rowOff>57150</xdr:rowOff>
    </xdr:to>
    <xdr:sp>
      <xdr:nvSpPr>
        <xdr:cNvPr id="103" name="Line 246"/>
        <xdr:cNvSpPr>
          <a:spLocks/>
        </xdr:cNvSpPr>
      </xdr:nvSpPr>
      <xdr:spPr>
        <a:xfrm flipH="1">
          <a:off x="6743700" y="11144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</xdr:row>
      <xdr:rowOff>161925</xdr:rowOff>
    </xdr:from>
    <xdr:to>
      <xdr:col>10</xdr:col>
      <xdr:colOff>85725</xdr:colOff>
      <xdr:row>4</xdr:row>
      <xdr:rowOff>76200</xdr:rowOff>
    </xdr:to>
    <xdr:sp>
      <xdr:nvSpPr>
        <xdr:cNvPr id="104" name="Text Box 247"/>
        <xdr:cNvSpPr txBox="1">
          <a:spLocks noChangeArrowheads="1"/>
        </xdr:cNvSpPr>
      </xdr:nvSpPr>
      <xdr:spPr>
        <a:xfrm>
          <a:off x="6410325" y="6191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9</xdr:col>
      <xdr:colOff>495300</xdr:colOff>
      <xdr:row>6</xdr:row>
      <xdr:rowOff>142875</xdr:rowOff>
    </xdr:from>
    <xdr:to>
      <xdr:col>10</xdr:col>
      <xdr:colOff>95250</xdr:colOff>
      <xdr:row>8</xdr:row>
      <xdr:rowOff>57150</xdr:rowOff>
    </xdr:to>
    <xdr:sp>
      <xdr:nvSpPr>
        <xdr:cNvPr id="105" name="Text Box 248"/>
        <xdr:cNvSpPr txBox="1">
          <a:spLocks noChangeArrowheads="1"/>
        </xdr:cNvSpPr>
      </xdr:nvSpPr>
      <xdr:spPr>
        <a:xfrm>
          <a:off x="6429375" y="1400175"/>
          <a:ext cx="20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26670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28575</xdr:rowOff>
    </xdr:from>
    <xdr:to>
      <xdr:col>6</xdr:col>
      <xdr:colOff>342900</xdr:colOff>
      <xdr:row>1</xdr:row>
      <xdr:rowOff>95250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067175" y="2857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552450</xdr:colOff>
      <xdr:row>9</xdr:row>
      <xdr:rowOff>161925</xdr:rowOff>
    </xdr:from>
    <xdr:to>
      <xdr:col>15</xdr:col>
      <xdr:colOff>514350</xdr:colOff>
      <xdr:row>9</xdr:row>
      <xdr:rowOff>161925</xdr:rowOff>
    </xdr:to>
    <xdr:sp>
      <xdr:nvSpPr>
        <xdr:cNvPr id="3" name="Line 115"/>
        <xdr:cNvSpPr>
          <a:spLocks/>
        </xdr:cNvSpPr>
      </xdr:nvSpPr>
      <xdr:spPr>
        <a:xfrm flipH="1">
          <a:off x="9534525" y="2076450"/>
          <a:ext cx="571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4" name="Rectangle 116"/>
        <xdr:cNvSpPr>
          <a:spLocks/>
        </xdr:cNvSpPr>
      </xdr:nvSpPr>
      <xdr:spPr>
        <a:xfrm>
          <a:off x="0" y="0"/>
          <a:ext cx="26670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5" name="Rectangle 117"/>
        <xdr:cNvSpPr>
          <a:spLocks/>
        </xdr:cNvSpPr>
      </xdr:nvSpPr>
      <xdr:spPr>
        <a:xfrm>
          <a:off x="0" y="0"/>
          <a:ext cx="26670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0</xdr:rowOff>
    </xdr:from>
    <xdr:to>
      <xdr:col>7</xdr:col>
      <xdr:colOff>304800</xdr:colOff>
      <xdr:row>3</xdr:row>
      <xdr:rowOff>19050</xdr:rowOff>
    </xdr:to>
    <xdr:sp>
      <xdr:nvSpPr>
        <xdr:cNvPr id="6" name="Text Box 118"/>
        <xdr:cNvSpPr txBox="1">
          <a:spLocks noChangeArrowheads="1"/>
        </xdr:cNvSpPr>
      </xdr:nvSpPr>
      <xdr:spPr>
        <a:xfrm>
          <a:off x="4733925" y="4572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190500</xdr:rowOff>
    </xdr:from>
    <xdr:to>
      <xdr:col>8</xdr:col>
      <xdr:colOff>66675</xdr:colOff>
      <xdr:row>5</xdr:row>
      <xdr:rowOff>66675</xdr:rowOff>
    </xdr:to>
    <xdr:sp>
      <xdr:nvSpPr>
        <xdr:cNvPr id="7" name="Rectangle 119"/>
        <xdr:cNvSpPr>
          <a:spLocks/>
        </xdr:cNvSpPr>
      </xdr:nvSpPr>
      <xdr:spPr>
        <a:xfrm>
          <a:off x="4181475" y="1047750"/>
          <a:ext cx="1209675" cy="76200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95250</xdr:colOff>
      <xdr:row>9</xdr:row>
      <xdr:rowOff>180975</xdr:rowOff>
    </xdr:to>
    <xdr:sp>
      <xdr:nvSpPr>
        <xdr:cNvPr id="8" name="Rectangle 120"/>
        <xdr:cNvSpPr>
          <a:spLocks/>
        </xdr:cNvSpPr>
      </xdr:nvSpPr>
      <xdr:spPr>
        <a:xfrm>
          <a:off x="4743450" y="1057275"/>
          <a:ext cx="66675" cy="1038225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142875</xdr:rowOff>
    </xdr:from>
    <xdr:to>
      <xdr:col>8</xdr:col>
      <xdr:colOff>133350</xdr:colOff>
      <xdr:row>18</xdr:row>
      <xdr:rowOff>85725</xdr:rowOff>
    </xdr:to>
    <xdr:sp>
      <xdr:nvSpPr>
        <xdr:cNvPr id="9" name="Rectangle 121"/>
        <xdr:cNvSpPr>
          <a:spLocks/>
        </xdr:cNvSpPr>
      </xdr:nvSpPr>
      <xdr:spPr>
        <a:xfrm>
          <a:off x="4067175" y="600075"/>
          <a:ext cx="1390650" cy="3257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0</xdr:rowOff>
    </xdr:from>
    <xdr:to>
      <xdr:col>8</xdr:col>
      <xdr:colOff>28575</xdr:colOff>
      <xdr:row>11</xdr:row>
      <xdr:rowOff>76200</xdr:rowOff>
    </xdr:to>
    <xdr:sp>
      <xdr:nvSpPr>
        <xdr:cNvPr id="10" name="Rectangle 122"/>
        <xdr:cNvSpPr>
          <a:spLocks/>
        </xdr:cNvSpPr>
      </xdr:nvSpPr>
      <xdr:spPr>
        <a:xfrm>
          <a:off x="4143375" y="2362200"/>
          <a:ext cx="1209675" cy="76200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152400</xdr:rowOff>
    </xdr:from>
    <xdr:to>
      <xdr:col>5</xdr:col>
      <xdr:colOff>409575</xdr:colOff>
      <xdr:row>18</xdr:row>
      <xdr:rowOff>76200</xdr:rowOff>
    </xdr:to>
    <xdr:sp>
      <xdr:nvSpPr>
        <xdr:cNvPr id="11" name="Line 123"/>
        <xdr:cNvSpPr>
          <a:spLocks/>
        </xdr:cNvSpPr>
      </xdr:nvSpPr>
      <xdr:spPr>
        <a:xfrm>
          <a:off x="3762375" y="609600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</xdr:row>
      <xdr:rowOff>114300</xdr:rowOff>
    </xdr:from>
    <xdr:to>
      <xdr:col>5</xdr:col>
      <xdr:colOff>457200</xdr:colOff>
      <xdr:row>9</xdr:row>
      <xdr:rowOff>171450</xdr:rowOff>
    </xdr:to>
    <xdr:sp>
      <xdr:nvSpPr>
        <xdr:cNvPr id="12" name="Text Box 124"/>
        <xdr:cNvSpPr txBox="1">
          <a:spLocks noChangeArrowheads="1"/>
        </xdr:cNvSpPr>
      </xdr:nvSpPr>
      <xdr:spPr>
        <a:xfrm>
          <a:off x="3609975" y="17716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6</xdr:col>
      <xdr:colOff>66675</xdr:colOff>
      <xdr:row>1</xdr:row>
      <xdr:rowOff>152400</xdr:rowOff>
    </xdr:from>
    <xdr:to>
      <xdr:col>8</xdr:col>
      <xdr:colOff>123825</xdr:colOff>
      <xdr:row>1</xdr:row>
      <xdr:rowOff>152400</xdr:rowOff>
    </xdr:to>
    <xdr:sp>
      <xdr:nvSpPr>
        <xdr:cNvPr id="13" name="Line 125"/>
        <xdr:cNvSpPr>
          <a:spLocks/>
        </xdr:cNvSpPr>
      </xdr:nvSpPr>
      <xdr:spPr>
        <a:xfrm>
          <a:off x="406717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200025</xdr:rowOff>
    </xdr:from>
    <xdr:to>
      <xdr:col>7</xdr:col>
      <xdr:colOff>209550</xdr:colOff>
      <xdr:row>2</xdr:row>
      <xdr:rowOff>66675</xdr:rowOff>
    </xdr:to>
    <xdr:sp>
      <xdr:nvSpPr>
        <xdr:cNvPr id="14" name="Text Box 126"/>
        <xdr:cNvSpPr txBox="1">
          <a:spLocks noChangeArrowheads="1"/>
        </xdr:cNvSpPr>
      </xdr:nvSpPr>
      <xdr:spPr>
        <a:xfrm>
          <a:off x="4648200" y="2000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57150</xdr:colOff>
      <xdr:row>0</xdr:row>
      <xdr:rowOff>142875</xdr:rowOff>
    </xdr:from>
    <xdr:to>
      <xdr:col>7</xdr:col>
      <xdr:colOff>66675</xdr:colOff>
      <xdr:row>20</xdr:row>
      <xdr:rowOff>57150</xdr:rowOff>
    </xdr:to>
    <xdr:sp>
      <xdr:nvSpPr>
        <xdr:cNvPr id="15" name="Line 127"/>
        <xdr:cNvSpPr>
          <a:spLocks/>
        </xdr:cNvSpPr>
      </xdr:nvSpPr>
      <xdr:spPr>
        <a:xfrm flipV="1">
          <a:off x="4772025" y="142875"/>
          <a:ext cx="9525" cy="4086225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4</xdr:row>
      <xdr:rowOff>57150</xdr:rowOff>
    </xdr:from>
    <xdr:to>
      <xdr:col>9</xdr:col>
      <xdr:colOff>219075</xdr:colOff>
      <xdr:row>18</xdr:row>
      <xdr:rowOff>95250</xdr:rowOff>
    </xdr:to>
    <xdr:sp>
      <xdr:nvSpPr>
        <xdr:cNvPr id="16" name="Line 128"/>
        <xdr:cNvSpPr>
          <a:spLocks/>
        </xdr:cNvSpPr>
      </xdr:nvSpPr>
      <xdr:spPr>
        <a:xfrm>
          <a:off x="6153150" y="914400"/>
          <a:ext cx="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104775</xdr:rowOff>
    </xdr:from>
    <xdr:to>
      <xdr:col>8</xdr:col>
      <xdr:colOff>514350</xdr:colOff>
      <xdr:row>18</xdr:row>
      <xdr:rowOff>104775</xdr:rowOff>
    </xdr:to>
    <xdr:sp>
      <xdr:nvSpPr>
        <xdr:cNvPr id="17" name="Line 129"/>
        <xdr:cNvSpPr>
          <a:spLocks/>
        </xdr:cNvSpPr>
      </xdr:nvSpPr>
      <xdr:spPr>
        <a:xfrm>
          <a:off x="5838825" y="13620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10</xdr:row>
      <xdr:rowOff>95250</xdr:rowOff>
    </xdr:from>
    <xdr:to>
      <xdr:col>9</xdr:col>
      <xdr:colOff>514350</xdr:colOff>
      <xdr:row>11</xdr:row>
      <xdr:rowOff>142875</xdr:rowOff>
    </xdr:to>
    <xdr:sp>
      <xdr:nvSpPr>
        <xdr:cNvPr id="18" name="Text Box 130"/>
        <xdr:cNvSpPr txBox="1">
          <a:spLocks noChangeArrowheads="1"/>
        </xdr:cNvSpPr>
      </xdr:nvSpPr>
      <xdr:spPr>
        <a:xfrm>
          <a:off x="6143625" y="2247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8</xdr:col>
      <xdr:colOff>485775</xdr:colOff>
      <xdr:row>10</xdr:row>
      <xdr:rowOff>57150</xdr:rowOff>
    </xdr:from>
    <xdr:to>
      <xdr:col>9</xdr:col>
      <xdr:colOff>161925</xdr:colOff>
      <xdr:row>12</xdr:row>
      <xdr:rowOff>57150</xdr:rowOff>
    </xdr:to>
    <xdr:sp>
      <xdr:nvSpPr>
        <xdr:cNvPr id="19" name="Text Box 131"/>
        <xdr:cNvSpPr txBox="1">
          <a:spLocks noChangeArrowheads="1"/>
        </xdr:cNvSpPr>
      </xdr:nvSpPr>
      <xdr:spPr>
        <a:xfrm>
          <a:off x="5810250" y="22098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5</xdr:col>
      <xdr:colOff>180975</xdr:colOff>
      <xdr:row>18</xdr:row>
      <xdr:rowOff>85725</xdr:rowOff>
    </xdr:from>
    <xdr:to>
      <xdr:col>6</xdr:col>
      <xdr:colOff>9525</xdr:colOff>
      <xdr:row>18</xdr:row>
      <xdr:rowOff>85725</xdr:rowOff>
    </xdr:to>
    <xdr:sp>
      <xdr:nvSpPr>
        <xdr:cNvPr id="20" name="Line 132"/>
        <xdr:cNvSpPr>
          <a:spLocks/>
        </xdr:cNvSpPr>
      </xdr:nvSpPr>
      <xdr:spPr>
        <a:xfrm>
          <a:off x="3533775" y="3857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95250</xdr:rowOff>
    </xdr:from>
    <xdr:to>
      <xdr:col>9</xdr:col>
      <xdr:colOff>285750</xdr:colOff>
      <xdr:row>18</xdr:row>
      <xdr:rowOff>95250</xdr:rowOff>
    </xdr:to>
    <xdr:sp>
      <xdr:nvSpPr>
        <xdr:cNvPr id="21" name="Line 133"/>
        <xdr:cNvSpPr>
          <a:spLocks/>
        </xdr:cNvSpPr>
      </xdr:nvSpPr>
      <xdr:spPr>
        <a:xfrm>
          <a:off x="5467350" y="38671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85725</xdr:rowOff>
    </xdr:from>
    <xdr:to>
      <xdr:col>6</xdr:col>
      <xdr:colOff>66675</xdr:colOff>
      <xdr:row>2</xdr:row>
      <xdr:rowOff>104775</xdr:rowOff>
    </xdr:to>
    <xdr:sp>
      <xdr:nvSpPr>
        <xdr:cNvPr id="22" name="Line 134"/>
        <xdr:cNvSpPr>
          <a:spLocks/>
        </xdr:cNvSpPr>
      </xdr:nvSpPr>
      <xdr:spPr>
        <a:xfrm>
          <a:off x="4067175" y="342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85725</xdr:rowOff>
    </xdr:from>
    <xdr:to>
      <xdr:col>8</xdr:col>
      <xdr:colOff>133350</xdr:colOff>
      <xdr:row>2</xdr:row>
      <xdr:rowOff>104775</xdr:rowOff>
    </xdr:to>
    <xdr:sp>
      <xdr:nvSpPr>
        <xdr:cNvPr id="23" name="Line 135"/>
        <xdr:cNvSpPr>
          <a:spLocks/>
        </xdr:cNvSpPr>
      </xdr:nvSpPr>
      <xdr:spPr>
        <a:xfrm>
          <a:off x="5457825" y="342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9</xdr:col>
      <xdr:colOff>295275</xdr:colOff>
      <xdr:row>4</xdr:row>
      <xdr:rowOff>47625</xdr:rowOff>
    </xdr:to>
    <xdr:sp>
      <xdr:nvSpPr>
        <xdr:cNvPr id="24" name="Line 136"/>
        <xdr:cNvSpPr>
          <a:spLocks/>
        </xdr:cNvSpPr>
      </xdr:nvSpPr>
      <xdr:spPr>
        <a:xfrm flipH="1">
          <a:off x="5381625" y="9048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104775</xdr:rowOff>
    </xdr:from>
    <xdr:to>
      <xdr:col>9</xdr:col>
      <xdr:colOff>57150</xdr:colOff>
      <xdr:row>6</xdr:row>
      <xdr:rowOff>104775</xdr:rowOff>
    </xdr:to>
    <xdr:sp>
      <xdr:nvSpPr>
        <xdr:cNvPr id="25" name="Line 137"/>
        <xdr:cNvSpPr>
          <a:spLocks/>
        </xdr:cNvSpPr>
      </xdr:nvSpPr>
      <xdr:spPr>
        <a:xfrm flipH="1">
          <a:off x="5419725" y="1362075"/>
          <a:ext cx="571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</xdr:row>
      <xdr:rowOff>142875</xdr:rowOff>
    </xdr:from>
    <xdr:to>
      <xdr:col>6</xdr:col>
      <xdr:colOff>9525</xdr:colOff>
      <xdr:row>2</xdr:row>
      <xdr:rowOff>142875</xdr:rowOff>
    </xdr:to>
    <xdr:sp>
      <xdr:nvSpPr>
        <xdr:cNvPr id="26" name="Line 138"/>
        <xdr:cNvSpPr>
          <a:spLocks/>
        </xdr:cNvSpPr>
      </xdr:nvSpPr>
      <xdr:spPr>
        <a:xfrm flipH="1">
          <a:off x="3609975" y="600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</xdr:row>
      <xdr:rowOff>190500</xdr:rowOff>
    </xdr:from>
    <xdr:to>
      <xdr:col>7</xdr:col>
      <xdr:colOff>400050</xdr:colOff>
      <xdr:row>4</xdr:row>
      <xdr:rowOff>95250</xdr:rowOff>
    </xdr:to>
    <xdr:sp>
      <xdr:nvSpPr>
        <xdr:cNvPr id="27" name="AutoShape 139"/>
        <xdr:cNvSpPr>
          <a:spLocks/>
        </xdr:cNvSpPr>
      </xdr:nvSpPr>
      <xdr:spPr>
        <a:xfrm>
          <a:off x="5000625" y="847725"/>
          <a:ext cx="114300" cy="1047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4</xdr:row>
      <xdr:rowOff>0</xdr:rowOff>
    </xdr:from>
    <xdr:to>
      <xdr:col>7</xdr:col>
      <xdr:colOff>342900</xdr:colOff>
      <xdr:row>4</xdr:row>
      <xdr:rowOff>38100</xdr:rowOff>
    </xdr:to>
    <xdr:sp>
      <xdr:nvSpPr>
        <xdr:cNvPr id="28" name="Line 140"/>
        <xdr:cNvSpPr>
          <a:spLocks/>
        </xdr:cNvSpPr>
      </xdr:nvSpPr>
      <xdr:spPr>
        <a:xfrm>
          <a:off x="5057775" y="8572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4</xdr:row>
      <xdr:rowOff>0</xdr:rowOff>
    </xdr:from>
    <xdr:to>
      <xdr:col>7</xdr:col>
      <xdr:colOff>323850</xdr:colOff>
      <xdr:row>4</xdr:row>
      <xdr:rowOff>38100</xdr:rowOff>
    </xdr:to>
    <xdr:sp>
      <xdr:nvSpPr>
        <xdr:cNvPr id="29" name="Line 141"/>
        <xdr:cNvSpPr>
          <a:spLocks/>
        </xdr:cNvSpPr>
      </xdr:nvSpPr>
      <xdr:spPr>
        <a:xfrm>
          <a:off x="5038725" y="8572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4</xdr:row>
      <xdr:rowOff>0</xdr:rowOff>
    </xdr:from>
    <xdr:to>
      <xdr:col>7</xdr:col>
      <xdr:colOff>323850</xdr:colOff>
      <xdr:row>4</xdr:row>
      <xdr:rowOff>38100</xdr:rowOff>
    </xdr:to>
    <xdr:sp>
      <xdr:nvSpPr>
        <xdr:cNvPr id="30" name="Line 142"/>
        <xdr:cNvSpPr>
          <a:spLocks/>
        </xdr:cNvSpPr>
      </xdr:nvSpPr>
      <xdr:spPr>
        <a:xfrm>
          <a:off x="5038725" y="8572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</xdr:row>
      <xdr:rowOff>9525</xdr:rowOff>
    </xdr:from>
    <xdr:to>
      <xdr:col>7</xdr:col>
      <xdr:colOff>314325</xdr:colOff>
      <xdr:row>4</xdr:row>
      <xdr:rowOff>38100</xdr:rowOff>
    </xdr:to>
    <xdr:sp>
      <xdr:nvSpPr>
        <xdr:cNvPr id="31" name="Line 143"/>
        <xdr:cNvSpPr>
          <a:spLocks/>
        </xdr:cNvSpPr>
      </xdr:nvSpPr>
      <xdr:spPr>
        <a:xfrm>
          <a:off x="5029200" y="866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</xdr:row>
      <xdr:rowOff>19050</xdr:rowOff>
    </xdr:from>
    <xdr:to>
      <xdr:col>7</xdr:col>
      <xdr:colOff>304800</xdr:colOff>
      <xdr:row>4</xdr:row>
      <xdr:rowOff>38100</xdr:rowOff>
    </xdr:to>
    <xdr:sp>
      <xdr:nvSpPr>
        <xdr:cNvPr id="32" name="Line 144"/>
        <xdr:cNvSpPr>
          <a:spLocks/>
        </xdr:cNvSpPr>
      </xdr:nvSpPr>
      <xdr:spPr>
        <a:xfrm>
          <a:off x="5019675" y="876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</xdr:row>
      <xdr:rowOff>47625</xdr:rowOff>
    </xdr:from>
    <xdr:to>
      <xdr:col>7</xdr:col>
      <xdr:colOff>381000</xdr:colOff>
      <xdr:row>4</xdr:row>
      <xdr:rowOff>76200</xdr:rowOff>
    </xdr:to>
    <xdr:sp>
      <xdr:nvSpPr>
        <xdr:cNvPr id="33" name="Line 145"/>
        <xdr:cNvSpPr>
          <a:spLocks/>
        </xdr:cNvSpPr>
      </xdr:nvSpPr>
      <xdr:spPr>
        <a:xfrm>
          <a:off x="5095875" y="904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</xdr:row>
      <xdr:rowOff>47625</xdr:rowOff>
    </xdr:from>
    <xdr:to>
      <xdr:col>7</xdr:col>
      <xdr:colOff>371475</xdr:colOff>
      <xdr:row>4</xdr:row>
      <xdr:rowOff>85725</xdr:rowOff>
    </xdr:to>
    <xdr:sp>
      <xdr:nvSpPr>
        <xdr:cNvPr id="34" name="Line 146"/>
        <xdr:cNvSpPr>
          <a:spLocks/>
        </xdr:cNvSpPr>
      </xdr:nvSpPr>
      <xdr:spPr>
        <a:xfrm>
          <a:off x="5086350" y="904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</xdr:row>
      <xdr:rowOff>47625</xdr:rowOff>
    </xdr:from>
    <xdr:to>
      <xdr:col>7</xdr:col>
      <xdr:colOff>361950</xdr:colOff>
      <xdr:row>4</xdr:row>
      <xdr:rowOff>85725</xdr:rowOff>
    </xdr:to>
    <xdr:sp>
      <xdr:nvSpPr>
        <xdr:cNvPr id="35" name="Line 147"/>
        <xdr:cNvSpPr>
          <a:spLocks/>
        </xdr:cNvSpPr>
      </xdr:nvSpPr>
      <xdr:spPr>
        <a:xfrm>
          <a:off x="5076825" y="904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4</xdr:row>
      <xdr:rowOff>47625</xdr:rowOff>
    </xdr:from>
    <xdr:to>
      <xdr:col>7</xdr:col>
      <xdr:colOff>352425</xdr:colOff>
      <xdr:row>4</xdr:row>
      <xdr:rowOff>85725</xdr:rowOff>
    </xdr:to>
    <xdr:sp>
      <xdr:nvSpPr>
        <xdr:cNvPr id="36" name="Line 148"/>
        <xdr:cNvSpPr>
          <a:spLocks/>
        </xdr:cNvSpPr>
      </xdr:nvSpPr>
      <xdr:spPr>
        <a:xfrm>
          <a:off x="5067300" y="904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</xdr:row>
      <xdr:rowOff>47625</xdr:rowOff>
    </xdr:from>
    <xdr:to>
      <xdr:col>7</xdr:col>
      <xdr:colOff>390525</xdr:colOff>
      <xdr:row>4</xdr:row>
      <xdr:rowOff>66675</xdr:rowOff>
    </xdr:to>
    <xdr:sp>
      <xdr:nvSpPr>
        <xdr:cNvPr id="37" name="Line 149"/>
        <xdr:cNvSpPr>
          <a:spLocks/>
        </xdr:cNvSpPr>
      </xdr:nvSpPr>
      <xdr:spPr>
        <a:xfrm>
          <a:off x="5105400" y="9048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180975</xdr:rowOff>
    </xdr:from>
    <xdr:to>
      <xdr:col>7</xdr:col>
      <xdr:colOff>95250</xdr:colOff>
      <xdr:row>18</xdr:row>
      <xdr:rowOff>9525</xdr:rowOff>
    </xdr:to>
    <xdr:sp>
      <xdr:nvSpPr>
        <xdr:cNvPr id="38" name="Rectangle 150"/>
        <xdr:cNvSpPr>
          <a:spLocks/>
        </xdr:cNvSpPr>
      </xdr:nvSpPr>
      <xdr:spPr>
        <a:xfrm>
          <a:off x="4752975" y="2095500"/>
          <a:ext cx="57150" cy="1685925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17</xdr:row>
      <xdr:rowOff>133350</xdr:rowOff>
    </xdr:from>
    <xdr:to>
      <xdr:col>8</xdr:col>
      <xdr:colOff>57150</xdr:colOff>
      <xdr:row>18</xdr:row>
      <xdr:rowOff>9525</xdr:rowOff>
    </xdr:to>
    <xdr:sp>
      <xdr:nvSpPr>
        <xdr:cNvPr id="39" name="Rectangle 151"/>
        <xdr:cNvSpPr>
          <a:spLocks/>
        </xdr:cNvSpPr>
      </xdr:nvSpPr>
      <xdr:spPr>
        <a:xfrm>
          <a:off x="4171950" y="3705225"/>
          <a:ext cx="1209675" cy="76200"/>
        </a:xfrm>
        <a:prstGeom prst="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16</xdr:row>
      <xdr:rowOff>66675</xdr:rowOff>
    </xdr:from>
    <xdr:to>
      <xdr:col>7</xdr:col>
      <xdr:colOff>390525</xdr:colOff>
      <xdr:row>16</xdr:row>
      <xdr:rowOff>171450</xdr:rowOff>
    </xdr:to>
    <xdr:sp>
      <xdr:nvSpPr>
        <xdr:cNvPr id="40" name="AutoShape 152"/>
        <xdr:cNvSpPr>
          <a:spLocks/>
        </xdr:cNvSpPr>
      </xdr:nvSpPr>
      <xdr:spPr>
        <a:xfrm>
          <a:off x="5000625" y="3429000"/>
          <a:ext cx="104775" cy="1047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16</xdr:row>
      <xdr:rowOff>76200</xdr:rowOff>
    </xdr:from>
    <xdr:to>
      <xdr:col>7</xdr:col>
      <xdr:colOff>342900</xdr:colOff>
      <xdr:row>16</xdr:row>
      <xdr:rowOff>114300</xdr:rowOff>
    </xdr:to>
    <xdr:sp>
      <xdr:nvSpPr>
        <xdr:cNvPr id="41" name="Line 153"/>
        <xdr:cNvSpPr>
          <a:spLocks/>
        </xdr:cNvSpPr>
      </xdr:nvSpPr>
      <xdr:spPr>
        <a:xfrm>
          <a:off x="5057775" y="3438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76200</xdr:rowOff>
    </xdr:from>
    <xdr:to>
      <xdr:col>7</xdr:col>
      <xdr:colOff>323850</xdr:colOff>
      <xdr:row>16</xdr:row>
      <xdr:rowOff>114300</xdr:rowOff>
    </xdr:to>
    <xdr:sp>
      <xdr:nvSpPr>
        <xdr:cNvPr id="42" name="Line 154"/>
        <xdr:cNvSpPr>
          <a:spLocks/>
        </xdr:cNvSpPr>
      </xdr:nvSpPr>
      <xdr:spPr>
        <a:xfrm>
          <a:off x="5038725" y="3438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76200</xdr:rowOff>
    </xdr:from>
    <xdr:to>
      <xdr:col>7</xdr:col>
      <xdr:colOff>323850</xdr:colOff>
      <xdr:row>16</xdr:row>
      <xdr:rowOff>114300</xdr:rowOff>
    </xdr:to>
    <xdr:sp>
      <xdr:nvSpPr>
        <xdr:cNvPr id="43" name="Line 155"/>
        <xdr:cNvSpPr>
          <a:spLocks/>
        </xdr:cNvSpPr>
      </xdr:nvSpPr>
      <xdr:spPr>
        <a:xfrm>
          <a:off x="5038725" y="3438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85725</xdr:rowOff>
    </xdr:from>
    <xdr:to>
      <xdr:col>7</xdr:col>
      <xdr:colOff>314325</xdr:colOff>
      <xdr:row>16</xdr:row>
      <xdr:rowOff>114300</xdr:rowOff>
    </xdr:to>
    <xdr:sp>
      <xdr:nvSpPr>
        <xdr:cNvPr id="44" name="Line 156"/>
        <xdr:cNvSpPr>
          <a:spLocks/>
        </xdr:cNvSpPr>
      </xdr:nvSpPr>
      <xdr:spPr>
        <a:xfrm>
          <a:off x="5029200" y="3448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16</xdr:row>
      <xdr:rowOff>95250</xdr:rowOff>
    </xdr:from>
    <xdr:to>
      <xdr:col>7</xdr:col>
      <xdr:colOff>304800</xdr:colOff>
      <xdr:row>16</xdr:row>
      <xdr:rowOff>114300</xdr:rowOff>
    </xdr:to>
    <xdr:sp>
      <xdr:nvSpPr>
        <xdr:cNvPr id="45" name="Line 157"/>
        <xdr:cNvSpPr>
          <a:spLocks/>
        </xdr:cNvSpPr>
      </xdr:nvSpPr>
      <xdr:spPr>
        <a:xfrm>
          <a:off x="5019675" y="34575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16</xdr:row>
      <xdr:rowOff>123825</xdr:rowOff>
    </xdr:from>
    <xdr:to>
      <xdr:col>7</xdr:col>
      <xdr:colOff>381000</xdr:colOff>
      <xdr:row>16</xdr:row>
      <xdr:rowOff>152400</xdr:rowOff>
    </xdr:to>
    <xdr:sp>
      <xdr:nvSpPr>
        <xdr:cNvPr id="46" name="Line 158"/>
        <xdr:cNvSpPr>
          <a:spLocks/>
        </xdr:cNvSpPr>
      </xdr:nvSpPr>
      <xdr:spPr>
        <a:xfrm>
          <a:off x="5095875" y="34861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123825</xdr:rowOff>
    </xdr:from>
    <xdr:to>
      <xdr:col>7</xdr:col>
      <xdr:colOff>361950</xdr:colOff>
      <xdr:row>16</xdr:row>
      <xdr:rowOff>161925</xdr:rowOff>
    </xdr:to>
    <xdr:sp>
      <xdr:nvSpPr>
        <xdr:cNvPr id="47" name="Line 159"/>
        <xdr:cNvSpPr>
          <a:spLocks/>
        </xdr:cNvSpPr>
      </xdr:nvSpPr>
      <xdr:spPr>
        <a:xfrm>
          <a:off x="5076825" y="3486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16</xdr:row>
      <xdr:rowOff>123825</xdr:rowOff>
    </xdr:from>
    <xdr:to>
      <xdr:col>7</xdr:col>
      <xdr:colOff>352425</xdr:colOff>
      <xdr:row>16</xdr:row>
      <xdr:rowOff>161925</xdr:rowOff>
    </xdr:to>
    <xdr:sp>
      <xdr:nvSpPr>
        <xdr:cNvPr id="48" name="Line 160"/>
        <xdr:cNvSpPr>
          <a:spLocks/>
        </xdr:cNvSpPr>
      </xdr:nvSpPr>
      <xdr:spPr>
        <a:xfrm>
          <a:off x="5067300" y="3486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16</xdr:row>
      <xdr:rowOff>123825</xdr:rowOff>
    </xdr:from>
    <xdr:to>
      <xdr:col>7</xdr:col>
      <xdr:colOff>390525</xdr:colOff>
      <xdr:row>16</xdr:row>
      <xdr:rowOff>142875</xdr:rowOff>
    </xdr:to>
    <xdr:sp>
      <xdr:nvSpPr>
        <xdr:cNvPr id="49" name="Line 161"/>
        <xdr:cNvSpPr>
          <a:spLocks/>
        </xdr:cNvSpPr>
      </xdr:nvSpPr>
      <xdr:spPr>
        <a:xfrm>
          <a:off x="5105400" y="34861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0</xdr:rowOff>
    </xdr:from>
    <xdr:to>
      <xdr:col>6</xdr:col>
      <xdr:colOff>533400</xdr:colOff>
      <xdr:row>4</xdr:row>
      <xdr:rowOff>104775</xdr:rowOff>
    </xdr:to>
    <xdr:sp>
      <xdr:nvSpPr>
        <xdr:cNvPr id="50" name="AutoShape 162"/>
        <xdr:cNvSpPr>
          <a:spLocks/>
        </xdr:cNvSpPr>
      </xdr:nvSpPr>
      <xdr:spPr>
        <a:xfrm>
          <a:off x="4429125" y="857250"/>
          <a:ext cx="104775" cy="1047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</xdr:row>
      <xdr:rowOff>9525</xdr:rowOff>
    </xdr:from>
    <xdr:to>
      <xdr:col>6</xdr:col>
      <xdr:colOff>466725</xdr:colOff>
      <xdr:row>4</xdr:row>
      <xdr:rowOff>47625</xdr:rowOff>
    </xdr:to>
    <xdr:sp>
      <xdr:nvSpPr>
        <xdr:cNvPr id="51" name="Line 163"/>
        <xdr:cNvSpPr>
          <a:spLocks/>
        </xdr:cNvSpPr>
      </xdr:nvSpPr>
      <xdr:spPr>
        <a:xfrm>
          <a:off x="4467225" y="8667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9525</xdr:rowOff>
    </xdr:from>
    <xdr:to>
      <xdr:col>6</xdr:col>
      <xdr:colOff>457200</xdr:colOff>
      <xdr:row>4</xdr:row>
      <xdr:rowOff>47625</xdr:rowOff>
    </xdr:to>
    <xdr:sp>
      <xdr:nvSpPr>
        <xdr:cNvPr id="52" name="Line 164"/>
        <xdr:cNvSpPr>
          <a:spLocks/>
        </xdr:cNvSpPr>
      </xdr:nvSpPr>
      <xdr:spPr>
        <a:xfrm>
          <a:off x="4457700" y="8667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9525</xdr:rowOff>
    </xdr:from>
    <xdr:to>
      <xdr:col>6</xdr:col>
      <xdr:colOff>457200</xdr:colOff>
      <xdr:row>4</xdr:row>
      <xdr:rowOff>47625</xdr:rowOff>
    </xdr:to>
    <xdr:sp>
      <xdr:nvSpPr>
        <xdr:cNvPr id="53" name="Line 165"/>
        <xdr:cNvSpPr>
          <a:spLocks/>
        </xdr:cNvSpPr>
      </xdr:nvSpPr>
      <xdr:spPr>
        <a:xfrm>
          <a:off x="4457700" y="8667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19050</xdr:rowOff>
    </xdr:from>
    <xdr:to>
      <xdr:col>6</xdr:col>
      <xdr:colOff>438150</xdr:colOff>
      <xdr:row>4</xdr:row>
      <xdr:rowOff>47625</xdr:rowOff>
    </xdr:to>
    <xdr:sp>
      <xdr:nvSpPr>
        <xdr:cNvPr id="54" name="Line 166"/>
        <xdr:cNvSpPr>
          <a:spLocks/>
        </xdr:cNvSpPr>
      </xdr:nvSpPr>
      <xdr:spPr>
        <a:xfrm>
          <a:off x="4438650" y="8763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19050</xdr:rowOff>
    </xdr:from>
    <xdr:to>
      <xdr:col>6</xdr:col>
      <xdr:colOff>428625</xdr:colOff>
      <xdr:row>4</xdr:row>
      <xdr:rowOff>38100</xdr:rowOff>
    </xdr:to>
    <xdr:sp>
      <xdr:nvSpPr>
        <xdr:cNvPr id="55" name="Line 167"/>
        <xdr:cNvSpPr>
          <a:spLocks/>
        </xdr:cNvSpPr>
      </xdr:nvSpPr>
      <xdr:spPr>
        <a:xfrm>
          <a:off x="4429125" y="876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57150</xdr:rowOff>
    </xdr:from>
    <xdr:to>
      <xdr:col>6</xdr:col>
      <xdr:colOff>504825</xdr:colOff>
      <xdr:row>4</xdr:row>
      <xdr:rowOff>85725</xdr:rowOff>
    </xdr:to>
    <xdr:sp>
      <xdr:nvSpPr>
        <xdr:cNvPr id="56" name="Line 168"/>
        <xdr:cNvSpPr>
          <a:spLocks/>
        </xdr:cNvSpPr>
      </xdr:nvSpPr>
      <xdr:spPr>
        <a:xfrm>
          <a:off x="4505325" y="914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</xdr:row>
      <xdr:rowOff>57150</xdr:rowOff>
    </xdr:from>
    <xdr:to>
      <xdr:col>6</xdr:col>
      <xdr:colOff>495300</xdr:colOff>
      <xdr:row>4</xdr:row>
      <xdr:rowOff>95250</xdr:rowOff>
    </xdr:to>
    <xdr:sp>
      <xdr:nvSpPr>
        <xdr:cNvPr id="57" name="Line 169"/>
        <xdr:cNvSpPr>
          <a:spLocks/>
        </xdr:cNvSpPr>
      </xdr:nvSpPr>
      <xdr:spPr>
        <a:xfrm>
          <a:off x="4495800" y="9144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</xdr:row>
      <xdr:rowOff>57150</xdr:rowOff>
    </xdr:from>
    <xdr:to>
      <xdr:col>6</xdr:col>
      <xdr:colOff>495300</xdr:colOff>
      <xdr:row>4</xdr:row>
      <xdr:rowOff>95250</xdr:rowOff>
    </xdr:to>
    <xdr:sp>
      <xdr:nvSpPr>
        <xdr:cNvPr id="58" name="Line 170"/>
        <xdr:cNvSpPr>
          <a:spLocks/>
        </xdr:cNvSpPr>
      </xdr:nvSpPr>
      <xdr:spPr>
        <a:xfrm>
          <a:off x="4495800" y="9144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</xdr:row>
      <xdr:rowOff>57150</xdr:rowOff>
    </xdr:from>
    <xdr:to>
      <xdr:col>6</xdr:col>
      <xdr:colOff>485775</xdr:colOff>
      <xdr:row>4</xdr:row>
      <xdr:rowOff>95250</xdr:rowOff>
    </xdr:to>
    <xdr:sp>
      <xdr:nvSpPr>
        <xdr:cNvPr id="59" name="Line 171"/>
        <xdr:cNvSpPr>
          <a:spLocks/>
        </xdr:cNvSpPr>
      </xdr:nvSpPr>
      <xdr:spPr>
        <a:xfrm>
          <a:off x="4486275" y="9144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57150</xdr:rowOff>
    </xdr:from>
    <xdr:to>
      <xdr:col>6</xdr:col>
      <xdr:colOff>523875</xdr:colOff>
      <xdr:row>4</xdr:row>
      <xdr:rowOff>76200</xdr:rowOff>
    </xdr:to>
    <xdr:sp>
      <xdr:nvSpPr>
        <xdr:cNvPr id="60" name="Line 172"/>
        <xdr:cNvSpPr>
          <a:spLocks/>
        </xdr:cNvSpPr>
      </xdr:nvSpPr>
      <xdr:spPr>
        <a:xfrm>
          <a:off x="4524375" y="914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57150</xdr:rowOff>
    </xdr:from>
    <xdr:to>
      <xdr:col>7</xdr:col>
      <xdr:colOff>400050</xdr:colOff>
      <xdr:row>6</xdr:row>
      <xdr:rowOff>180975</xdr:rowOff>
    </xdr:to>
    <xdr:grpSp>
      <xdr:nvGrpSpPr>
        <xdr:cNvPr id="61" name="Group 173"/>
        <xdr:cNvGrpSpPr>
          <a:grpSpLocks/>
        </xdr:cNvGrpSpPr>
      </xdr:nvGrpSpPr>
      <xdr:grpSpPr>
        <a:xfrm>
          <a:off x="4429125" y="1314450"/>
          <a:ext cx="685800" cy="123825"/>
          <a:chOff x="597" y="148"/>
          <a:chExt cx="91" cy="15"/>
        </a:xfrm>
        <a:solidFill>
          <a:srgbClr val="FFFFFF"/>
        </a:solidFill>
      </xdr:grpSpPr>
      <xdr:sp>
        <xdr:nvSpPr>
          <xdr:cNvPr id="62" name="AutoShape 174"/>
          <xdr:cNvSpPr>
            <a:spLocks/>
          </xdr:cNvSpPr>
        </xdr:nvSpPr>
        <xdr:spPr>
          <a:xfrm>
            <a:off x="674" y="148"/>
            <a:ext cx="14" cy="14"/>
          </a:xfrm>
          <a:prstGeom prst="flowChar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75"/>
          <xdr:cNvSpPr>
            <a:spLocks/>
          </xdr:cNvSpPr>
        </xdr:nvSpPr>
        <xdr:spPr>
          <a:xfrm>
            <a:off x="681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76"/>
          <xdr:cNvSpPr>
            <a:spLocks/>
          </xdr:cNvSpPr>
        </xdr:nvSpPr>
        <xdr:spPr>
          <a:xfrm>
            <a:off x="679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77"/>
          <xdr:cNvSpPr>
            <a:spLocks/>
          </xdr:cNvSpPr>
        </xdr:nvSpPr>
        <xdr:spPr>
          <a:xfrm>
            <a:off x="678" y="14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78"/>
          <xdr:cNvSpPr>
            <a:spLocks/>
          </xdr:cNvSpPr>
        </xdr:nvSpPr>
        <xdr:spPr>
          <a:xfrm>
            <a:off x="677" y="150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79"/>
          <xdr:cNvSpPr>
            <a:spLocks/>
          </xdr:cNvSpPr>
        </xdr:nvSpPr>
        <xdr:spPr>
          <a:xfrm>
            <a:off x="676" y="15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80"/>
          <xdr:cNvSpPr>
            <a:spLocks/>
          </xdr:cNvSpPr>
        </xdr:nvSpPr>
        <xdr:spPr>
          <a:xfrm>
            <a:off x="686" y="15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81"/>
          <xdr:cNvSpPr>
            <a:spLocks/>
          </xdr:cNvSpPr>
        </xdr:nvSpPr>
        <xdr:spPr>
          <a:xfrm>
            <a:off x="683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82"/>
          <xdr:cNvSpPr>
            <a:spLocks/>
          </xdr:cNvSpPr>
        </xdr:nvSpPr>
        <xdr:spPr>
          <a:xfrm>
            <a:off x="682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83"/>
          <xdr:cNvSpPr>
            <a:spLocks/>
          </xdr:cNvSpPr>
        </xdr:nvSpPr>
        <xdr:spPr>
          <a:xfrm>
            <a:off x="687" y="155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84"/>
          <xdr:cNvSpPr>
            <a:spLocks/>
          </xdr:cNvSpPr>
        </xdr:nvSpPr>
        <xdr:spPr>
          <a:xfrm>
            <a:off x="685" y="15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185"/>
          <xdr:cNvSpPr>
            <a:spLocks/>
          </xdr:cNvSpPr>
        </xdr:nvSpPr>
        <xdr:spPr>
          <a:xfrm>
            <a:off x="597" y="149"/>
            <a:ext cx="14" cy="14"/>
          </a:xfrm>
          <a:prstGeom prst="flowChar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86"/>
          <xdr:cNvSpPr>
            <a:spLocks/>
          </xdr:cNvSpPr>
        </xdr:nvSpPr>
        <xdr:spPr>
          <a:xfrm>
            <a:off x="603" y="150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87"/>
          <xdr:cNvSpPr>
            <a:spLocks/>
          </xdr:cNvSpPr>
        </xdr:nvSpPr>
        <xdr:spPr>
          <a:xfrm>
            <a:off x="602" y="150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88"/>
          <xdr:cNvSpPr>
            <a:spLocks/>
          </xdr:cNvSpPr>
        </xdr:nvSpPr>
        <xdr:spPr>
          <a:xfrm>
            <a:off x="599" y="15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89"/>
          <xdr:cNvSpPr>
            <a:spLocks/>
          </xdr:cNvSpPr>
        </xdr:nvSpPr>
        <xdr:spPr>
          <a:xfrm>
            <a:off x="598" y="152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90"/>
          <xdr:cNvSpPr>
            <a:spLocks/>
          </xdr:cNvSpPr>
        </xdr:nvSpPr>
        <xdr:spPr>
          <a:xfrm>
            <a:off x="608" y="15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91"/>
          <xdr:cNvSpPr>
            <a:spLocks/>
          </xdr:cNvSpPr>
        </xdr:nvSpPr>
        <xdr:spPr>
          <a:xfrm>
            <a:off x="607" y="15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92"/>
          <xdr:cNvSpPr>
            <a:spLocks/>
          </xdr:cNvSpPr>
        </xdr:nvSpPr>
        <xdr:spPr>
          <a:xfrm>
            <a:off x="606" y="15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93"/>
          <xdr:cNvSpPr>
            <a:spLocks/>
          </xdr:cNvSpPr>
        </xdr:nvSpPr>
        <xdr:spPr>
          <a:xfrm>
            <a:off x="605" y="15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94"/>
          <xdr:cNvSpPr>
            <a:spLocks/>
          </xdr:cNvSpPr>
        </xdr:nvSpPr>
        <xdr:spPr>
          <a:xfrm>
            <a:off x="610" y="156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95"/>
          <xdr:cNvSpPr>
            <a:spLocks/>
          </xdr:cNvSpPr>
        </xdr:nvSpPr>
        <xdr:spPr>
          <a:xfrm flipV="1">
            <a:off x="601" y="150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16</xdr:row>
      <xdr:rowOff>76200</xdr:rowOff>
    </xdr:from>
    <xdr:to>
      <xdr:col>6</xdr:col>
      <xdr:colOff>533400</xdr:colOff>
      <xdr:row>16</xdr:row>
      <xdr:rowOff>180975</xdr:rowOff>
    </xdr:to>
    <xdr:sp>
      <xdr:nvSpPr>
        <xdr:cNvPr id="84" name="AutoShape 196"/>
        <xdr:cNvSpPr>
          <a:spLocks/>
        </xdr:cNvSpPr>
      </xdr:nvSpPr>
      <xdr:spPr>
        <a:xfrm>
          <a:off x="4429125" y="3438525"/>
          <a:ext cx="104775" cy="10477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16</xdr:row>
      <xdr:rowOff>85725</xdr:rowOff>
    </xdr:from>
    <xdr:to>
      <xdr:col>6</xdr:col>
      <xdr:colOff>466725</xdr:colOff>
      <xdr:row>16</xdr:row>
      <xdr:rowOff>123825</xdr:rowOff>
    </xdr:to>
    <xdr:sp>
      <xdr:nvSpPr>
        <xdr:cNvPr id="85" name="Line 197"/>
        <xdr:cNvSpPr>
          <a:spLocks/>
        </xdr:cNvSpPr>
      </xdr:nvSpPr>
      <xdr:spPr>
        <a:xfrm>
          <a:off x="4467225" y="3448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85725</xdr:rowOff>
    </xdr:from>
    <xdr:to>
      <xdr:col>6</xdr:col>
      <xdr:colOff>457200</xdr:colOff>
      <xdr:row>16</xdr:row>
      <xdr:rowOff>123825</xdr:rowOff>
    </xdr:to>
    <xdr:sp>
      <xdr:nvSpPr>
        <xdr:cNvPr id="86" name="Line 198"/>
        <xdr:cNvSpPr>
          <a:spLocks/>
        </xdr:cNvSpPr>
      </xdr:nvSpPr>
      <xdr:spPr>
        <a:xfrm>
          <a:off x="4457700" y="3448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95250</xdr:rowOff>
    </xdr:from>
    <xdr:to>
      <xdr:col>6</xdr:col>
      <xdr:colOff>438150</xdr:colOff>
      <xdr:row>16</xdr:row>
      <xdr:rowOff>123825</xdr:rowOff>
    </xdr:to>
    <xdr:sp>
      <xdr:nvSpPr>
        <xdr:cNvPr id="87" name="Line 199"/>
        <xdr:cNvSpPr>
          <a:spLocks/>
        </xdr:cNvSpPr>
      </xdr:nvSpPr>
      <xdr:spPr>
        <a:xfrm>
          <a:off x="4438650" y="3457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104775</xdr:rowOff>
    </xdr:from>
    <xdr:to>
      <xdr:col>6</xdr:col>
      <xdr:colOff>428625</xdr:colOff>
      <xdr:row>16</xdr:row>
      <xdr:rowOff>123825</xdr:rowOff>
    </xdr:to>
    <xdr:sp>
      <xdr:nvSpPr>
        <xdr:cNvPr id="88" name="Line 200"/>
        <xdr:cNvSpPr>
          <a:spLocks/>
        </xdr:cNvSpPr>
      </xdr:nvSpPr>
      <xdr:spPr>
        <a:xfrm>
          <a:off x="4429125" y="3467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133350</xdr:rowOff>
    </xdr:from>
    <xdr:to>
      <xdr:col>6</xdr:col>
      <xdr:colOff>504825</xdr:colOff>
      <xdr:row>16</xdr:row>
      <xdr:rowOff>161925</xdr:rowOff>
    </xdr:to>
    <xdr:sp>
      <xdr:nvSpPr>
        <xdr:cNvPr id="89" name="Line 201"/>
        <xdr:cNvSpPr>
          <a:spLocks/>
        </xdr:cNvSpPr>
      </xdr:nvSpPr>
      <xdr:spPr>
        <a:xfrm>
          <a:off x="4505325" y="3495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16</xdr:row>
      <xdr:rowOff>133350</xdr:rowOff>
    </xdr:from>
    <xdr:to>
      <xdr:col>6</xdr:col>
      <xdr:colOff>495300</xdr:colOff>
      <xdr:row>16</xdr:row>
      <xdr:rowOff>171450</xdr:rowOff>
    </xdr:to>
    <xdr:sp>
      <xdr:nvSpPr>
        <xdr:cNvPr id="90" name="Line 202"/>
        <xdr:cNvSpPr>
          <a:spLocks/>
        </xdr:cNvSpPr>
      </xdr:nvSpPr>
      <xdr:spPr>
        <a:xfrm>
          <a:off x="4495800" y="3495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16</xdr:row>
      <xdr:rowOff>133350</xdr:rowOff>
    </xdr:from>
    <xdr:to>
      <xdr:col>6</xdr:col>
      <xdr:colOff>495300</xdr:colOff>
      <xdr:row>16</xdr:row>
      <xdr:rowOff>171450</xdr:rowOff>
    </xdr:to>
    <xdr:sp>
      <xdr:nvSpPr>
        <xdr:cNvPr id="91" name="Line 203"/>
        <xdr:cNvSpPr>
          <a:spLocks/>
        </xdr:cNvSpPr>
      </xdr:nvSpPr>
      <xdr:spPr>
        <a:xfrm>
          <a:off x="4495800" y="3495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133350</xdr:rowOff>
    </xdr:from>
    <xdr:to>
      <xdr:col>6</xdr:col>
      <xdr:colOff>485775</xdr:colOff>
      <xdr:row>16</xdr:row>
      <xdr:rowOff>171450</xdr:rowOff>
    </xdr:to>
    <xdr:sp>
      <xdr:nvSpPr>
        <xdr:cNvPr id="92" name="Line 204"/>
        <xdr:cNvSpPr>
          <a:spLocks/>
        </xdr:cNvSpPr>
      </xdr:nvSpPr>
      <xdr:spPr>
        <a:xfrm>
          <a:off x="4486275" y="3495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16</xdr:row>
      <xdr:rowOff>133350</xdr:rowOff>
    </xdr:from>
    <xdr:to>
      <xdr:col>6</xdr:col>
      <xdr:colOff>523875</xdr:colOff>
      <xdr:row>16</xdr:row>
      <xdr:rowOff>152400</xdr:rowOff>
    </xdr:to>
    <xdr:sp>
      <xdr:nvSpPr>
        <xdr:cNvPr id="93" name="Line 205"/>
        <xdr:cNvSpPr>
          <a:spLocks/>
        </xdr:cNvSpPr>
      </xdr:nvSpPr>
      <xdr:spPr>
        <a:xfrm>
          <a:off x="4524375" y="3495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85725</xdr:rowOff>
    </xdr:from>
    <xdr:to>
      <xdr:col>6</xdr:col>
      <xdr:colOff>457200</xdr:colOff>
      <xdr:row>16</xdr:row>
      <xdr:rowOff>123825</xdr:rowOff>
    </xdr:to>
    <xdr:sp>
      <xdr:nvSpPr>
        <xdr:cNvPr id="94" name="Line 206"/>
        <xdr:cNvSpPr>
          <a:spLocks/>
        </xdr:cNvSpPr>
      </xdr:nvSpPr>
      <xdr:spPr>
        <a:xfrm flipV="1">
          <a:off x="4457700" y="3448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16</xdr:row>
      <xdr:rowOff>123825</xdr:rowOff>
    </xdr:from>
    <xdr:to>
      <xdr:col>7</xdr:col>
      <xdr:colOff>371475</xdr:colOff>
      <xdr:row>16</xdr:row>
      <xdr:rowOff>161925</xdr:rowOff>
    </xdr:to>
    <xdr:sp>
      <xdr:nvSpPr>
        <xdr:cNvPr id="95" name="Line 207"/>
        <xdr:cNvSpPr>
          <a:spLocks/>
        </xdr:cNvSpPr>
      </xdr:nvSpPr>
      <xdr:spPr>
        <a:xfrm>
          <a:off x="5086350" y="3486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161925</xdr:rowOff>
    </xdr:from>
    <xdr:to>
      <xdr:col>10</xdr:col>
      <xdr:colOff>400050</xdr:colOff>
      <xdr:row>18</xdr:row>
      <xdr:rowOff>76200</xdr:rowOff>
    </xdr:to>
    <xdr:sp>
      <xdr:nvSpPr>
        <xdr:cNvPr id="96" name="Line 208"/>
        <xdr:cNvSpPr>
          <a:spLocks/>
        </xdr:cNvSpPr>
      </xdr:nvSpPr>
      <xdr:spPr>
        <a:xfrm>
          <a:off x="6943725" y="619125"/>
          <a:ext cx="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152400</xdr:rowOff>
    </xdr:from>
    <xdr:to>
      <xdr:col>11</xdr:col>
      <xdr:colOff>219075</xdr:colOff>
      <xdr:row>2</xdr:row>
      <xdr:rowOff>152400</xdr:rowOff>
    </xdr:to>
    <xdr:sp>
      <xdr:nvSpPr>
        <xdr:cNvPr id="97" name="Line 209"/>
        <xdr:cNvSpPr>
          <a:spLocks/>
        </xdr:cNvSpPr>
      </xdr:nvSpPr>
      <xdr:spPr>
        <a:xfrm>
          <a:off x="6943725" y="609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2</xdr:row>
      <xdr:rowOff>152400</xdr:rowOff>
    </xdr:from>
    <xdr:to>
      <xdr:col>11</xdr:col>
      <xdr:colOff>219075</xdr:colOff>
      <xdr:row>18</xdr:row>
      <xdr:rowOff>85725</xdr:rowOff>
    </xdr:to>
    <xdr:sp>
      <xdr:nvSpPr>
        <xdr:cNvPr id="98" name="Line 210"/>
        <xdr:cNvSpPr>
          <a:spLocks/>
        </xdr:cNvSpPr>
      </xdr:nvSpPr>
      <xdr:spPr>
        <a:xfrm flipH="1">
          <a:off x="6524625" y="609600"/>
          <a:ext cx="847725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18</xdr:row>
      <xdr:rowOff>85725</xdr:rowOff>
    </xdr:from>
    <xdr:to>
      <xdr:col>10</xdr:col>
      <xdr:colOff>400050</xdr:colOff>
      <xdr:row>18</xdr:row>
      <xdr:rowOff>85725</xdr:rowOff>
    </xdr:to>
    <xdr:sp>
      <xdr:nvSpPr>
        <xdr:cNvPr id="99" name="Line 211"/>
        <xdr:cNvSpPr>
          <a:spLocks/>
        </xdr:cNvSpPr>
      </xdr:nvSpPr>
      <xdr:spPr>
        <a:xfrm>
          <a:off x="6524625" y="3857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5</xdr:row>
      <xdr:rowOff>47625</xdr:rowOff>
    </xdr:from>
    <xdr:to>
      <xdr:col>11</xdr:col>
      <xdr:colOff>114300</xdr:colOff>
      <xdr:row>5</xdr:row>
      <xdr:rowOff>47625</xdr:rowOff>
    </xdr:to>
    <xdr:sp>
      <xdr:nvSpPr>
        <xdr:cNvPr id="100" name="Line 212"/>
        <xdr:cNvSpPr>
          <a:spLocks/>
        </xdr:cNvSpPr>
      </xdr:nvSpPr>
      <xdr:spPr>
        <a:xfrm>
          <a:off x="6934200" y="11049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38100</xdr:rowOff>
    </xdr:from>
    <xdr:to>
      <xdr:col>11</xdr:col>
      <xdr:colOff>514350</xdr:colOff>
      <xdr:row>5</xdr:row>
      <xdr:rowOff>152400</xdr:rowOff>
    </xdr:to>
    <xdr:sp>
      <xdr:nvSpPr>
        <xdr:cNvPr id="101" name="Text Box 213"/>
        <xdr:cNvSpPr txBox="1">
          <a:spLocks noChangeArrowheads="1"/>
        </xdr:cNvSpPr>
      </xdr:nvSpPr>
      <xdr:spPr>
        <a:xfrm>
          <a:off x="7381875" y="89535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10</xdr:col>
      <xdr:colOff>514350</xdr:colOff>
      <xdr:row>17</xdr:row>
      <xdr:rowOff>133350</xdr:rowOff>
    </xdr:from>
    <xdr:to>
      <xdr:col>11</xdr:col>
      <xdr:colOff>123825</xdr:colOff>
      <xdr:row>19</xdr:row>
      <xdr:rowOff>47625</xdr:rowOff>
    </xdr:to>
    <xdr:sp>
      <xdr:nvSpPr>
        <xdr:cNvPr id="102" name="Text Box 214"/>
        <xdr:cNvSpPr txBox="1">
          <a:spLocks noChangeArrowheads="1"/>
        </xdr:cNvSpPr>
      </xdr:nvSpPr>
      <xdr:spPr>
        <a:xfrm>
          <a:off x="7058025" y="37052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</a:p>
      </xdr:txBody>
    </xdr:sp>
    <xdr:clientData/>
  </xdr:twoCellAnchor>
  <xdr:twoCellAnchor>
    <xdr:from>
      <xdr:col>11</xdr:col>
      <xdr:colOff>323850</xdr:colOff>
      <xdr:row>1</xdr:row>
      <xdr:rowOff>161925</xdr:rowOff>
    </xdr:from>
    <xdr:to>
      <xdr:col>11</xdr:col>
      <xdr:colOff>533400</xdr:colOff>
      <xdr:row>3</xdr:row>
      <xdr:rowOff>76200</xdr:rowOff>
    </xdr:to>
    <xdr:sp>
      <xdr:nvSpPr>
        <xdr:cNvPr id="103" name="Text Box 215"/>
        <xdr:cNvSpPr txBox="1">
          <a:spLocks noChangeArrowheads="1"/>
        </xdr:cNvSpPr>
      </xdr:nvSpPr>
      <xdr:spPr>
        <a:xfrm>
          <a:off x="7477125" y="419100"/>
          <a:ext cx="20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</a:p>
      </xdr:txBody>
    </xdr:sp>
    <xdr:clientData/>
  </xdr:twoCellAnchor>
  <xdr:twoCellAnchor>
    <xdr:from>
      <xdr:col>10</xdr:col>
      <xdr:colOff>533400</xdr:colOff>
      <xdr:row>9</xdr:row>
      <xdr:rowOff>180975</xdr:rowOff>
    </xdr:from>
    <xdr:to>
      <xdr:col>11</xdr:col>
      <xdr:colOff>133350</xdr:colOff>
      <xdr:row>11</xdr:row>
      <xdr:rowOff>57150</xdr:rowOff>
    </xdr:to>
    <xdr:sp>
      <xdr:nvSpPr>
        <xdr:cNvPr id="104" name="Text Box 216"/>
        <xdr:cNvSpPr txBox="1">
          <a:spLocks noChangeArrowheads="1"/>
        </xdr:cNvSpPr>
      </xdr:nvSpPr>
      <xdr:spPr>
        <a:xfrm>
          <a:off x="7077075" y="209550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10</xdr:col>
      <xdr:colOff>200025</xdr:colOff>
      <xdr:row>2</xdr:row>
      <xdr:rowOff>142875</xdr:rowOff>
    </xdr:from>
    <xdr:to>
      <xdr:col>10</xdr:col>
      <xdr:colOff>209550</xdr:colOff>
      <xdr:row>5</xdr:row>
      <xdr:rowOff>66675</xdr:rowOff>
    </xdr:to>
    <xdr:sp>
      <xdr:nvSpPr>
        <xdr:cNvPr id="105" name="Line 217"/>
        <xdr:cNvSpPr>
          <a:spLocks/>
        </xdr:cNvSpPr>
      </xdr:nvSpPr>
      <xdr:spPr>
        <a:xfrm>
          <a:off x="6743700" y="6000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5</xdr:row>
      <xdr:rowOff>57150</xdr:rowOff>
    </xdr:from>
    <xdr:to>
      <xdr:col>10</xdr:col>
      <xdr:colOff>200025</xdr:colOff>
      <xdr:row>10</xdr:row>
      <xdr:rowOff>57150</xdr:rowOff>
    </xdr:to>
    <xdr:sp>
      <xdr:nvSpPr>
        <xdr:cNvPr id="106" name="Line 218"/>
        <xdr:cNvSpPr>
          <a:spLocks/>
        </xdr:cNvSpPr>
      </xdr:nvSpPr>
      <xdr:spPr>
        <a:xfrm flipH="1">
          <a:off x="6743700" y="11144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</xdr:row>
      <xdr:rowOff>161925</xdr:rowOff>
    </xdr:from>
    <xdr:to>
      <xdr:col>10</xdr:col>
      <xdr:colOff>85725</xdr:colOff>
      <xdr:row>4</xdr:row>
      <xdr:rowOff>76200</xdr:rowOff>
    </xdr:to>
    <xdr:sp>
      <xdr:nvSpPr>
        <xdr:cNvPr id="107" name="Text Box 219"/>
        <xdr:cNvSpPr txBox="1">
          <a:spLocks noChangeArrowheads="1"/>
        </xdr:cNvSpPr>
      </xdr:nvSpPr>
      <xdr:spPr>
        <a:xfrm>
          <a:off x="6410325" y="6191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9</xdr:col>
      <xdr:colOff>495300</xdr:colOff>
      <xdr:row>6</xdr:row>
      <xdr:rowOff>142875</xdr:rowOff>
    </xdr:from>
    <xdr:to>
      <xdr:col>10</xdr:col>
      <xdr:colOff>95250</xdr:colOff>
      <xdr:row>8</xdr:row>
      <xdr:rowOff>57150</xdr:rowOff>
    </xdr:to>
    <xdr:sp>
      <xdr:nvSpPr>
        <xdr:cNvPr id="108" name="Text Box 220"/>
        <xdr:cNvSpPr txBox="1">
          <a:spLocks noChangeArrowheads="1"/>
        </xdr:cNvSpPr>
      </xdr:nvSpPr>
      <xdr:spPr>
        <a:xfrm>
          <a:off x="6429375" y="1400175"/>
          <a:ext cx="20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</xdr:rowOff>
    </xdr:from>
    <xdr:to>
      <xdr:col>7</xdr:col>
      <xdr:colOff>104775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3924300" y="771525"/>
          <a:ext cx="704850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104775</xdr:rowOff>
    </xdr:from>
    <xdr:to>
      <xdr:col>6</xdr:col>
      <xdr:colOff>266700</xdr:colOff>
      <xdr:row>4</xdr:row>
      <xdr:rowOff>152400</xdr:rowOff>
    </xdr:to>
    <xdr:sp>
      <xdr:nvSpPr>
        <xdr:cNvPr id="2" name="Rectangle 6"/>
        <xdr:cNvSpPr>
          <a:spLocks/>
        </xdr:cNvSpPr>
      </xdr:nvSpPr>
      <xdr:spPr>
        <a:xfrm>
          <a:off x="3924300" y="866775"/>
          <a:ext cx="25717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0</xdr:row>
      <xdr:rowOff>114300</xdr:rowOff>
    </xdr:from>
    <xdr:to>
      <xdr:col>6</xdr:col>
      <xdr:colOff>361950</xdr:colOff>
      <xdr:row>20</xdr:row>
      <xdr:rowOff>0</xdr:rowOff>
    </xdr:to>
    <xdr:sp>
      <xdr:nvSpPr>
        <xdr:cNvPr id="3" name="Line 7"/>
        <xdr:cNvSpPr>
          <a:spLocks/>
        </xdr:cNvSpPr>
      </xdr:nvSpPr>
      <xdr:spPr>
        <a:xfrm>
          <a:off x="4276725" y="114300"/>
          <a:ext cx="0" cy="386715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</xdr:row>
      <xdr:rowOff>19050</xdr:rowOff>
    </xdr:from>
    <xdr:to>
      <xdr:col>6</xdr:col>
      <xdr:colOff>333375</xdr:colOff>
      <xdr:row>10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4210050" y="971550"/>
          <a:ext cx="381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38100</xdr:rowOff>
    </xdr:from>
    <xdr:to>
      <xdr:col>6</xdr:col>
      <xdr:colOff>9525</xdr:colOff>
      <xdr:row>3</xdr:row>
      <xdr:rowOff>123825</xdr:rowOff>
    </xdr:to>
    <xdr:sp>
      <xdr:nvSpPr>
        <xdr:cNvPr id="5" name="Line 23"/>
        <xdr:cNvSpPr>
          <a:spLocks/>
        </xdr:cNvSpPr>
      </xdr:nvSpPr>
      <xdr:spPr>
        <a:xfrm flipV="1">
          <a:off x="3924300" y="609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</xdr:row>
      <xdr:rowOff>38100</xdr:rowOff>
    </xdr:from>
    <xdr:to>
      <xdr:col>7</xdr:col>
      <xdr:colOff>95250</xdr:colOff>
      <xdr:row>3</xdr:row>
      <xdr:rowOff>123825</xdr:rowOff>
    </xdr:to>
    <xdr:sp>
      <xdr:nvSpPr>
        <xdr:cNvPr id="6" name="Line 24"/>
        <xdr:cNvSpPr>
          <a:spLocks/>
        </xdr:cNvSpPr>
      </xdr:nvSpPr>
      <xdr:spPr>
        <a:xfrm flipV="1">
          <a:off x="4619625" y="609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85725</xdr:rowOff>
    </xdr:from>
    <xdr:to>
      <xdr:col>7</xdr:col>
      <xdr:colOff>95250</xdr:colOff>
      <xdr:row>3</xdr:row>
      <xdr:rowOff>85725</xdr:rowOff>
    </xdr:to>
    <xdr:sp>
      <xdr:nvSpPr>
        <xdr:cNvPr id="7" name="Line 25"/>
        <xdr:cNvSpPr>
          <a:spLocks/>
        </xdr:cNvSpPr>
      </xdr:nvSpPr>
      <xdr:spPr>
        <a:xfrm>
          <a:off x="3924300" y="657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37</xdr:row>
      <xdr:rowOff>47625</xdr:rowOff>
    </xdr:from>
    <xdr:to>
      <xdr:col>0</xdr:col>
      <xdr:colOff>371475</xdr:colOff>
      <xdr:row>37</xdr:row>
      <xdr:rowOff>47625</xdr:rowOff>
    </xdr:to>
    <xdr:sp>
      <xdr:nvSpPr>
        <xdr:cNvPr id="8" name="Line 38"/>
        <xdr:cNvSpPr>
          <a:spLocks/>
        </xdr:cNvSpPr>
      </xdr:nvSpPr>
      <xdr:spPr>
        <a:xfrm>
          <a:off x="247650" y="7543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44</xdr:row>
      <xdr:rowOff>19050</xdr:rowOff>
    </xdr:from>
    <xdr:to>
      <xdr:col>2</xdr:col>
      <xdr:colOff>9525</xdr:colOff>
      <xdr:row>44</xdr:row>
      <xdr:rowOff>228600</xdr:rowOff>
    </xdr:to>
    <xdr:sp>
      <xdr:nvSpPr>
        <xdr:cNvPr id="9" name="Line 40"/>
        <xdr:cNvSpPr>
          <a:spLocks/>
        </xdr:cNvSpPr>
      </xdr:nvSpPr>
      <xdr:spPr>
        <a:xfrm flipV="1">
          <a:off x="1276350" y="905827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19050</xdr:rowOff>
    </xdr:from>
    <xdr:to>
      <xdr:col>3</xdr:col>
      <xdr:colOff>9525</xdr:colOff>
      <xdr:row>44</xdr:row>
      <xdr:rowOff>19050</xdr:rowOff>
    </xdr:to>
    <xdr:sp>
      <xdr:nvSpPr>
        <xdr:cNvPr id="10" name="Line 41"/>
        <xdr:cNvSpPr>
          <a:spLocks/>
        </xdr:cNvSpPr>
      </xdr:nvSpPr>
      <xdr:spPr>
        <a:xfrm>
          <a:off x="1323975" y="9058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104775</xdr:rowOff>
    </xdr:from>
    <xdr:to>
      <xdr:col>7</xdr:col>
      <xdr:colOff>104775</xdr:colOff>
      <xdr:row>4</xdr:row>
      <xdr:rowOff>152400</xdr:rowOff>
    </xdr:to>
    <xdr:sp>
      <xdr:nvSpPr>
        <xdr:cNvPr id="11" name="Rectangle 44"/>
        <xdr:cNvSpPr>
          <a:spLocks/>
        </xdr:cNvSpPr>
      </xdr:nvSpPr>
      <xdr:spPr>
        <a:xfrm>
          <a:off x="4371975" y="866775"/>
          <a:ext cx="25717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5</xdr:row>
      <xdr:rowOff>19050</xdr:rowOff>
    </xdr:from>
    <xdr:to>
      <xdr:col>6</xdr:col>
      <xdr:colOff>428625</xdr:colOff>
      <xdr:row>10</xdr:row>
      <xdr:rowOff>0</xdr:rowOff>
    </xdr:to>
    <xdr:sp>
      <xdr:nvSpPr>
        <xdr:cNvPr id="12" name="Rectangle 45"/>
        <xdr:cNvSpPr>
          <a:spLocks/>
        </xdr:cNvSpPr>
      </xdr:nvSpPr>
      <xdr:spPr>
        <a:xfrm>
          <a:off x="4305300" y="971550"/>
          <a:ext cx="381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5</xdr:row>
      <xdr:rowOff>85725</xdr:rowOff>
    </xdr:to>
    <xdr:sp>
      <xdr:nvSpPr>
        <xdr:cNvPr id="13" name="Line 46"/>
        <xdr:cNvSpPr>
          <a:spLocks/>
        </xdr:cNvSpPr>
      </xdr:nvSpPr>
      <xdr:spPr>
        <a:xfrm flipV="1">
          <a:off x="3924300" y="9525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</xdr:row>
      <xdr:rowOff>0</xdr:rowOff>
    </xdr:from>
    <xdr:to>
      <xdr:col>6</xdr:col>
      <xdr:colOff>266700</xdr:colOff>
      <xdr:row>5</xdr:row>
      <xdr:rowOff>85725</xdr:rowOff>
    </xdr:to>
    <xdr:sp>
      <xdr:nvSpPr>
        <xdr:cNvPr id="14" name="Line 47"/>
        <xdr:cNvSpPr>
          <a:spLocks/>
        </xdr:cNvSpPr>
      </xdr:nvSpPr>
      <xdr:spPr>
        <a:xfrm flipV="1">
          <a:off x="4181475" y="9525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38100</xdr:rowOff>
    </xdr:from>
    <xdr:to>
      <xdr:col>6</xdr:col>
      <xdr:colOff>266700</xdr:colOff>
      <xdr:row>5</xdr:row>
      <xdr:rowOff>38100</xdr:rowOff>
    </xdr:to>
    <xdr:sp>
      <xdr:nvSpPr>
        <xdr:cNvPr id="15" name="Line 48"/>
        <xdr:cNvSpPr>
          <a:spLocks/>
        </xdr:cNvSpPr>
      </xdr:nvSpPr>
      <xdr:spPr>
        <a:xfrm>
          <a:off x="3924300" y="990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5</xdr:row>
      <xdr:rowOff>19050</xdr:rowOff>
    </xdr:from>
    <xdr:to>
      <xdr:col>6</xdr:col>
      <xdr:colOff>571500</xdr:colOff>
      <xdr:row>5</xdr:row>
      <xdr:rowOff>19050</xdr:rowOff>
    </xdr:to>
    <xdr:sp>
      <xdr:nvSpPr>
        <xdr:cNvPr id="16" name="Line 49"/>
        <xdr:cNvSpPr>
          <a:spLocks/>
        </xdr:cNvSpPr>
      </xdr:nvSpPr>
      <xdr:spPr>
        <a:xfrm flipH="1">
          <a:off x="4381500" y="971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571500</xdr:colOff>
      <xdr:row>10</xdr:row>
      <xdr:rowOff>0</xdr:rowOff>
    </xdr:to>
    <xdr:sp>
      <xdr:nvSpPr>
        <xdr:cNvPr id="17" name="Line 50"/>
        <xdr:cNvSpPr>
          <a:spLocks/>
        </xdr:cNvSpPr>
      </xdr:nvSpPr>
      <xdr:spPr>
        <a:xfrm flipH="1">
          <a:off x="4381500" y="1924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5</xdr:row>
      <xdr:rowOff>19050</xdr:rowOff>
    </xdr:from>
    <xdr:to>
      <xdr:col>6</xdr:col>
      <xdr:colOff>533400</xdr:colOff>
      <xdr:row>10</xdr:row>
      <xdr:rowOff>0</xdr:rowOff>
    </xdr:to>
    <xdr:sp>
      <xdr:nvSpPr>
        <xdr:cNvPr id="18" name="Line 52"/>
        <xdr:cNvSpPr>
          <a:spLocks/>
        </xdr:cNvSpPr>
      </xdr:nvSpPr>
      <xdr:spPr>
        <a:xfrm flipV="1">
          <a:off x="4448175" y="9715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57150</xdr:rowOff>
    </xdr:from>
    <xdr:to>
      <xdr:col>6</xdr:col>
      <xdr:colOff>266700</xdr:colOff>
      <xdr:row>10</xdr:row>
      <xdr:rowOff>104775</xdr:rowOff>
    </xdr:to>
    <xdr:sp>
      <xdr:nvSpPr>
        <xdr:cNvPr id="19" name="Rectangle 53"/>
        <xdr:cNvSpPr>
          <a:spLocks/>
        </xdr:cNvSpPr>
      </xdr:nvSpPr>
      <xdr:spPr>
        <a:xfrm>
          <a:off x="3924300" y="1981200"/>
          <a:ext cx="25717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57150</xdr:rowOff>
    </xdr:from>
    <xdr:to>
      <xdr:col>7</xdr:col>
      <xdr:colOff>104775</xdr:colOff>
      <xdr:row>10</xdr:row>
      <xdr:rowOff>104775</xdr:rowOff>
    </xdr:to>
    <xdr:sp>
      <xdr:nvSpPr>
        <xdr:cNvPr id="20" name="Rectangle 54"/>
        <xdr:cNvSpPr>
          <a:spLocks/>
        </xdr:cNvSpPr>
      </xdr:nvSpPr>
      <xdr:spPr>
        <a:xfrm>
          <a:off x="4371975" y="1981200"/>
          <a:ext cx="25717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161925</xdr:rowOff>
    </xdr:from>
    <xdr:to>
      <xdr:col>6</xdr:col>
      <xdr:colOff>266700</xdr:colOff>
      <xdr:row>11</xdr:row>
      <xdr:rowOff>0</xdr:rowOff>
    </xdr:to>
    <xdr:sp>
      <xdr:nvSpPr>
        <xdr:cNvPr id="21" name="Rectangle 56"/>
        <xdr:cNvSpPr>
          <a:spLocks/>
        </xdr:cNvSpPr>
      </xdr:nvSpPr>
      <xdr:spPr>
        <a:xfrm>
          <a:off x="3924300" y="2085975"/>
          <a:ext cx="25717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161925</xdr:rowOff>
    </xdr:from>
    <xdr:to>
      <xdr:col>7</xdr:col>
      <xdr:colOff>104775</xdr:colOff>
      <xdr:row>11</xdr:row>
      <xdr:rowOff>0</xdr:rowOff>
    </xdr:to>
    <xdr:sp>
      <xdr:nvSpPr>
        <xdr:cNvPr id="22" name="Rectangle 57"/>
        <xdr:cNvSpPr>
          <a:spLocks/>
        </xdr:cNvSpPr>
      </xdr:nvSpPr>
      <xdr:spPr>
        <a:xfrm>
          <a:off x="4371975" y="2085975"/>
          <a:ext cx="25717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8</xdr:col>
      <xdr:colOff>28575</xdr:colOff>
      <xdr:row>10</xdr:row>
      <xdr:rowOff>133350</xdr:rowOff>
    </xdr:to>
    <xdr:sp>
      <xdr:nvSpPr>
        <xdr:cNvPr id="23" name="Line 59"/>
        <xdr:cNvSpPr>
          <a:spLocks/>
        </xdr:cNvSpPr>
      </xdr:nvSpPr>
      <xdr:spPr>
        <a:xfrm>
          <a:off x="3276600" y="2057400"/>
          <a:ext cx="20193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152400</xdr:rowOff>
    </xdr:from>
    <xdr:to>
      <xdr:col>6</xdr:col>
      <xdr:colOff>9525</xdr:colOff>
      <xdr:row>10</xdr:row>
      <xdr:rowOff>28575</xdr:rowOff>
    </xdr:to>
    <xdr:sp>
      <xdr:nvSpPr>
        <xdr:cNvPr id="24" name="Line 60"/>
        <xdr:cNvSpPr>
          <a:spLocks/>
        </xdr:cNvSpPr>
      </xdr:nvSpPr>
      <xdr:spPr>
        <a:xfrm flipV="1">
          <a:off x="3924300" y="18669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9</xdr:row>
      <xdr:rowOff>152400</xdr:rowOff>
    </xdr:from>
    <xdr:to>
      <xdr:col>6</xdr:col>
      <xdr:colOff>266700</xdr:colOff>
      <xdr:row>10</xdr:row>
      <xdr:rowOff>28575</xdr:rowOff>
    </xdr:to>
    <xdr:sp>
      <xdr:nvSpPr>
        <xdr:cNvPr id="25" name="Line 61"/>
        <xdr:cNvSpPr>
          <a:spLocks/>
        </xdr:cNvSpPr>
      </xdr:nvSpPr>
      <xdr:spPr>
        <a:xfrm flipV="1">
          <a:off x="4181475" y="18669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190500</xdr:rowOff>
    </xdr:from>
    <xdr:to>
      <xdr:col>6</xdr:col>
      <xdr:colOff>266700</xdr:colOff>
      <xdr:row>9</xdr:row>
      <xdr:rowOff>190500</xdr:rowOff>
    </xdr:to>
    <xdr:sp>
      <xdr:nvSpPr>
        <xdr:cNvPr id="26" name="Line 62"/>
        <xdr:cNvSpPr>
          <a:spLocks/>
        </xdr:cNvSpPr>
      </xdr:nvSpPr>
      <xdr:spPr>
        <a:xfrm>
          <a:off x="3924300" y="1905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57150</xdr:rowOff>
    </xdr:from>
    <xdr:to>
      <xdr:col>6</xdr:col>
      <xdr:colOff>333375</xdr:colOff>
      <xdr:row>15</xdr:row>
      <xdr:rowOff>171450</xdr:rowOff>
    </xdr:to>
    <xdr:sp>
      <xdr:nvSpPr>
        <xdr:cNvPr id="27" name="Rectangle 63"/>
        <xdr:cNvSpPr>
          <a:spLocks/>
        </xdr:cNvSpPr>
      </xdr:nvSpPr>
      <xdr:spPr>
        <a:xfrm>
          <a:off x="4210050" y="2190750"/>
          <a:ext cx="381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11</xdr:row>
      <xdr:rowOff>57150</xdr:rowOff>
    </xdr:from>
    <xdr:to>
      <xdr:col>6</xdr:col>
      <xdr:colOff>428625</xdr:colOff>
      <xdr:row>15</xdr:row>
      <xdr:rowOff>171450</xdr:rowOff>
    </xdr:to>
    <xdr:sp>
      <xdr:nvSpPr>
        <xdr:cNvPr id="28" name="Rectangle 64"/>
        <xdr:cNvSpPr>
          <a:spLocks/>
        </xdr:cNvSpPr>
      </xdr:nvSpPr>
      <xdr:spPr>
        <a:xfrm>
          <a:off x="4305300" y="2190750"/>
          <a:ext cx="381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11</xdr:row>
      <xdr:rowOff>57150</xdr:rowOff>
    </xdr:from>
    <xdr:to>
      <xdr:col>6</xdr:col>
      <xdr:colOff>571500</xdr:colOff>
      <xdr:row>11</xdr:row>
      <xdr:rowOff>57150</xdr:rowOff>
    </xdr:to>
    <xdr:sp>
      <xdr:nvSpPr>
        <xdr:cNvPr id="29" name="Line 65"/>
        <xdr:cNvSpPr>
          <a:spLocks/>
        </xdr:cNvSpPr>
      </xdr:nvSpPr>
      <xdr:spPr>
        <a:xfrm flipH="1">
          <a:off x="4381500" y="219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15</xdr:row>
      <xdr:rowOff>171450</xdr:rowOff>
    </xdr:from>
    <xdr:to>
      <xdr:col>6</xdr:col>
      <xdr:colOff>571500</xdr:colOff>
      <xdr:row>15</xdr:row>
      <xdr:rowOff>171450</xdr:rowOff>
    </xdr:to>
    <xdr:sp>
      <xdr:nvSpPr>
        <xdr:cNvPr id="30" name="Line 66"/>
        <xdr:cNvSpPr>
          <a:spLocks/>
        </xdr:cNvSpPr>
      </xdr:nvSpPr>
      <xdr:spPr>
        <a:xfrm flipH="1">
          <a:off x="4381500" y="3143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11</xdr:row>
      <xdr:rowOff>57150</xdr:rowOff>
    </xdr:from>
    <xdr:to>
      <xdr:col>6</xdr:col>
      <xdr:colOff>533400</xdr:colOff>
      <xdr:row>15</xdr:row>
      <xdr:rowOff>171450</xdr:rowOff>
    </xdr:to>
    <xdr:sp>
      <xdr:nvSpPr>
        <xdr:cNvPr id="31" name="Line 67"/>
        <xdr:cNvSpPr>
          <a:spLocks/>
        </xdr:cNvSpPr>
      </xdr:nvSpPr>
      <xdr:spPr>
        <a:xfrm flipV="1">
          <a:off x="4448175" y="21907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123825</xdr:rowOff>
    </xdr:from>
    <xdr:to>
      <xdr:col>7</xdr:col>
      <xdr:colOff>104775</xdr:colOff>
      <xdr:row>16</xdr:row>
      <xdr:rowOff>171450</xdr:rowOff>
    </xdr:to>
    <xdr:sp>
      <xdr:nvSpPr>
        <xdr:cNvPr id="32" name="Rectangle 68"/>
        <xdr:cNvSpPr>
          <a:spLocks/>
        </xdr:cNvSpPr>
      </xdr:nvSpPr>
      <xdr:spPr>
        <a:xfrm>
          <a:off x="3924300" y="3286125"/>
          <a:ext cx="704850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28575</xdr:rowOff>
    </xdr:from>
    <xdr:to>
      <xdr:col>6</xdr:col>
      <xdr:colOff>266700</xdr:colOff>
      <xdr:row>16</xdr:row>
      <xdr:rowOff>76200</xdr:rowOff>
    </xdr:to>
    <xdr:sp>
      <xdr:nvSpPr>
        <xdr:cNvPr id="33" name="Rectangle 69"/>
        <xdr:cNvSpPr>
          <a:spLocks/>
        </xdr:cNvSpPr>
      </xdr:nvSpPr>
      <xdr:spPr>
        <a:xfrm>
          <a:off x="3924300" y="3190875"/>
          <a:ext cx="25717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28575</xdr:rowOff>
    </xdr:from>
    <xdr:to>
      <xdr:col>7</xdr:col>
      <xdr:colOff>104775</xdr:colOff>
      <xdr:row>16</xdr:row>
      <xdr:rowOff>76200</xdr:rowOff>
    </xdr:to>
    <xdr:sp>
      <xdr:nvSpPr>
        <xdr:cNvPr id="34" name="Rectangle 70"/>
        <xdr:cNvSpPr>
          <a:spLocks/>
        </xdr:cNvSpPr>
      </xdr:nvSpPr>
      <xdr:spPr>
        <a:xfrm>
          <a:off x="4371975" y="3190875"/>
          <a:ext cx="25717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104775</xdr:rowOff>
    </xdr:from>
    <xdr:to>
      <xdr:col>6</xdr:col>
      <xdr:colOff>9525</xdr:colOff>
      <xdr:row>16</xdr:row>
      <xdr:rowOff>0</xdr:rowOff>
    </xdr:to>
    <xdr:sp>
      <xdr:nvSpPr>
        <xdr:cNvPr id="35" name="Line 71"/>
        <xdr:cNvSpPr>
          <a:spLocks/>
        </xdr:cNvSpPr>
      </xdr:nvSpPr>
      <xdr:spPr>
        <a:xfrm flipV="1">
          <a:off x="3924300" y="30765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104775</xdr:rowOff>
    </xdr:from>
    <xdr:to>
      <xdr:col>6</xdr:col>
      <xdr:colOff>266700</xdr:colOff>
      <xdr:row>16</xdr:row>
      <xdr:rowOff>0</xdr:rowOff>
    </xdr:to>
    <xdr:sp>
      <xdr:nvSpPr>
        <xdr:cNvPr id="36" name="Line 72"/>
        <xdr:cNvSpPr>
          <a:spLocks/>
        </xdr:cNvSpPr>
      </xdr:nvSpPr>
      <xdr:spPr>
        <a:xfrm flipV="1">
          <a:off x="4181475" y="30765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142875</xdr:rowOff>
    </xdr:from>
    <xdr:to>
      <xdr:col>6</xdr:col>
      <xdr:colOff>266700</xdr:colOff>
      <xdr:row>15</xdr:row>
      <xdr:rowOff>142875</xdr:rowOff>
    </xdr:to>
    <xdr:sp>
      <xdr:nvSpPr>
        <xdr:cNvPr id="37" name="Line 73"/>
        <xdr:cNvSpPr>
          <a:spLocks/>
        </xdr:cNvSpPr>
      </xdr:nvSpPr>
      <xdr:spPr>
        <a:xfrm>
          <a:off x="3924300" y="3114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28575</xdr:rowOff>
    </xdr:from>
    <xdr:to>
      <xdr:col>6</xdr:col>
      <xdr:colOff>9525</xdr:colOff>
      <xdr:row>17</xdr:row>
      <xdr:rowOff>114300</xdr:rowOff>
    </xdr:to>
    <xdr:sp>
      <xdr:nvSpPr>
        <xdr:cNvPr id="38" name="Line 74"/>
        <xdr:cNvSpPr>
          <a:spLocks/>
        </xdr:cNvSpPr>
      </xdr:nvSpPr>
      <xdr:spPr>
        <a:xfrm flipV="1">
          <a:off x="3924300" y="3381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28575</xdr:rowOff>
    </xdr:from>
    <xdr:to>
      <xdr:col>7</xdr:col>
      <xdr:colOff>95250</xdr:colOff>
      <xdr:row>17</xdr:row>
      <xdr:rowOff>114300</xdr:rowOff>
    </xdr:to>
    <xdr:sp>
      <xdr:nvSpPr>
        <xdr:cNvPr id="39" name="Line 75"/>
        <xdr:cNvSpPr>
          <a:spLocks/>
        </xdr:cNvSpPr>
      </xdr:nvSpPr>
      <xdr:spPr>
        <a:xfrm flipV="1">
          <a:off x="4619625" y="3381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76200</xdr:rowOff>
    </xdr:from>
    <xdr:to>
      <xdr:col>7</xdr:col>
      <xdr:colOff>95250</xdr:colOff>
      <xdr:row>17</xdr:row>
      <xdr:rowOff>76200</xdr:rowOff>
    </xdr:to>
    <xdr:sp>
      <xdr:nvSpPr>
        <xdr:cNvPr id="40" name="Line 76"/>
        <xdr:cNvSpPr>
          <a:spLocks/>
        </xdr:cNvSpPr>
      </xdr:nvSpPr>
      <xdr:spPr>
        <a:xfrm>
          <a:off x="3924300" y="3429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104775</xdr:rowOff>
    </xdr:from>
    <xdr:to>
      <xdr:col>6</xdr:col>
      <xdr:colOff>381000</xdr:colOff>
      <xdr:row>3</xdr:row>
      <xdr:rowOff>133350</xdr:rowOff>
    </xdr:to>
    <xdr:sp>
      <xdr:nvSpPr>
        <xdr:cNvPr id="41" name="Text Box 77"/>
        <xdr:cNvSpPr txBox="1">
          <a:spLocks noChangeArrowheads="1"/>
        </xdr:cNvSpPr>
      </xdr:nvSpPr>
      <xdr:spPr>
        <a:xfrm>
          <a:off x="4010025" y="4857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6</xdr:col>
      <xdr:colOff>57150</xdr:colOff>
      <xdr:row>5</xdr:row>
      <xdr:rowOff>28575</xdr:rowOff>
    </xdr:from>
    <xdr:to>
      <xdr:col>6</xdr:col>
      <xdr:colOff>342900</xdr:colOff>
      <xdr:row>6</xdr:row>
      <xdr:rowOff>57150</xdr:rowOff>
    </xdr:to>
    <xdr:sp>
      <xdr:nvSpPr>
        <xdr:cNvPr id="42" name="Text Box 78"/>
        <xdr:cNvSpPr txBox="1">
          <a:spLocks noChangeArrowheads="1"/>
        </xdr:cNvSpPr>
      </xdr:nvSpPr>
      <xdr:spPr>
        <a:xfrm>
          <a:off x="3971925" y="9810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6</xdr:col>
      <xdr:colOff>542925</xdr:colOff>
      <xdr:row>6</xdr:row>
      <xdr:rowOff>161925</xdr:rowOff>
    </xdr:from>
    <xdr:to>
      <xdr:col>7</xdr:col>
      <xdr:colOff>219075</xdr:colOff>
      <xdr:row>8</xdr:row>
      <xdr:rowOff>0</xdr:rowOff>
    </xdr:to>
    <xdr:sp>
      <xdr:nvSpPr>
        <xdr:cNvPr id="43" name="Text Box 79"/>
        <xdr:cNvSpPr txBox="1">
          <a:spLocks noChangeArrowheads="1"/>
        </xdr:cNvSpPr>
      </xdr:nvSpPr>
      <xdr:spPr>
        <a:xfrm>
          <a:off x="4457700" y="13049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6</xdr:col>
      <xdr:colOff>66675</xdr:colOff>
      <xdr:row>9</xdr:row>
      <xdr:rowOff>0</xdr:rowOff>
    </xdr:from>
    <xdr:to>
      <xdr:col>6</xdr:col>
      <xdr:colOff>352425</xdr:colOff>
      <xdr:row>10</xdr:row>
      <xdr:rowOff>47625</xdr:rowOff>
    </xdr:to>
    <xdr:sp>
      <xdr:nvSpPr>
        <xdr:cNvPr id="44" name="Text Box 80"/>
        <xdr:cNvSpPr txBox="1">
          <a:spLocks noChangeArrowheads="1"/>
        </xdr:cNvSpPr>
      </xdr:nvSpPr>
      <xdr:spPr>
        <a:xfrm>
          <a:off x="3981450" y="17145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6</xdr:col>
      <xdr:colOff>542925</xdr:colOff>
      <xdr:row>13</xdr:row>
      <xdr:rowOff>66675</xdr:rowOff>
    </xdr:from>
    <xdr:to>
      <xdr:col>7</xdr:col>
      <xdr:colOff>219075</xdr:colOff>
      <xdr:row>14</xdr:row>
      <xdr:rowOff>76200</xdr:rowOff>
    </xdr:to>
    <xdr:sp>
      <xdr:nvSpPr>
        <xdr:cNvPr id="45" name="Text Box 81"/>
        <xdr:cNvSpPr txBox="1">
          <a:spLocks noChangeArrowheads="1"/>
        </xdr:cNvSpPr>
      </xdr:nvSpPr>
      <xdr:spPr>
        <a:xfrm>
          <a:off x="4457700" y="26193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6</xdr:col>
      <xdr:colOff>57150</xdr:colOff>
      <xdr:row>14</xdr:row>
      <xdr:rowOff>161925</xdr:rowOff>
    </xdr:from>
    <xdr:to>
      <xdr:col>6</xdr:col>
      <xdr:colOff>342900</xdr:colOff>
      <xdr:row>15</xdr:row>
      <xdr:rowOff>171450</xdr:rowOff>
    </xdr:to>
    <xdr:sp>
      <xdr:nvSpPr>
        <xdr:cNvPr id="46" name="Text Box 82"/>
        <xdr:cNvSpPr txBox="1">
          <a:spLocks noChangeArrowheads="1"/>
        </xdr:cNvSpPr>
      </xdr:nvSpPr>
      <xdr:spPr>
        <a:xfrm>
          <a:off x="3971925" y="29241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6</xdr:col>
      <xdr:colOff>95250</xdr:colOff>
      <xdr:row>17</xdr:row>
      <xdr:rowOff>57150</xdr:rowOff>
    </xdr:from>
    <xdr:to>
      <xdr:col>6</xdr:col>
      <xdr:colOff>381000</xdr:colOff>
      <xdr:row>18</xdr:row>
      <xdr:rowOff>66675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4010025" y="34099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6</xdr:col>
      <xdr:colOff>371475</xdr:colOff>
      <xdr:row>0</xdr:row>
      <xdr:rowOff>57150</xdr:rowOff>
    </xdr:from>
    <xdr:to>
      <xdr:col>7</xdr:col>
      <xdr:colOff>47625</xdr:colOff>
      <xdr:row>1</xdr:row>
      <xdr:rowOff>85725</xdr:rowOff>
    </xdr:to>
    <xdr:sp>
      <xdr:nvSpPr>
        <xdr:cNvPr id="48" name="Text Box 84"/>
        <xdr:cNvSpPr txBox="1">
          <a:spLocks noChangeArrowheads="1"/>
        </xdr:cNvSpPr>
      </xdr:nvSpPr>
      <xdr:spPr>
        <a:xfrm>
          <a:off x="4286250" y="571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xdr:txBody>
    </xdr:sp>
    <xdr:clientData/>
  </xdr:twoCellAnchor>
  <xdr:twoCellAnchor>
    <xdr:from>
      <xdr:col>4</xdr:col>
      <xdr:colOff>485775</xdr:colOff>
      <xdr:row>10</xdr:row>
      <xdr:rowOff>47625</xdr:rowOff>
    </xdr:from>
    <xdr:to>
      <xdr:col>5</xdr:col>
      <xdr:colOff>161925</xdr:colOff>
      <xdr:row>11</xdr:row>
      <xdr:rowOff>57150</xdr:rowOff>
    </xdr:to>
    <xdr:sp>
      <xdr:nvSpPr>
        <xdr:cNvPr id="49" name="Text Box 85"/>
        <xdr:cNvSpPr txBox="1">
          <a:spLocks noChangeArrowheads="1"/>
        </xdr:cNvSpPr>
      </xdr:nvSpPr>
      <xdr:spPr>
        <a:xfrm>
          <a:off x="3152775" y="19716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19050</xdr:colOff>
      <xdr:row>10</xdr:row>
      <xdr:rowOff>47625</xdr:rowOff>
    </xdr:from>
    <xdr:to>
      <xdr:col>8</xdr:col>
      <xdr:colOff>304800</xdr:colOff>
      <xdr:row>11</xdr:row>
      <xdr:rowOff>57150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5286375" y="19716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6</xdr:col>
      <xdr:colOff>295275</xdr:colOff>
      <xdr:row>2</xdr:row>
      <xdr:rowOff>0</xdr:rowOff>
    </xdr:from>
    <xdr:to>
      <xdr:col>6</xdr:col>
      <xdr:colOff>333375</xdr:colOff>
      <xdr:row>3</xdr:row>
      <xdr:rowOff>133350</xdr:rowOff>
    </xdr:to>
    <xdr:sp>
      <xdr:nvSpPr>
        <xdr:cNvPr id="51" name="Rectangle 87"/>
        <xdr:cNvSpPr>
          <a:spLocks/>
        </xdr:cNvSpPr>
      </xdr:nvSpPr>
      <xdr:spPr>
        <a:xfrm>
          <a:off x="4210050" y="381000"/>
          <a:ext cx="381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2</xdr:row>
      <xdr:rowOff>0</xdr:rowOff>
    </xdr:from>
    <xdr:to>
      <xdr:col>7</xdr:col>
      <xdr:colOff>266700</xdr:colOff>
      <xdr:row>2</xdr:row>
      <xdr:rowOff>0</xdr:rowOff>
    </xdr:to>
    <xdr:sp>
      <xdr:nvSpPr>
        <xdr:cNvPr id="52" name="Line 88"/>
        <xdr:cNvSpPr>
          <a:spLocks/>
        </xdr:cNvSpPr>
      </xdr:nvSpPr>
      <xdr:spPr>
        <a:xfrm flipH="1">
          <a:off x="4381500" y="3810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133350</xdr:rowOff>
    </xdr:from>
    <xdr:to>
      <xdr:col>7</xdr:col>
      <xdr:colOff>276225</xdr:colOff>
      <xdr:row>3</xdr:row>
      <xdr:rowOff>133350</xdr:rowOff>
    </xdr:to>
    <xdr:sp>
      <xdr:nvSpPr>
        <xdr:cNvPr id="53" name="Line 89"/>
        <xdr:cNvSpPr>
          <a:spLocks/>
        </xdr:cNvSpPr>
      </xdr:nvSpPr>
      <xdr:spPr>
        <a:xfrm flipH="1">
          <a:off x="4695825" y="704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180975</xdr:rowOff>
    </xdr:from>
    <xdr:to>
      <xdr:col>7</xdr:col>
      <xdr:colOff>228600</xdr:colOff>
      <xdr:row>3</xdr:row>
      <xdr:rowOff>123825</xdr:rowOff>
    </xdr:to>
    <xdr:sp>
      <xdr:nvSpPr>
        <xdr:cNvPr id="54" name="Line 90"/>
        <xdr:cNvSpPr>
          <a:spLocks/>
        </xdr:cNvSpPr>
      </xdr:nvSpPr>
      <xdr:spPr>
        <a:xfrm flipV="1">
          <a:off x="4752975" y="371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76200</xdr:rowOff>
    </xdr:from>
    <xdr:to>
      <xdr:col>7</xdr:col>
      <xdr:colOff>523875</xdr:colOff>
      <xdr:row>3</xdr:row>
      <xdr:rowOff>104775</xdr:rowOff>
    </xdr:to>
    <xdr:sp>
      <xdr:nvSpPr>
        <xdr:cNvPr id="55" name="Text Box 91"/>
        <xdr:cNvSpPr txBox="1">
          <a:spLocks noChangeArrowheads="1"/>
        </xdr:cNvSpPr>
      </xdr:nvSpPr>
      <xdr:spPr>
        <a:xfrm>
          <a:off x="4762500" y="4572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6</xdr:col>
      <xdr:colOff>295275</xdr:colOff>
      <xdr:row>17</xdr:row>
      <xdr:rowOff>38100</xdr:rowOff>
    </xdr:from>
    <xdr:to>
      <xdr:col>6</xdr:col>
      <xdr:colOff>333375</xdr:colOff>
      <xdr:row>18</xdr:row>
      <xdr:rowOff>161925</xdr:rowOff>
    </xdr:to>
    <xdr:sp>
      <xdr:nvSpPr>
        <xdr:cNvPr id="56" name="Rectangle 92"/>
        <xdr:cNvSpPr>
          <a:spLocks/>
        </xdr:cNvSpPr>
      </xdr:nvSpPr>
      <xdr:spPr>
        <a:xfrm>
          <a:off x="4210050" y="3390900"/>
          <a:ext cx="38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161925</xdr:rowOff>
    </xdr:from>
    <xdr:to>
      <xdr:col>7</xdr:col>
      <xdr:colOff>266700</xdr:colOff>
      <xdr:row>18</xdr:row>
      <xdr:rowOff>161925</xdr:rowOff>
    </xdr:to>
    <xdr:sp>
      <xdr:nvSpPr>
        <xdr:cNvPr id="57" name="Line 93"/>
        <xdr:cNvSpPr>
          <a:spLocks/>
        </xdr:cNvSpPr>
      </xdr:nvSpPr>
      <xdr:spPr>
        <a:xfrm flipH="1">
          <a:off x="4381500" y="37242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17</xdr:row>
      <xdr:rowOff>47625</xdr:rowOff>
    </xdr:from>
    <xdr:to>
      <xdr:col>7</xdr:col>
      <xdr:colOff>276225</xdr:colOff>
      <xdr:row>17</xdr:row>
      <xdr:rowOff>47625</xdr:rowOff>
    </xdr:to>
    <xdr:sp>
      <xdr:nvSpPr>
        <xdr:cNvPr id="58" name="Line 94"/>
        <xdr:cNvSpPr>
          <a:spLocks/>
        </xdr:cNvSpPr>
      </xdr:nvSpPr>
      <xdr:spPr>
        <a:xfrm flipH="1">
          <a:off x="4695825" y="3400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17</xdr:row>
      <xdr:rowOff>38100</xdr:rowOff>
    </xdr:from>
    <xdr:to>
      <xdr:col>7</xdr:col>
      <xdr:colOff>228600</xdr:colOff>
      <xdr:row>18</xdr:row>
      <xdr:rowOff>152400</xdr:rowOff>
    </xdr:to>
    <xdr:sp>
      <xdr:nvSpPr>
        <xdr:cNvPr id="59" name="Line 95"/>
        <xdr:cNvSpPr>
          <a:spLocks/>
        </xdr:cNvSpPr>
      </xdr:nvSpPr>
      <xdr:spPr>
        <a:xfrm flipV="1">
          <a:off x="4752975" y="3390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17</xdr:row>
      <xdr:rowOff>104775</xdr:rowOff>
    </xdr:from>
    <xdr:to>
      <xdr:col>7</xdr:col>
      <xdr:colOff>523875</xdr:colOff>
      <xdr:row>18</xdr:row>
      <xdr:rowOff>114300</xdr:rowOff>
    </xdr:to>
    <xdr:sp>
      <xdr:nvSpPr>
        <xdr:cNvPr id="60" name="Text Box 96"/>
        <xdr:cNvSpPr txBox="1">
          <a:spLocks noChangeArrowheads="1"/>
        </xdr:cNvSpPr>
      </xdr:nvSpPr>
      <xdr:spPr>
        <a:xfrm>
          <a:off x="4762500" y="34575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xdr:txBody>
    </xdr:sp>
    <xdr:clientData/>
  </xdr:twoCellAnchor>
  <xdr:twoCellAnchor>
    <xdr:from>
      <xdr:col>6</xdr:col>
      <xdr:colOff>381000</xdr:colOff>
      <xdr:row>19</xdr:row>
      <xdr:rowOff>28575</xdr:rowOff>
    </xdr:from>
    <xdr:to>
      <xdr:col>7</xdr:col>
      <xdr:colOff>57150</xdr:colOff>
      <xdr:row>20</xdr:row>
      <xdr:rowOff>38100</xdr:rowOff>
    </xdr:to>
    <xdr:sp>
      <xdr:nvSpPr>
        <xdr:cNvPr id="61" name="Text Box 97"/>
        <xdr:cNvSpPr txBox="1">
          <a:spLocks noChangeArrowheads="1"/>
        </xdr:cNvSpPr>
      </xdr:nvSpPr>
      <xdr:spPr>
        <a:xfrm>
          <a:off x="4295775" y="38004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xdr:txBody>
    </xdr:sp>
    <xdr:clientData/>
  </xdr:twoCellAnchor>
  <xdr:twoCellAnchor>
    <xdr:from>
      <xdr:col>5</xdr:col>
      <xdr:colOff>285750</xdr:colOff>
      <xdr:row>16</xdr:row>
      <xdr:rowOff>171450</xdr:rowOff>
    </xdr:from>
    <xdr:to>
      <xdr:col>5</xdr:col>
      <xdr:colOff>561975</xdr:colOff>
      <xdr:row>16</xdr:row>
      <xdr:rowOff>171450</xdr:rowOff>
    </xdr:to>
    <xdr:sp>
      <xdr:nvSpPr>
        <xdr:cNvPr id="62" name="Line 98"/>
        <xdr:cNvSpPr>
          <a:spLocks/>
        </xdr:cNvSpPr>
      </xdr:nvSpPr>
      <xdr:spPr>
        <a:xfrm>
          <a:off x="3562350" y="3333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10</xdr:row>
      <xdr:rowOff>123825</xdr:rowOff>
    </xdr:from>
    <xdr:to>
      <xdr:col>5</xdr:col>
      <xdr:colOff>409575</xdr:colOff>
      <xdr:row>16</xdr:row>
      <xdr:rowOff>171450</xdr:rowOff>
    </xdr:to>
    <xdr:sp>
      <xdr:nvSpPr>
        <xdr:cNvPr id="63" name="Line 99"/>
        <xdr:cNvSpPr>
          <a:spLocks/>
        </xdr:cNvSpPr>
      </xdr:nvSpPr>
      <xdr:spPr>
        <a:xfrm>
          <a:off x="3686175" y="20478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13</xdr:row>
      <xdr:rowOff>9525</xdr:rowOff>
    </xdr:from>
    <xdr:to>
      <xdr:col>5</xdr:col>
      <xdr:colOff>542925</xdr:colOff>
      <xdr:row>14</xdr:row>
      <xdr:rowOff>19050</xdr:rowOff>
    </xdr:to>
    <xdr:sp>
      <xdr:nvSpPr>
        <xdr:cNvPr id="64" name="Text Box 100"/>
        <xdr:cNvSpPr txBox="1">
          <a:spLocks noChangeArrowheads="1"/>
        </xdr:cNvSpPr>
      </xdr:nvSpPr>
      <xdr:spPr>
        <a:xfrm>
          <a:off x="3533775" y="25622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xdr:txBody>
    </xdr:sp>
    <xdr:clientData/>
  </xdr:twoCellAnchor>
  <xdr:twoCellAnchor>
    <xdr:from>
      <xdr:col>5</xdr:col>
      <xdr:colOff>266700</xdr:colOff>
      <xdr:row>13</xdr:row>
      <xdr:rowOff>57150</xdr:rowOff>
    </xdr:from>
    <xdr:to>
      <xdr:col>5</xdr:col>
      <xdr:colOff>361950</xdr:colOff>
      <xdr:row>13</xdr:row>
      <xdr:rowOff>57150</xdr:rowOff>
    </xdr:to>
    <xdr:sp>
      <xdr:nvSpPr>
        <xdr:cNvPr id="65" name="Line 101"/>
        <xdr:cNvSpPr>
          <a:spLocks/>
        </xdr:cNvSpPr>
      </xdr:nvSpPr>
      <xdr:spPr>
        <a:xfrm>
          <a:off x="3543300" y="2609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276225</xdr:colOff>
      <xdr:row>4</xdr:row>
      <xdr:rowOff>0</xdr:rowOff>
    </xdr:to>
    <xdr:sp>
      <xdr:nvSpPr>
        <xdr:cNvPr id="66" name="Line 102"/>
        <xdr:cNvSpPr>
          <a:spLocks/>
        </xdr:cNvSpPr>
      </xdr:nvSpPr>
      <xdr:spPr>
        <a:xfrm flipH="1">
          <a:off x="4695825" y="762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0</xdr:rowOff>
    </xdr:from>
    <xdr:to>
      <xdr:col>7</xdr:col>
      <xdr:colOff>228600</xdr:colOff>
      <xdr:row>4</xdr:row>
      <xdr:rowOff>95250</xdr:rowOff>
    </xdr:to>
    <xdr:sp>
      <xdr:nvSpPr>
        <xdr:cNvPr id="67" name="Line 103"/>
        <xdr:cNvSpPr>
          <a:spLocks/>
        </xdr:cNvSpPr>
      </xdr:nvSpPr>
      <xdr:spPr>
        <a:xfrm>
          <a:off x="4752975" y="76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</xdr:row>
      <xdr:rowOff>66675</xdr:rowOff>
    </xdr:from>
    <xdr:to>
      <xdr:col>7</xdr:col>
      <xdr:colOff>561975</xdr:colOff>
      <xdr:row>4</xdr:row>
      <xdr:rowOff>95250</xdr:rowOff>
    </xdr:to>
    <xdr:sp>
      <xdr:nvSpPr>
        <xdr:cNvPr id="68" name="Text Box 104"/>
        <xdr:cNvSpPr txBox="1">
          <a:spLocks noChangeArrowheads="1"/>
        </xdr:cNvSpPr>
      </xdr:nvSpPr>
      <xdr:spPr>
        <a:xfrm>
          <a:off x="4800600" y="6381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</a:t>
          </a:r>
        </a:p>
      </xdr:txBody>
    </xdr:sp>
    <xdr:clientData/>
  </xdr:twoCellAnchor>
  <xdr:twoCellAnchor>
    <xdr:from>
      <xdr:col>7</xdr:col>
      <xdr:colOff>285750</xdr:colOff>
      <xdr:row>16</xdr:row>
      <xdr:rowOff>104775</xdr:rowOff>
    </xdr:from>
    <xdr:to>
      <xdr:col>7</xdr:col>
      <xdr:colOff>571500</xdr:colOff>
      <xdr:row>17</xdr:row>
      <xdr:rowOff>133350</xdr:rowOff>
    </xdr:to>
    <xdr:sp>
      <xdr:nvSpPr>
        <xdr:cNvPr id="69" name="Text Box 105"/>
        <xdr:cNvSpPr txBox="1">
          <a:spLocks noChangeArrowheads="1"/>
        </xdr:cNvSpPr>
      </xdr:nvSpPr>
      <xdr:spPr>
        <a:xfrm>
          <a:off x="4810125" y="32670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  <a:r>
            <a:rPr lang="en-US" cap="none" sz="10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</a:p>
      </xdr:txBody>
    </xdr:sp>
    <xdr:clientData/>
  </xdr:twoCellAnchor>
  <xdr:twoCellAnchor>
    <xdr:from>
      <xdr:col>7</xdr:col>
      <xdr:colOff>228600</xdr:colOff>
      <xdr:row>16</xdr:row>
      <xdr:rowOff>76200</xdr:rowOff>
    </xdr:from>
    <xdr:to>
      <xdr:col>7</xdr:col>
      <xdr:colOff>228600</xdr:colOff>
      <xdr:row>16</xdr:row>
      <xdr:rowOff>171450</xdr:rowOff>
    </xdr:to>
    <xdr:sp>
      <xdr:nvSpPr>
        <xdr:cNvPr id="70" name="Line 106"/>
        <xdr:cNvSpPr>
          <a:spLocks/>
        </xdr:cNvSpPr>
      </xdr:nvSpPr>
      <xdr:spPr>
        <a:xfrm flipV="1">
          <a:off x="4752975" y="3238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16</xdr:row>
      <xdr:rowOff>171450</xdr:rowOff>
    </xdr:from>
    <xdr:to>
      <xdr:col>7</xdr:col>
      <xdr:colOff>276225</xdr:colOff>
      <xdr:row>16</xdr:row>
      <xdr:rowOff>171450</xdr:rowOff>
    </xdr:to>
    <xdr:sp>
      <xdr:nvSpPr>
        <xdr:cNvPr id="71" name="Line 107"/>
        <xdr:cNvSpPr>
          <a:spLocks/>
        </xdr:cNvSpPr>
      </xdr:nvSpPr>
      <xdr:spPr>
        <a:xfrm flipH="1">
          <a:off x="4695825" y="3333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</xdr:row>
      <xdr:rowOff>0</xdr:rowOff>
    </xdr:from>
    <xdr:to>
      <xdr:col>6</xdr:col>
      <xdr:colOff>428625</xdr:colOff>
      <xdr:row>3</xdr:row>
      <xdr:rowOff>133350</xdr:rowOff>
    </xdr:to>
    <xdr:sp>
      <xdr:nvSpPr>
        <xdr:cNvPr id="72" name="Rectangle 108"/>
        <xdr:cNvSpPr>
          <a:spLocks/>
        </xdr:cNvSpPr>
      </xdr:nvSpPr>
      <xdr:spPr>
        <a:xfrm>
          <a:off x="4305300" y="381000"/>
          <a:ext cx="381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17</xdr:row>
      <xdr:rowOff>38100</xdr:rowOff>
    </xdr:from>
    <xdr:to>
      <xdr:col>6</xdr:col>
      <xdr:colOff>428625</xdr:colOff>
      <xdr:row>18</xdr:row>
      <xdr:rowOff>161925</xdr:rowOff>
    </xdr:to>
    <xdr:sp>
      <xdr:nvSpPr>
        <xdr:cNvPr id="73" name="Rectangle 109"/>
        <xdr:cNvSpPr>
          <a:spLocks/>
        </xdr:cNvSpPr>
      </xdr:nvSpPr>
      <xdr:spPr>
        <a:xfrm>
          <a:off x="4305300" y="3390900"/>
          <a:ext cx="38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74" name="Rectangle 111"/>
        <xdr:cNvSpPr>
          <a:spLocks/>
        </xdr:cNvSpPr>
      </xdr:nvSpPr>
      <xdr:spPr>
        <a:xfrm>
          <a:off x="0" y="0"/>
          <a:ext cx="2019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44</xdr:row>
      <xdr:rowOff>123825</xdr:rowOff>
    </xdr:from>
    <xdr:to>
      <xdr:col>1</xdr:col>
      <xdr:colOff>666750</xdr:colOff>
      <xdr:row>44</xdr:row>
      <xdr:rowOff>228600</xdr:rowOff>
    </xdr:to>
    <xdr:sp>
      <xdr:nvSpPr>
        <xdr:cNvPr id="75" name="Line 112"/>
        <xdr:cNvSpPr>
          <a:spLocks/>
        </xdr:cNvSpPr>
      </xdr:nvSpPr>
      <xdr:spPr>
        <a:xfrm flipH="1" flipV="1">
          <a:off x="1247775" y="9163050"/>
          <a:ext cx="28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171950" y="485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400050</xdr:colOff>
      <xdr:row>15</xdr:row>
      <xdr:rowOff>38100</xdr:rowOff>
    </xdr:from>
    <xdr:to>
      <xdr:col>15</xdr:col>
      <xdr:colOff>485775</xdr:colOff>
      <xdr:row>15</xdr:row>
      <xdr:rowOff>38100</xdr:rowOff>
    </xdr:to>
    <xdr:sp>
      <xdr:nvSpPr>
        <xdr:cNvPr id="2" name="Line 3"/>
        <xdr:cNvSpPr>
          <a:spLocks/>
        </xdr:cNvSpPr>
      </xdr:nvSpPr>
      <xdr:spPr>
        <a:xfrm>
          <a:off x="1083945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33</xdr:row>
      <xdr:rowOff>152400</xdr:rowOff>
    </xdr:from>
    <xdr:to>
      <xdr:col>7</xdr:col>
      <xdr:colOff>0</xdr:colOff>
      <xdr:row>34</xdr:row>
      <xdr:rowOff>38100</xdr:rowOff>
    </xdr:to>
    <xdr:sp>
      <xdr:nvSpPr>
        <xdr:cNvPr id="3" name="Rectangle 5"/>
        <xdr:cNvSpPr>
          <a:spLocks/>
        </xdr:cNvSpPr>
      </xdr:nvSpPr>
      <xdr:spPr>
        <a:xfrm>
          <a:off x="4572000" y="6696075"/>
          <a:ext cx="8096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190500</xdr:rowOff>
    </xdr:from>
    <xdr:to>
      <xdr:col>5</xdr:col>
      <xdr:colOff>19050</xdr:colOff>
      <xdr:row>31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771900" y="5810250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8</xdr:col>
      <xdr:colOff>200025</xdr:colOff>
      <xdr:row>29</xdr:row>
      <xdr:rowOff>180975</xdr:rowOff>
    </xdr:from>
    <xdr:to>
      <xdr:col>8</xdr:col>
      <xdr:colOff>400050</xdr:colOff>
      <xdr:row>30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191250" y="5800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25</xdr:row>
      <xdr:rowOff>0</xdr:rowOff>
    </xdr:from>
    <xdr:to>
      <xdr:col>6</xdr:col>
      <xdr:colOff>323850</xdr:colOff>
      <xdr:row>25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29175" y="4857750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666750</xdr:colOff>
      <xdr:row>25</xdr:row>
      <xdr:rowOff>95250</xdr:rowOff>
    </xdr:from>
    <xdr:to>
      <xdr:col>5</xdr:col>
      <xdr:colOff>666750</xdr:colOff>
      <xdr:row>26</xdr:row>
      <xdr:rowOff>38100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772025" y="49530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25</xdr:row>
      <xdr:rowOff>0</xdr:rowOff>
    </xdr:from>
    <xdr:to>
      <xdr:col>6</xdr:col>
      <xdr:colOff>228600</xdr:colOff>
      <xdr:row>25</xdr:row>
      <xdr:rowOff>9525</xdr:rowOff>
    </xdr:to>
    <xdr:sp>
      <xdr:nvSpPr>
        <xdr:cNvPr id="8" name="Line 10"/>
        <xdr:cNvSpPr>
          <a:spLocks/>
        </xdr:cNvSpPr>
      </xdr:nvSpPr>
      <xdr:spPr>
        <a:xfrm flipV="1">
          <a:off x="5000625" y="4857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95250</xdr:rowOff>
    </xdr:from>
    <xdr:to>
      <xdr:col>5</xdr:col>
      <xdr:colOff>666750</xdr:colOff>
      <xdr:row>11</xdr:row>
      <xdr:rowOff>95250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733925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466725</xdr:colOff>
      <xdr:row>27</xdr:row>
      <xdr:rowOff>76200</xdr:rowOff>
    </xdr:from>
    <xdr:to>
      <xdr:col>5</xdr:col>
      <xdr:colOff>466725</xdr:colOff>
      <xdr:row>27</xdr:row>
      <xdr:rowOff>171450</xdr:rowOff>
    </xdr:to>
    <xdr:sp>
      <xdr:nvSpPr>
        <xdr:cNvPr id="10" name="Line 12"/>
        <xdr:cNvSpPr>
          <a:spLocks/>
        </xdr:cNvSpPr>
      </xdr:nvSpPr>
      <xdr:spPr>
        <a:xfrm flipV="1">
          <a:off x="4572000" y="5314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123825</xdr:rowOff>
    </xdr:from>
    <xdr:to>
      <xdr:col>6</xdr:col>
      <xdr:colOff>600075</xdr:colOff>
      <xdr:row>27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4572000" y="5362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66675</xdr:rowOff>
    </xdr:from>
    <xdr:to>
      <xdr:col>6</xdr:col>
      <xdr:colOff>57150</xdr:colOff>
      <xdr:row>13</xdr:row>
      <xdr:rowOff>114300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4772025" y="2333625"/>
          <a:ext cx="57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476250</xdr:colOff>
      <xdr:row>34</xdr:row>
      <xdr:rowOff>57150</xdr:rowOff>
    </xdr:from>
    <xdr:to>
      <xdr:col>5</xdr:col>
      <xdr:colOff>476250</xdr:colOff>
      <xdr:row>34</xdr:row>
      <xdr:rowOff>152400</xdr:rowOff>
    </xdr:to>
    <xdr:sp>
      <xdr:nvSpPr>
        <xdr:cNvPr id="13" name="Line 15"/>
        <xdr:cNvSpPr>
          <a:spLocks/>
        </xdr:cNvSpPr>
      </xdr:nvSpPr>
      <xdr:spPr>
        <a:xfrm flipV="1">
          <a:off x="4581525" y="6810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57150</xdr:rowOff>
    </xdr:from>
    <xdr:to>
      <xdr:col>7</xdr:col>
      <xdr:colOff>0</xdr:colOff>
      <xdr:row>34</xdr:row>
      <xdr:rowOff>152400</xdr:rowOff>
    </xdr:to>
    <xdr:sp>
      <xdr:nvSpPr>
        <xdr:cNvPr id="14" name="Line 16"/>
        <xdr:cNvSpPr>
          <a:spLocks/>
        </xdr:cNvSpPr>
      </xdr:nvSpPr>
      <xdr:spPr>
        <a:xfrm flipV="1">
          <a:off x="5381625" y="6810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34</xdr:row>
      <xdr:rowOff>133350</xdr:rowOff>
    </xdr:from>
    <xdr:to>
      <xdr:col>7</xdr:col>
      <xdr:colOff>9525</xdr:colOff>
      <xdr:row>34</xdr:row>
      <xdr:rowOff>133350</xdr:rowOff>
    </xdr:to>
    <xdr:sp>
      <xdr:nvSpPr>
        <xdr:cNvPr id="15" name="Line 17"/>
        <xdr:cNvSpPr>
          <a:spLocks/>
        </xdr:cNvSpPr>
      </xdr:nvSpPr>
      <xdr:spPr>
        <a:xfrm>
          <a:off x="4581525" y="6886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0</xdr:rowOff>
    </xdr:from>
    <xdr:to>
      <xdr:col>6</xdr:col>
      <xdr:colOff>19050</xdr:colOff>
      <xdr:row>14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4772025" y="26860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38100</xdr:rowOff>
    </xdr:from>
    <xdr:to>
      <xdr:col>5</xdr:col>
      <xdr:colOff>419100</xdr:colOff>
      <xdr:row>28</xdr:row>
      <xdr:rowOff>38100</xdr:rowOff>
    </xdr:to>
    <xdr:sp>
      <xdr:nvSpPr>
        <xdr:cNvPr id="17" name="Line 19"/>
        <xdr:cNvSpPr>
          <a:spLocks/>
        </xdr:cNvSpPr>
      </xdr:nvSpPr>
      <xdr:spPr>
        <a:xfrm flipH="1">
          <a:off x="4267200" y="5467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104775</xdr:rowOff>
    </xdr:from>
    <xdr:to>
      <xdr:col>5</xdr:col>
      <xdr:colOff>419100</xdr:colOff>
      <xdr:row>28</xdr:row>
      <xdr:rowOff>104775</xdr:rowOff>
    </xdr:to>
    <xdr:sp>
      <xdr:nvSpPr>
        <xdr:cNvPr id="18" name="Line 20"/>
        <xdr:cNvSpPr>
          <a:spLocks/>
        </xdr:cNvSpPr>
      </xdr:nvSpPr>
      <xdr:spPr>
        <a:xfrm flipH="1">
          <a:off x="4267200" y="55340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152400</xdr:rowOff>
    </xdr:from>
    <xdr:to>
      <xdr:col>5</xdr:col>
      <xdr:colOff>419100</xdr:colOff>
      <xdr:row>33</xdr:row>
      <xdr:rowOff>152400</xdr:rowOff>
    </xdr:to>
    <xdr:sp>
      <xdr:nvSpPr>
        <xdr:cNvPr id="19" name="Line 21"/>
        <xdr:cNvSpPr>
          <a:spLocks/>
        </xdr:cNvSpPr>
      </xdr:nvSpPr>
      <xdr:spPr>
        <a:xfrm flipH="1">
          <a:off x="4267200" y="6696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34</xdr:row>
      <xdr:rowOff>38100</xdr:rowOff>
    </xdr:from>
    <xdr:to>
      <xdr:col>5</xdr:col>
      <xdr:colOff>428625</xdr:colOff>
      <xdr:row>34</xdr:row>
      <xdr:rowOff>38100</xdr:rowOff>
    </xdr:to>
    <xdr:sp>
      <xdr:nvSpPr>
        <xdr:cNvPr id="20" name="Line 22"/>
        <xdr:cNvSpPr>
          <a:spLocks/>
        </xdr:cNvSpPr>
      </xdr:nvSpPr>
      <xdr:spPr>
        <a:xfrm flipH="1">
          <a:off x="4276725" y="6791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28</xdr:row>
      <xdr:rowOff>95250</xdr:rowOff>
    </xdr:from>
    <xdr:to>
      <xdr:col>5</xdr:col>
      <xdr:colOff>180975</xdr:colOff>
      <xdr:row>33</xdr:row>
      <xdr:rowOff>161925</xdr:rowOff>
    </xdr:to>
    <xdr:sp>
      <xdr:nvSpPr>
        <xdr:cNvPr id="21" name="Line 23"/>
        <xdr:cNvSpPr>
          <a:spLocks/>
        </xdr:cNvSpPr>
      </xdr:nvSpPr>
      <xdr:spPr>
        <a:xfrm flipV="1">
          <a:off x="4286250" y="55245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27</xdr:row>
      <xdr:rowOff>95250</xdr:rowOff>
    </xdr:from>
    <xdr:to>
      <xdr:col>5</xdr:col>
      <xdr:colOff>257175</xdr:colOff>
      <xdr:row>28</xdr:row>
      <xdr:rowOff>47625</xdr:rowOff>
    </xdr:to>
    <xdr:sp>
      <xdr:nvSpPr>
        <xdr:cNvPr id="22" name="Line 24"/>
        <xdr:cNvSpPr>
          <a:spLocks/>
        </xdr:cNvSpPr>
      </xdr:nvSpPr>
      <xdr:spPr>
        <a:xfrm flipV="1">
          <a:off x="4362450" y="5334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190500</xdr:rowOff>
    </xdr:from>
    <xdr:to>
      <xdr:col>5</xdr:col>
      <xdr:colOff>257175</xdr:colOff>
      <xdr:row>34</xdr:row>
      <xdr:rowOff>95250</xdr:rowOff>
    </xdr:to>
    <xdr:sp>
      <xdr:nvSpPr>
        <xdr:cNvPr id="23" name="Line 25"/>
        <xdr:cNvSpPr>
          <a:spLocks/>
        </xdr:cNvSpPr>
      </xdr:nvSpPr>
      <xdr:spPr>
        <a:xfrm flipV="1">
          <a:off x="4362450" y="6734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34</xdr:row>
      <xdr:rowOff>66675</xdr:rowOff>
    </xdr:from>
    <xdr:to>
      <xdr:col>5</xdr:col>
      <xdr:colOff>257175</xdr:colOff>
      <xdr:row>35</xdr:row>
      <xdr:rowOff>0</xdr:rowOff>
    </xdr:to>
    <xdr:sp>
      <xdr:nvSpPr>
        <xdr:cNvPr id="24" name="Line 26"/>
        <xdr:cNvSpPr>
          <a:spLocks/>
        </xdr:cNvSpPr>
      </xdr:nvSpPr>
      <xdr:spPr>
        <a:xfrm>
          <a:off x="4362450" y="6819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27</xdr:row>
      <xdr:rowOff>152400</xdr:rowOff>
    </xdr:from>
    <xdr:to>
      <xdr:col>5</xdr:col>
      <xdr:colOff>171450</xdr:colOff>
      <xdr:row>29</xdr:row>
      <xdr:rowOff>0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3981450" y="539115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33</xdr:row>
      <xdr:rowOff>66675</xdr:rowOff>
    </xdr:from>
    <xdr:to>
      <xdr:col>5</xdr:col>
      <xdr:colOff>266700</xdr:colOff>
      <xdr:row>34</xdr:row>
      <xdr:rowOff>104775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3933825" y="66103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30</xdr:row>
      <xdr:rowOff>161925</xdr:rowOff>
    </xdr:from>
    <xdr:to>
      <xdr:col>8</xdr:col>
      <xdr:colOff>9525</xdr:colOff>
      <xdr:row>30</xdr:row>
      <xdr:rowOff>161925</xdr:rowOff>
    </xdr:to>
    <xdr:sp>
      <xdr:nvSpPr>
        <xdr:cNvPr id="27" name="Line 29"/>
        <xdr:cNvSpPr>
          <a:spLocks/>
        </xdr:cNvSpPr>
      </xdr:nvSpPr>
      <xdr:spPr>
        <a:xfrm>
          <a:off x="3600450" y="6010275"/>
          <a:ext cx="24003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4</xdr:col>
      <xdr:colOff>209550</xdr:colOff>
      <xdr:row>31</xdr:row>
      <xdr:rowOff>57150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3505200" y="59055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25</xdr:row>
      <xdr:rowOff>0</xdr:rowOff>
    </xdr:from>
    <xdr:to>
      <xdr:col>6</xdr:col>
      <xdr:colOff>228600</xdr:colOff>
      <xdr:row>35</xdr:row>
      <xdr:rowOff>0</xdr:rowOff>
    </xdr:to>
    <xdr:sp>
      <xdr:nvSpPr>
        <xdr:cNvPr id="29" name="Line 31"/>
        <xdr:cNvSpPr>
          <a:spLocks/>
        </xdr:cNvSpPr>
      </xdr:nvSpPr>
      <xdr:spPr>
        <a:xfrm>
          <a:off x="5000625" y="4857750"/>
          <a:ext cx="0" cy="2105025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85725</xdr:rowOff>
    </xdr:from>
    <xdr:to>
      <xdr:col>6</xdr:col>
      <xdr:colOff>228600</xdr:colOff>
      <xdr:row>25</xdr:row>
      <xdr:rowOff>114300</xdr:rowOff>
    </xdr:to>
    <xdr:sp>
      <xdr:nvSpPr>
        <xdr:cNvPr id="30" name="Line 32"/>
        <xdr:cNvSpPr>
          <a:spLocks/>
        </xdr:cNvSpPr>
      </xdr:nvSpPr>
      <xdr:spPr>
        <a:xfrm flipV="1">
          <a:off x="5000625" y="49434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95250</xdr:rowOff>
    </xdr:from>
    <xdr:to>
      <xdr:col>6</xdr:col>
      <xdr:colOff>457200</xdr:colOff>
      <xdr:row>27</xdr:row>
      <xdr:rowOff>171450</xdr:rowOff>
    </xdr:to>
    <xdr:sp>
      <xdr:nvSpPr>
        <xdr:cNvPr id="31" name="Text Box 33"/>
        <xdr:cNvSpPr txBox="1">
          <a:spLocks noChangeArrowheads="1"/>
        </xdr:cNvSpPr>
      </xdr:nvSpPr>
      <xdr:spPr>
        <a:xfrm>
          <a:off x="4857750" y="5143500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76200</xdr:colOff>
      <xdr:row>34</xdr:row>
      <xdr:rowOff>114300</xdr:rowOff>
    </xdr:from>
    <xdr:to>
      <xdr:col>6</xdr:col>
      <xdr:colOff>428625</xdr:colOff>
      <xdr:row>35</xdr:row>
      <xdr:rowOff>0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4848225" y="6867525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552450</xdr:colOff>
      <xdr:row>25</xdr:row>
      <xdr:rowOff>66675</xdr:rowOff>
    </xdr:to>
    <xdr:sp>
      <xdr:nvSpPr>
        <xdr:cNvPr id="33" name="Text Box 35"/>
        <xdr:cNvSpPr txBox="1">
          <a:spLocks noChangeArrowheads="1"/>
        </xdr:cNvSpPr>
      </xdr:nvSpPr>
      <xdr:spPr>
        <a:xfrm>
          <a:off x="5057775" y="47244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35</xdr:row>
      <xdr:rowOff>0</xdr:rowOff>
    </xdr:from>
    <xdr:to>
      <xdr:col>6</xdr:col>
      <xdr:colOff>333375</xdr:colOff>
      <xdr:row>36</xdr:row>
      <xdr:rowOff>152400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4838700" y="696277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190500</xdr:colOff>
      <xdr:row>28</xdr:row>
      <xdr:rowOff>114300</xdr:rowOff>
    </xdr:from>
    <xdr:to>
      <xdr:col>6</xdr:col>
      <xdr:colOff>266700</xdr:colOff>
      <xdr:row>33</xdr:row>
      <xdr:rowOff>152400</xdr:rowOff>
    </xdr:to>
    <xdr:sp>
      <xdr:nvSpPr>
        <xdr:cNvPr id="35" name="Rectangle 37"/>
        <xdr:cNvSpPr>
          <a:spLocks/>
        </xdr:cNvSpPr>
      </xdr:nvSpPr>
      <xdr:spPr>
        <a:xfrm>
          <a:off x="4962525" y="5543550"/>
          <a:ext cx="762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85725</xdr:rowOff>
    </xdr:from>
    <xdr:to>
      <xdr:col>7</xdr:col>
      <xdr:colOff>0</xdr:colOff>
      <xdr:row>27</xdr:row>
      <xdr:rowOff>180975</xdr:rowOff>
    </xdr:to>
    <xdr:sp>
      <xdr:nvSpPr>
        <xdr:cNvPr id="36" name="Line 38"/>
        <xdr:cNvSpPr>
          <a:spLocks/>
        </xdr:cNvSpPr>
      </xdr:nvSpPr>
      <xdr:spPr>
        <a:xfrm flipV="1">
          <a:off x="5381625" y="5324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0" y="0"/>
          <a:ext cx="2143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28</xdr:row>
      <xdr:rowOff>38100</xdr:rowOff>
    </xdr:from>
    <xdr:to>
      <xdr:col>7</xdr:col>
      <xdr:colOff>19050</xdr:colOff>
      <xdr:row>28</xdr:row>
      <xdr:rowOff>104775</xdr:rowOff>
    </xdr:to>
    <xdr:sp>
      <xdr:nvSpPr>
        <xdr:cNvPr id="38" name="Rectangle 42"/>
        <xdr:cNvSpPr>
          <a:spLocks/>
        </xdr:cNvSpPr>
      </xdr:nvSpPr>
      <xdr:spPr>
        <a:xfrm>
          <a:off x="4591050" y="5467350"/>
          <a:ext cx="809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28</xdr:row>
      <xdr:rowOff>19050</xdr:rowOff>
    </xdr:from>
    <xdr:to>
      <xdr:col>0</xdr:col>
      <xdr:colOff>638175</xdr:colOff>
      <xdr:row>28</xdr:row>
      <xdr:rowOff>19050</xdr:rowOff>
    </xdr:to>
    <xdr:sp>
      <xdr:nvSpPr>
        <xdr:cNvPr id="39" name="Line 57"/>
        <xdr:cNvSpPr>
          <a:spLocks/>
        </xdr:cNvSpPr>
      </xdr:nvSpPr>
      <xdr:spPr>
        <a:xfrm>
          <a:off x="523875" y="5448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15</xdr:row>
      <xdr:rowOff>38100</xdr:rowOff>
    </xdr:from>
    <xdr:to>
      <xdr:col>15</xdr:col>
      <xdr:colOff>485775</xdr:colOff>
      <xdr:row>15</xdr:row>
      <xdr:rowOff>38100</xdr:rowOff>
    </xdr:to>
    <xdr:sp>
      <xdr:nvSpPr>
        <xdr:cNvPr id="40" name="Line 58"/>
        <xdr:cNvSpPr>
          <a:spLocks/>
        </xdr:cNvSpPr>
      </xdr:nvSpPr>
      <xdr:spPr>
        <a:xfrm>
          <a:off x="1083945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52</xdr:row>
      <xdr:rowOff>19050</xdr:rowOff>
    </xdr:from>
    <xdr:to>
      <xdr:col>0</xdr:col>
      <xdr:colOff>638175</xdr:colOff>
      <xdr:row>52</xdr:row>
      <xdr:rowOff>19050</xdr:rowOff>
    </xdr:to>
    <xdr:sp>
      <xdr:nvSpPr>
        <xdr:cNvPr id="1" name="Line 6"/>
        <xdr:cNvSpPr>
          <a:spLocks/>
        </xdr:cNvSpPr>
      </xdr:nvSpPr>
      <xdr:spPr>
        <a:xfrm>
          <a:off x="523875" y="10029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2" name="Rectangle 8"/>
        <xdr:cNvSpPr>
          <a:spLocks/>
        </xdr:cNvSpPr>
      </xdr:nvSpPr>
      <xdr:spPr>
        <a:xfrm>
          <a:off x="0" y="0"/>
          <a:ext cx="2047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49</xdr:row>
      <xdr:rowOff>66675</xdr:rowOff>
    </xdr:from>
    <xdr:to>
      <xdr:col>8</xdr:col>
      <xdr:colOff>247650</xdr:colOff>
      <xdr:row>49</xdr:row>
      <xdr:rowOff>133350</xdr:rowOff>
    </xdr:to>
    <xdr:sp>
      <xdr:nvSpPr>
        <xdr:cNvPr id="3" name="Rectangle 12"/>
        <xdr:cNvSpPr>
          <a:spLocks/>
        </xdr:cNvSpPr>
      </xdr:nvSpPr>
      <xdr:spPr>
        <a:xfrm>
          <a:off x="6438900" y="9505950"/>
          <a:ext cx="51435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49</xdr:row>
      <xdr:rowOff>142875</xdr:rowOff>
    </xdr:from>
    <xdr:to>
      <xdr:col>7</xdr:col>
      <xdr:colOff>742950</xdr:colOff>
      <xdr:row>54</xdr:row>
      <xdr:rowOff>95250</xdr:rowOff>
    </xdr:to>
    <xdr:sp>
      <xdr:nvSpPr>
        <xdr:cNvPr id="4" name="Rectangle 13"/>
        <xdr:cNvSpPr>
          <a:spLocks/>
        </xdr:cNvSpPr>
      </xdr:nvSpPr>
      <xdr:spPr>
        <a:xfrm>
          <a:off x="6705600" y="9582150"/>
          <a:ext cx="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54</xdr:row>
      <xdr:rowOff>85725</xdr:rowOff>
    </xdr:from>
    <xdr:to>
      <xdr:col>8</xdr:col>
      <xdr:colOff>247650</xdr:colOff>
      <xdr:row>54</xdr:row>
      <xdr:rowOff>152400</xdr:rowOff>
    </xdr:to>
    <xdr:sp>
      <xdr:nvSpPr>
        <xdr:cNvPr id="5" name="Rectangle 14"/>
        <xdr:cNvSpPr>
          <a:spLocks/>
        </xdr:cNvSpPr>
      </xdr:nvSpPr>
      <xdr:spPr>
        <a:xfrm>
          <a:off x="6438900" y="10515600"/>
          <a:ext cx="51435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50</xdr:row>
      <xdr:rowOff>190500</xdr:rowOff>
    </xdr:from>
    <xdr:to>
      <xdr:col>7</xdr:col>
      <xdr:colOff>285750</xdr:colOff>
      <xdr:row>52</xdr:row>
      <xdr:rowOff>28575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5514975" y="9820275"/>
          <a:ext cx="733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9</xdr:col>
      <xdr:colOff>200025</xdr:colOff>
      <xdr:row>51</xdr:row>
      <xdr:rowOff>95250</xdr:rowOff>
    </xdr:from>
    <xdr:to>
      <xdr:col>9</xdr:col>
      <xdr:colOff>400050</xdr:colOff>
      <xdr:row>52</xdr:row>
      <xdr:rowOff>57150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7629525" y="991552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742950</xdr:colOff>
      <xdr:row>46</xdr:row>
      <xdr:rowOff>28575</xdr:rowOff>
    </xdr:from>
    <xdr:to>
      <xdr:col>8</xdr:col>
      <xdr:colOff>361950</xdr:colOff>
      <xdr:row>47</xdr:row>
      <xdr:rowOff>19050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6705600" y="88392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7</xdr:col>
      <xdr:colOff>742950</xdr:colOff>
      <xdr:row>49</xdr:row>
      <xdr:rowOff>28575</xdr:rowOff>
    </xdr:from>
    <xdr:to>
      <xdr:col>7</xdr:col>
      <xdr:colOff>742950</xdr:colOff>
      <xdr:row>50</xdr:row>
      <xdr:rowOff>38100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6705600" y="94678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7</xdr:col>
      <xdr:colOff>742950</xdr:colOff>
      <xdr:row>46</xdr:row>
      <xdr:rowOff>28575</xdr:rowOff>
    </xdr:from>
    <xdr:to>
      <xdr:col>7</xdr:col>
      <xdr:colOff>742950</xdr:colOff>
      <xdr:row>46</xdr:row>
      <xdr:rowOff>57150</xdr:rowOff>
    </xdr:to>
    <xdr:sp>
      <xdr:nvSpPr>
        <xdr:cNvPr id="10" name="Line 19"/>
        <xdr:cNvSpPr>
          <a:spLocks/>
        </xdr:cNvSpPr>
      </xdr:nvSpPr>
      <xdr:spPr>
        <a:xfrm flipV="1">
          <a:off x="6705600" y="8839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45</xdr:row>
      <xdr:rowOff>161925</xdr:rowOff>
    </xdr:from>
    <xdr:to>
      <xdr:col>7</xdr:col>
      <xdr:colOff>742950</xdr:colOff>
      <xdr:row>46</xdr:row>
      <xdr:rowOff>142875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6505575" y="87630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7</xdr:col>
      <xdr:colOff>466725</xdr:colOff>
      <xdr:row>48</xdr:row>
      <xdr:rowOff>104775</xdr:rowOff>
    </xdr:from>
    <xdr:to>
      <xdr:col>7</xdr:col>
      <xdr:colOff>466725</xdr:colOff>
      <xdr:row>49</xdr:row>
      <xdr:rowOff>38100</xdr:rowOff>
    </xdr:to>
    <xdr:sp>
      <xdr:nvSpPr>
        <xdr:cNvPr id="12" name="Line 21"/>
        <xdr:cNvSpPr>
          <a:spLocks/>
        </xdr:cNvSpPr>
      </xdr:nvSpPr>
      <xdr:spPr>
        <a:xfrm flipV="1">
          <a:off x="6429375" y="9334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48</xdr:row>
      <xdr:rowOff>104775</xdr:rowOff>
    </xdr:from>
    <xdr:to>
      <xdr:col>8</xdr:col>
      <xdr:colOff>238125</xdr:colOff>
      <xdr:row>49</xdr:row>
      <xdr:rowOff>38100</xdr:rowOff>
    </xdr:to>
    <xdr:sp>
      <xdr:nvSpPr>
        <xdr:cNvPr id="13" name="Line 22"/>
        <xdr:cNvSpPr>
          <a:spLocks/>
        </xdr:cNvSpPr>
      </xdr:nvSpPr>
      <xdr:spPr>
        <a:xfrm flipV="1">
          <a:off x="6943725" y="9334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48</xdr:row>
      <xdr:rowOff>152400</xdr:rowOff>
    </xdr:from>
    <xdr:to>
      <xdr:col>8</xdr:col>
      <xdr:colOff>238125</xdr:colOff>
      <xdr:row>48</xdr:row>
      <xdr:rowOff>152400</xdr:rowOff>
    </xdr:to>
    <xdr:sp>
      <xdr:nvSpPr>
        <xdr:cNvPr id="14" name="Line 23"/>
        <xdr:cNvSpPr>
          <a:spLocks/>
        </xdr:cNvSpPr>
      </xdr:nvSpPr>
      <xdr:spPr>
        <a:xfrm>
          <a:off x="6429375" y="93821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47</xdr:row>
      <xdr:rowOff>152400</xdr:rowOff>
    </xdr:from>
    <xdr:to>
      <xdr:col>8</xdr:col>
      <xdr:colOff>114300</xdr:colOff>
      <xdr:row>49</xdr:row>
      <xdr:rowOff>9525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6562725" y="91725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7</xdr:col>
      <xdr:colOff>476250</xdr:colOff>
      <xdr:row>54</xdr:row>
      <xdr:rowOff>171450</xdr:rowOff>
    </xdr:from>
    <xdr:to>
      <xdr:col>7</xdr:col>
      <xdr:colOff>476250</xdr:colOff>
      <xdr:row>55</xdr:row>
      <xdr:rowOff>114300</xdr:rowOff>
    </xdr:to>
    <xdr:sp>
      <xdr:nvSpPr>
        <xdr:cNvPr id="16" name="Line 25"/>
        <xdr:cNvSpPr>
          <a:spLocks/>
        </xdr:cNvSpPr>
      </xdr:nvSpPr>
      <xdr:spPr>
        <a:xfrm flipV="1">
          <a:off x="6438900" y="10601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171450</xdr:rowOff>
    </xdr:from>
    <xdr:to>
      <xdr:col>8</xdr:col>
      <xdr:colOff>247650</xdr:colOff>
      <xdr:row>55</xdr:row>
      <xdr:rowOff>114300</xdr:rowOff>
    </xdr:to>
    <xdr:sp>
      <xdr:nvSpPr>
        <xdr:cNvPr id="17" name="Line 26"/>
        <xdr:cNvSpPr>
          <a:spLocks/>
        </xdr:cNvSpPr>
      </xdr:nvSpPr>
      <xdr:spPr>
        <a:xfrm flipV="1">
          <a:off x="6953250" y="10601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76200</xdr:rowOff>
    </xdr:from>
    <xdr:to>
      <xdr:col>8</xdr:col>
      <xdr:colOff>247650</xdr:colOff>
      <xdr:row>55</xdr:row>
      <xdr:rowOff>76200</xdr:rowOff>
    </xdr:to>
    <xdr:sp>
      <xdr:nvSpPr>
        <xdr:cNvPr id="18" name="Line 27"/>
        <xdr:cNvSpPr>
          <a:spLocks/>
        </xdr:cNvSpPr>
      </xdr:nvSpPr>
      <xdr:spPr>
        <a:xfrm>
          <a:off x="6438900" y="10744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55</xdr:row>
      <xdr:rowOff>66675</xdr:rowOff>
    </xdr:from>
    <xdr:to>
      <xdr:col>8</xdr:col>
      <xdr:colOff>180975</xdr:colOff>
      <xdr:row>56</xdr:row>
      <xdr:rowOff>142875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6619875" y="107346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7</xdr:col>
      <xdr:colOff>161925</xdr:colOff>
      <xdr:row>49</xdr:row>
      <xdr:rowOff>66675</xdr:rowOff>
    </xdr:from>
    <xdr:to>
      <xdr:col>7</xdr:col>
      <xdr:colOff>419100</xdr:colOff>
      <xdr:row>49</xdr:row>
      <xdr:rowOff>66675</xdr:rowOff>
    </xdr:to>
    <xdr:sp>
      <xdr:nvSpPr>
        <xdr:cNvPr id="20" name="Line 29"/>
        <xdr:cNvSpPr>
          <a:spLocks/>
        </xdr:cNvSpPr>
      </xdr:nvSpPr>
      <xdr:spPr>
        <a:xfrm flipH="1">
          <a:off x="6124575" y="9505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49</xdr:row>
      <xdr:rowOff>133350</xdr:rowOff>
    </xdr:from>
    <xdr:to>
      <xdr:col>7</xdr:col>
      <xdr:colOff>419100</xdr:colOff>
      <xdr:row>49</xdr:row>
      <xdr:rowOff>133350</xdr:rowOff>
    </xdr:to>
    <xdr:sp>
      <xdr:nvSpPr>
        <xdr:cNvPr id="21" name="Line 30"/>
        <xdr:cNvSpPr>
          <a:spLocks/>
        </xdr:cNvSpPr>
      </xdr:nvSpPr>
      <xdr:spPr>
        <a:xfrm flipH="1">
          <a:off x="6124575" y="9572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54</xdr:row>
      <xdr:rowOff>85725</xdr:rowOff>
    </xdr:from>
    <xdr:to>
      <xdr:col>7</xdr:col>
      <xdr:colOff>419100</xdr:colOff>
      <xdr:row>54</xdr:row>
      <xdr:rowOff>85725</xdr:rowOff>
    </xdr:to>
    <xdr:sp>
      <xdr:nvSpPr>
        <xdr:cNvPr id="22" name="Line 31"/>
        <xdr:cNvSpPr>
          <a:spLocks/>
        </xdr:cNvSpPr>
      </xdr:nvSpPr>
      <xdr:spPr>
        <a:xfrm flipH="1">
          <a:off x="6124575" y="10515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54</xdr:row>
      <xdr:rowOff>152400</xdr:rowOff>
    </xdr:from>
    <xdr:to>
      <xdr:col>7</xdr:col>
      <xdr:colOff>428625</xdr:colOff>
      <xdr:row>54</xdr:row>
      <xdr:rowOff>152400</xdr:rowOff>
    </xdr:to>
    <xdr:sp>
      <xdr:nvSpPr>
        <xdr:cNvPr id="23" name="Line 32"/>
        <xdr:cNvSpPr>
          <a:spLocks/>
        </xdr:cNvSpPr>
      </xdr:nvSpPr>
      <xdr:spPr>
        <a:xfrm flipH="1">
          <a:off x="6134100" y="10582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133350</xdr:rowOff>
    </xdr:from>
    <xdr:to>
      <xdr:col>7</xdr:col>
      <xdr:colOff>257175</xdr:colOff>
      <xdr:row>54</xdr:row>
      <xdr:rowOff>85725</xdr:rowOff>
    </xdr:to>
    <xdr:sp>
      <xdr:nvSpPr>
        <xdr:cNvPr id="24" name="Line 33"/>
        <xdr:cNvSpPr>
          <a:spLocks/>
        </xdr:cNvSpPr>
      </xdr:nvSpPr>
      <xdr:spPr>
        <a:xfrm flipV="1">
          <a:off x="6219825" y="9572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114300</xdr:rowOff>
    </xdr:from>
    <xdr:to>
      <xdr:col>7</xdr:col>
      <xdr:colOff>257175</xdr:colOff>
      <xdr:row>49</xdr:row>
      <xdr:rowOff>66675</xdr:rowOff>
    </xdr:to>
    <xdr:sp>
      <xdr:nvSpPr>
        <xdr:cNvPr id="25" name="Line 34"/>
        <xdr:cNvSpPr>
          <a:spLocks/>
        </xdr:cNvSpPr>
      </xdr:nvSpPr>
      <xdr:spPr>
        <a:xfrm flipV="1">
          <a:off x="6219825" y="9344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54</xdr:row>
      <xdr:rowOff>123825</xdr:rowOff>
    </xdr:from>
    <xdr:to>
      <xdr:col>7</xdr:col>
      <xdr:colOff>257175</xdr:colOff>
      <xdr:row>55</xdr:row>
      <xdr:rowOff>57150</xdr:rowOff>
    </xdr:to>
    <xdr:sp>
      <xdr:nvSpPr>
        <xdr:cNvPr id="26" name="Line 35"/>
        <xdr:cNvSpPr>
          <a:spLocks/>
        </xdr:cNvSpPr>
      </xdr:nvSpPr>
      <xdr:spPr>
        <a:xfrm flipV="1">
          <a:off x="6219825" y="10553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54</xdr:row>
      <xdr:rowOff>152400</xdr:rowOff>
    </xdr:from>
    <xdr:to>
      <xdr:col>7</xdr:col>
      <xdr:colOff>257175</xdr:colOff>
      <xdr:row>55</xdr:row>
      <xdr:rowOff>123825</xdr:rowOff>
    </xdr:to>
    <xdr:sp>
      <xdr:nvSpPr>
        <xdr:cNvPr id="27" name="Line 36"/>
        <xdr:cNvSpPr>
          <a:spLocks/>
        </xdr:cNvSpPr>
      </xdr:nvSpPr>
      <xdr:spPr>
        <a:xfrm>
          <a:off x="6219825" y="10582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123825</xdr:rowOff>
    </xdr:from>
    <xdr:to>
      <xdr:col>7</xdr:col>
      <xdr:colOff>190500</xdr:colOff>
      <xdr:row>49</xdr:row>
      <xdr:rowOff>161925</xdr:rowOff>
    </xdr:to>
    <xdr:sp>
      <xdr:nvSpPr>
        <xdr:cNvPr id="28" name="Text Box 37"/>
        <xdr:cNvSpPr txBox="1">
          <a:spLocks noChangeArrowheads="1"/>
        </xdr:cNvSpPr>
      </xdr:nvSpPr>
      <xdr:spPr>
        <a:xfrm>
          <a:off x="5476875" y="935355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457200</xdr:colOff>
      <xdr:row>53</xdr:row>
      <xdr:rowOff>180975</xdr:rowOff>
    </xdr:from>
    <xdr:to>
      <xdr:col>7</xdr:col>
      <xdr:colOff>180975</xdr:colOff>
      <xdr:row>54</xdr:row>
      <xdr:rowOff>171450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5457825" y="10382250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6</xdr:col>
      <xdr:colOff>495300</xdr:colOff>
      <xdr:row>51</xdr:row>
      <xdr:rowOff>190500</xdr:rowOff>
    </xdr:from>
    <xdr:to>
      <xdr:col>9</xdr:col>
      <xdr:colOff>200025</xdr:colOff>
      <xdr:row>51</xdr:row>
      <xdr:rowOff>190500</xdr:rowOff>
    </xdr:to>
    <xdr:sp>
      <xdr:nvSpPr>
        <xdr:cNvPr id="30" name="Line 39"/>
        <xdr:cNvSpPr>
          <a:spLocks/>
        </xdr:cNvSpPr>
      </xdr:nvSpPr>
      <xdr:spPr>
        <a:xfrm>
          <a:off x="5495925" y="10010775"/>
          <a:ext cx="2133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51</xdr:row>
      <xdr:rowOff>95250</xdr:rowOff>
    </xdr:from>
    <xdr:to>
      <xdr:col>6</xdr:col>
      <xdr:colOff>561975</xdr:colOff>
      <xdr:row>52</xdr:row>
      <xdr:rowOff>57150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5362575" y="991552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19050</xdr:colOff>
      <xdr:row>46</xdr:row>
      <xdr:rowOff>57150</xdr:rowOff>
    </xdr:from>
    <xdr:to>
      <xdr:col>8</xdr:col>
      <xdr:colOff>19050</xdr:colOff>
      <xdr:row>56</xdr:row>
      <xdr:rowOff>161925</xdr:rowOff>
    </xdr:to>
    <xdr:sp>
      <xdr:nvSpPr>
        <xdr:cNvPr id="32" name="Line 41"/>
        <xdr:cNvSpPr>
          <a:spLocks/>
        </xdr:cNvSpPr>
      </xdr:nvSpPr>
      <xdr:spPr>
        <a:xfrm>
          <a:off x="6724650" y="8867775"/>
          <a:ext cx="0" cy="2200275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46</xdr:row>
      <xdr:rowOff>133350</xdr:rowOff>
    </xdr:from>
    <xdr:to>
      <xdr:col>7</xdr:col>
      <xdr:colOff>742950</xdr:colOff>
      <xdr:row>46</xdr:row>
      <xdr:rowOff>161925</xdr:rowOff>
    </xdr:to>
    <xdr:sp>
      <xdr:nvSpPr>
        <xdr:cNvPr id="33" name="Line 42"/>
        <xdr:cNvSpPr>
          <a:spLocks/>
        </xdr:cNvSpPr>
      </xdr:nvSpPr>
      <xdr:spPr>
        <a:xfrm flipV="1">
          <a:off x="6705600" y="8943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49</xdr:row>
      <xdr:rowOff>142875</xdr:rowOff>
    </xdr:from>
    <xdr:to>
      <xdr:col>7</xdr:col>
      <xdr:colOff>742950</xdr:colOff>
      <xdr:row>54</xdr:row>
      <xdr:rowOff>95250</xdr:rowOff>
    </xdr:to>
    <xdr:sp>
      <xdr:nvSpPr>
        <xdr:cNvPr id="34" name="Rectangle 43"/>
        <xdr:cNvSpPr>
          <a:spLocks/>
        </xdr:cNvSpPr>
      </xdr:nvSpPr>
      <xdr:spPr>
        <a:xfrm>
          <a:off x="6705600" y="9582150"/>
          <a:ext cx="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56</xdr:row>
      <xdr:rowOff>95250</xdr:rowOff>
    </xdr:from>
    <xdr:to>
      <xdr:col>8</xdr:col>
      <xdr:colOff>314325</xdr:colOff>
      <xdr:row>57</xdr:row>
      <xdr:rowOff>104775</xdr:rowOff>
    </xdr:to>
    <xdr:sp>
      <xdr:nvSpPr>
        <xdr:cNvPr id="35" name="Text Box 44"/>
        <xdr:cNvSpPr txBox="1">
          <a:spLocks noChangeArrowheads="1"/>
        </xdr:cNvSpPr>
      </xdr:nvSpPr>
      <xdr:spPr>
        <a:xfrm>
          <a:off x="6705600" y="11001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15</xdr:col>
      <xdr:colOff>400050</xdr:colOff>
      <xdr:row>46</xdr:row>
      <xdr:rowOff>38100</xdr:rowOff>
    </xdr:from>
    <xdr:to>
      <xdr:col>15</xdr:col>
      <xdr:colOff>485775</xdr:colOff>
      <xdr:row>46</xdr:row>
      <xdr:rowOff>38100</xdr:rowOff>
    </xdr:to>
    <xdr:sp>
      <xdr:nvSpPr>
        <xdr:cNvPr id="36" name="Line 45"/>
        <xdr:cNvSpPr>
          <a:spLocks/>
        </xdr:cNvSpPr>
      </xdr:nvSpPr>
      <xdr:spPr>
        <a:xfrm>
          <a:off x="11515725" y="8848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48</xdr:row>
      <xdr:rowOff>180975</xdr:rowOff>
    </xdr:from>
    <xdr:to>
      <xdr:col>8</xdr:col>
      <xdr:colOff>600075</xdr:colOff>
      <xdr:row>49</xdr:row>
      <xdr:rowOff>133350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7038975" y="9410700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333375</xdr:colOff>
      <xdr:row>54</xdr:row>
      <xdr:rowOff>171450</xdr:rowOff>
    </xdr:from>
    <xdr:to>
      <xdr:col>9</xdr:col>
      <xdr:colOff>114300</xdr:colOff>
      <xdr:row>55</xdr:row>
      <xdr:rowOff>142875</xdr:rowOff>
    </xdr:to>
    <xdr:sp>
      <xdr:nvSpPr>
        <xdr:cNvPr id="38" name="Text Box 47"/>
        <xdr:cNvSpPr txBox="1">
          <a:spLocks noChangeArrowheads="1"/>
        </xdr:cNvSpPr>
      </xdr:nvSpPr>
      <xdr:spPr>
        <a:xfrm>
          <a:off x="7038975" y="10601325"/>
          <a:ext cx="504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219075</xdr:colOff>
      <xdr:row>46</xdr:row>
      <xdr:rowOff>190500</xdr:rowOff>
    </xdr:from>
    <xdr:to>
      <xdr:col>8</xdr:col>
      <xdr:colOff>9525</xdr:colOff>
      <xdr:row>49</xdr:row>
      <xdr:rowOff>66675</xdr:rowOff>
    </xdr:to>
    <xdr:sp>
      <xdr:nvSpPr>
        <xdr:cNvPr id="39" name="Line 48"/>
        <xdr:cNvSpPr>
          <a:spLocks/>
        </xdr:cNvSpPr>
      </xdr:nvSpPr>
      <xdr:spPr>
        <a:xfrm>
          <a:off x="6181725" y="9001125"/>
          <a:ext cx="533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38100</xdr:rowOff>
    </xdr:from>
    <xdr:to>
      <xdr:col>7</xdr:col>
      <xdr:colOff>485775</xdr:colOff>
      <xdr:row>47</xdr:row>
      <xdr:rowOff>38100</xdr:rowOff>
    </xdr:to>
    <xdr:sp>
      <xdr:nvSpPr>
        <xdr:cNvPr id="40" name="Text Box 49"/>
        <xdr:cNvSpPr txBox="1">
          <a:spLocks noChangeArrowheads="1"/>
        </xdr:cNvSpPr>
      </xdr:nvSpPr>
      <xdr:spPr>
        <a:xfrm>
          <a:off x="6134100" y="8848725"/>
          <a:ext cx="314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38100</xdr:colOff>
      <xdr:row>49</xdr:row>
      <xdr:rowOff>133350</xdr:rowOff>
    </xdr:from>
    <xdr:to>
      <xdr:col>8</xdr:col>
      <xdr:colOff>38100</xdr:colOff>
      <xdr:row>54</xdr:row>
      <xdr:rowOff>95250</xdr:rowOff>
    </xdr:to>
    <xdr:sp>
      <xdr:nvSpPr>
        <xdr:cNvPr id="41" name="Line 50"/>
        <xdr:cNvSpPr>
          <a:spLocks/>
        </xdr:cNvSpPr>
      </xdr:nvSpPr>
      <xdr:spPr>
        <a:xfrm>
          <a:off x="6743700" y="95726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2" name="Line 55"/>
        <xdr:cNvSpPr>
          <a:spLocks/>
        </xdr:cNvSpPr>
      </xdr:nvSpPr>
      <xdr:spPr>
        <a:xfrm>
          <a:off x="4048125" y="1628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9525</xdr:rowOff>
    </xdr:from>
    <xdr:to>
      <xdr:col>5</xdr:col>
      <xdr:colOff>200025</xdr:colOff>
      <xdr:row>9</xdr:row>
      <xdr:rowOff>0</xdr:rowOff>
    </xdr:to>
    <xdr:sp>
      <xdr:nvSpPr>
        <xdr:cNvPr id="43" name="Line 56"/>
        <xdr:cNvSpPr>
          <a:spLocks/>
        </xdr:cNvSpPr>
      </xdr:nvSpPr>
      <xdr:spPr>
        <a:xfrm>
          <a:off x="4248150" y="12573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7</xdr:row>
      <xdr:rowOff>19050</xdr:rowOff>
    </xdr:from>
    <xdr:to>
      <xdr:col>5</xdr:col>
      <xdr:colOff>676275</xdr:colOff>
      <xdr:row>9</xdr:row>
      <xdr:rowOff>9525</xdr:rowOff>
    </xdr:to>
    <xdr:sp>
      <xdr:nvSpPr>
        <xdr:cNvPr id="44" name="Line 57"/>
        <xdr:cNvSpPr>
          <a:spLocks/>
        </xdr:cNvSpPr>
      </xdr:nvSpPr>
      <xdr:spPr>
        <a:xfrm>
          <a:off x="4724400" y="12668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9</xdr:row>
      <xdr:rowOff>104775</xdr:rowOff>
    </xdr:from>
    <xdr:to>
      <xdr:col>5</xdr:col>
      <xdr:colOff>200025</xdr:colOff>
      <xdr:row>9</xdr:row>
      <xdr:rowOff>161925</xdr:rowOff>
    </xdr:to>
    <xdr:sp>
      <xdr:nvSpPr>
        <xdr:cNvPr id="45" name="Line 58"/>
        <xdr:cNvSpPr>
          <a:spLocks/>
        </xdr:cNvSpPr>
      </xdr:nvSpPr>
      <xdr:spPr>
        <a:xfrm>
          <a:off x="4248150" y="17335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114300</xdr:rowOff>
    </xdr:from>
    <xdr:to>
      <xdr:col>5</xdr:col>
      <xdr:colOff>676275</xdr:colOff>
      <xdr:row>9</xdr:row>
      <xdr:rowOff>171450</xdr:rowOff>
    </xdr:to>
    <xdr:sp>
      <xdr:nvSpPr>
        <xdr:cNvPr id="46" name="Line 59"/>
        <xdr:cNvSpPr>
          <a:spLocks/>
        </xdr:cNvSpPr>
      </xdr:nvSpPr>
      <xdr:spPr>
        <a:xfrm>
          <a:off x="4724400" y="1743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133350</xdr:rowOff>
    </xdr:from>
    <xdr:to>
      <xdr:col>5</xdr:col>
      <xdr:colOff>666750</xdr:colOff>
      <xdr:row>9</xdr:row>
      <xdr:rowOff>133350</xdr:rowOff>
    </xdr:to>
    <xdr:sp>
      <xdr:nvSpPr>
        <xdr:cNvPr id="47" name="Line 60"/>
        <xdr:cNvSpPr>
          <a:spLocks/>
        </xdr:cNvSpPr>
      </xdr:nvSpPr>
      <xdr:spPr>
        <a:xfrm>
          <a:off x="425767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10</xdr:row>
      <xdr:rowOff>38100</xdr:rowOff>
    </xdr:from>
    <xdr:to>
      <xdr:col>6</xdr:col>
      <xdr:colOff>47625</xdr:colOff>
      <xdr:row>11</xdr:row>
      <xdr:rowOff>28575</xdr:rowOff>
    </xdr:to>
    <xdr:sp>
      <xdr:nvSpPr>
        <xdr:cNvPr id="48" name="Text Box 61"/>
        <xdr:cNvSpPr txBox="1">
          <a:spLocks noChangeArrowheads="1"/>
        </xdr:cNvSpPr>
      </xdr:nvSpPr>
      <xdr:spPr>
        <a:xfrm>
          <a:off x="4181475" y="1857375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Wheel spacing
</a:t>
          </a:r>
        </a:p>
      </xdr:txBody>
    </xdr:sp>
    <xdr:clientData/>
  </xdr:twoCellAnchor>
  <xdr:twoCellAnchor>
    <xdr:from>
      <xdr:col>5</xdr:col>
      <xdr:colOff>142875</xdr:colOff>
      <xdr:row>6</xdr:row>
      <xdr:rowOff>0</xdr:rowOff>
    </xdr:from>
    <xdr:to>
      <xdr:col>5</xdr:col>
      <xdr:colOff>514350</xdr:colOff>
      <xdr:row>7</xdr:row>
      <xdr:rowOff>19050</xdr:rowOff>
    </xdr:to>
    <xdr:sp>
      <xdr:nvSpPr>
        <xdr:cNvPr id="49" name="Text Box 63"/>
        <xdr:cNvSpPr txBox="1">
          <a:spLocks noChangeArrowheads="1"/>
        </xdr:cNvSpPr>
      </xdr:nvSpPr>
      <xdr:spPr>
        <a:xfrm>
          <a:off x="4191000" y="1057275"/>
          <a:ext cx="371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619125</xdr:colOff>
      <xdr:row>6</xdr:row>
      <xdr:rowOff>0</xdr:rowOff>
    </xdr:from>
    <xdr:to>
      <xdr:col>5</xdr:col>
      <xdr:colOff>923925</xdr:colOff>
      <xdr:row>6</xdr:row>
      <xdr:rowOff>161925</xdr:rowOff>
    </xdr:to>
    <xdr:sp>
      <xdr:nvSpPr>
        <xdr:cNvPr id="50" name="Text Box 64"/>
        <xdr:cNvSpPr txBox="1">
          <a:spLocks noChangeArrowheads="1"/>
        </xdr:cNvSpPr>
      </xdr:nvSpPr>
      <xdr:spPr>
        <a:xfrm>
          <a:off x="4667250" y="1057275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oneCellAnchor>
    <xdr:from>
      <xdr:col>5</xdr:col>
      <xdr:colOff>66675</xdr:colOff>
      <xdr:row>64</xdr:row>
      <xdr:rowOff>66675</xdr:rowOff>
    </xdr:from>
    <xdr:ext cx="66675" cy="190500"/>
    <xdr:sp fLocksText="0">
      <xdr:nvSpPr>
        <xdr:cNvPr id="51" name="Text Box 65"/>
        <xdr:cNvSpPr txBox="1">
          <a:spLocks noChangeArrowheads="1"/>
        </xdr:cNvSpPr>
      </xdr:nvSpPr>
      <xdr:spPr>
        <a:xfrm>
          <a:off x="4114800" y="126777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64">
      <selection activeCell="E77" sqref="E77"/>
    </sheetView>
  </sheetViews>
  <sheetFormatPr defaultColWidth="9.140625" defaultRowHeight="12.75"/>
  <cols>
    <col min="1" max="1" width="17.7109375" style="0" customWidth="1"/>
    <col min="2" max="2" width="13.28125" style="0" customWidth="1"/>
    <col min="3" max="3" width="10.140625" style="0" bestFit="1" customWidth="1"/>
    <col min="5" max="5" width="9.421875" style="0" bestFit="1" customWidth="1"/>
    <col min="6" max="6" width="12.8515625" style="0" customWidth="1"/>
    <col min="8" max="8" width="9.421875" style="0" bestFit="1" customWidth="1"/>
    <col min="9" max="10" width="9.28125" style="0" customWidth="1"/>
    <col min="12" max="12" width="12.8515625" style="0" customWidth="1"/>
    <col min="14" max="14" width="9.57421875" style="0" bestFit="1" customWidth="1"/>
    <col min="17" max="17" width="9.28125" style="0" bestFit="1" customWidth="1"/>
    <col min="18" max="18" width="9.421875" style="0" bestFit="1" customWidth="1"/>
  </cols>
  <sheetData>
    <row r="1" spans="1:22" ht="15">
      <c r="A1" s="22" t="s">
        <v>10</v>
      </c>
      <c r="B1" s="70" t="s">
        <v>11</v>
      </c>
      <c r="C1" s="82"/>
      <c r="D1" s="82"/>
      <c r="E1" s="83"/>
      <c r="F1" s="1"/>
      <c r="G1" s="92"/>
      <c r="H1" s="6"/>
      <c r="I1" s="6"/>
      <c r="J1" s="6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>
      <c r="A2" s="4"/>
      <c r="B2" s="5"/>
      <c r="C2" s="4"/>
      <c r="D2" s="4"/>
      <c r="E2" s="4"/>
      <c r="F2" s="4"/>
      <c r="G2" s="4"/>
      <c r="H2" s="4"/>
      <c r="I2" s="4"/>
      <c r="J2" s="4"/>
      <c r="K2" s="7"/>
      <c r="L2" s="4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22"/>
      <c r="B3" s="70"/>
      <c r="C3" s="145"/>
      <c r="D3" s="83"/>
      <c r="E3" s="124" t="s">
        <v>288</v>
      </c>
      <c r="F3" s="124" t="s">
        <v>289</v>
      </c>
      <c r="G3" s="83"/>
      <c r="H3" s="83"/>
      <c r="I3" s="83"/>
      <c r="J3" s="83"/>
      <c r="K3" s="7"/>
      <c r="L3" s="4"/>
      <c r="M3" s="4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7"/>
      <c r="L4" s="4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22" t="s">
        <v>13</v>
      </c>
      <c r="B5" s="84"/>
      <c r="C5" s="4"/>
      <c r="D5" s="4"/>
      <c r="E5" s="85"/>
      <c r="F5" s="8"/>
      <c r="G5" s="8"/>
      <c r="H5" s="8"/>
      <c r="I5" s="8"/>
      <c r="J5" s="8"/>
      <c r="K5" s="7"/>
      <c r="L5" s="4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9" t="s">
        <v>14</v>
      </c>
      <c r="B6" s="10" t="s">
        <v>4</v>
      </c>
      <c r="C6" s="11">
        <v>13</v>
      </c>
      <c r="D6" s="4" t="s">
        <v>15</v>
      </c>
      <c r="E6" s="114" t="s">
        <v>45</v>
      </c>
      <c r="F6" s="8"/>
      <c r="G6" s="8"/>
      <c r="H6" s="8"/>
      <c r="I6" s="8"/>
      <c r="J6" s="8"/>
      <c r="K6" s="7"/>
      <c r="L6" s="4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9" t="s">
        <v>16</v>
      </c>
      <c r="B7" s="10" t="s">
        <v>4</v>
      </c>
      <c r="C7" s="11">
        <v>20</v>
      </c>
      <c r="D7" s="4" t="s">
        <v>15</v>
      </c>
      <c r="E7" s="114" t="s">
        <v>45</v>
      </c>
      <c r="F7" s="8"/>
      <c r="G7" s="8"/>
      <c r="H7" s="8"/>
      <c r="I7" s="8"/>
      <c r="J7" s="8"/>
      <c r="K7" s="5"/>
      <c r="L7" s="4"/>
      <c r="M7" s="4"/>
      <c r="N7" s="5"/>
      <c r="O7" s="5"/>
      <c r="P7" s="5"/>
      <c r="Q7" s="5"/>
      <c r="R7" s="5"/>
      <c r="S7" s="5"/>
      <c r="T7" s="5"/>
      <c r="U7" s="5"/>
      <c r="V7" s="5"/>
    </row>
    <row r="8" spans="1:22" ht="15">
      <c r="A8" s="9" t="s">
        <v>2</v>
      </c>
      <c r="B8" s="10" t="s">
        <v>4</v>
      </c>
      <c r="C8" s="11">
        <v>0</v>
      </c>
      <c r="D8" s="4" t="s">
        <v>6</v>
      </c>
      <c r="E8" s="8"/>
      <c r="F8" s="8"/>
      <c r="G8" s="8"/>
      <c r="H8" s="8"/>
      <c r="I8" s="8"/>
      <c r="J8" s="8"/>
      <c r="K8" s="7"/>
      <c r="L8" s="4"/>
      <c r="M8" s="4"/>
      <c r="N8" s="5"/>
      <c r="O8" s="5"/>
      <c r="P8" s="5"/>
      <c r="Q8" s="5"/>
      <c r="R8" s="5"/>
      <c r="S8" s="5"/>
      <c r="T8" s="5"/>
      <c r="U8" s="5"/>
      <c r="V8" s="5"/>
    </row>
    <row r="9" spans="1:22" ht="15">
      <c r="A9" s="9" t="s">
        <v>17</v>
      </c>
      <c r="B9" s="10" t="s">
        <v>4</v>
      </c>
      <c r="C9" s="11">
        <v>0</v>
      </c>
      <c r="D9" s="4" t="s">
        <v>6</v>
      </c>
      <c r="E9" s="5"/>
      <c r="F9" s="5"/>
      <c r="G9" s="5"/>
      <c r="H9" s="5"/>
      <c r="I9" s="5"/>
      <c r="J9" s="5"/>
      <c r="K9" s="5"/>
      <c r="L9" s="4"/>
      <c r="M9" s="4"/>
      <c r="N9" s="5"/>
      <c r="O9" s="5"/>
      <c r="P9" s="5"/>
      <c r="Q9" s="5"/>
      <c r="R9" s="5"/>
      <c r="S9" s="5"/>
      <c r="T9" s="5"/>
      <c r="U9" s="5"/>
      <c r="V9" s="5"/>
    </row>
    <row r="10" spans="1:2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</row>
    <row r="11" spans="1:22" ht="15">
      <c r="A11" s="47" t="s">
        <v>18</v>
      </c>
      <c r="B11" s="16"/>
      <c r="C11" s="4"/>
      <c r="D11" s="4"/>
      <c r="E11" s="4"/>
      <c r="F11" s="4"/>
      <c r="G11" s="4"/>
      <c r="H11" s="4"/>
      <c r="I11" s="4"/>
      <c r="J11" s="4"/>
      <c r="K11" s="5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</row>
    <row r="12" spans="1:22" ht="15">
      <c r="A12" s="10" t="s">
        <v>19</v>
      </c>
      <c r="B12" s="13" t="s">
        <v>199</v>
      </c>
      <c r="C12" s="5"/>
      <c r="D12" s="5"/>
      <c r="E12" s="5"/>
      <c r="F12" s="5"/>
      <c r="G12" s="5"/>
      <c r="H12" s="5"/>
      <c r="I12" s="5"/>
      <c r="J12" s="5"/>
      <c r="K12" s="5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</row>
    <row r="13" spans="1:22" ht="16.5">
      <c r="A13" s="9" t="s">
        <v>86</v>
      </c>
      <c r="B13" s="10" t="s">
        <v>4</v>
      </c>
      <c r="C13" s="15">
        <v>170</v>
      </c>
      <c r="D13" s="4" t="s">
        <v>8</v>
      </c>
      <c r="E13" s="5"/>
      <c r="F13" s="5"/>
      <c r="G13" s="5"/>
      <c r="H13" s="5"/>
      <c r="I13" s="5"/>
      <c r="J13" s="5"/>
      <c r="K13" s="7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</row>
    <row r="14" spans="1:22" ht="16.5">
      <c r="A14" s="9" t="s">
        <v>87</v>
      </c>
      <c r="B14" s="10" t="s">
        <v>4</v>
      </c>
      <c r="C14" s="15">
        <v>12.7</v>
      </c>
      <c r="D14" s="4" t="s">
        <v>8</v>
      </c>
      <c r="E14" s="5"/>
      <c r="F14" s="5"/>
      <c r="G14" s="5"/>
      <c r="H14" s="5"/>
      <c r="I14" s="5"/>
      <c r="J14" s="5"/>
      <c r="K14" s="7"/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</row>
    <row r="15" spans="1:22" ht="16.5">
      <c r="A15" s="9" t="s">
        <v>88</v>
      </c>
      <c r="B15" s="10" t="s">
        <v>4</v>
      </c>
      <c r="C15" s="15">
        <v>334.6</v>
      </c>
      <c r="D15" s="4" t="s">
        <v>8</v>
      </c>
      <c r="E15" s="5"/>
      <c r="F15" s="5"/>
      <c r="G15" s="5"/>
      <c r="H15" s="5"/>
      <c r="I15" s="5"/>
      <c r="J15" s="5"/>
      <c r="K15" s="7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</row>
    <row r="16" spans="1:22" ht="16.5">
      <c r="A16" s="9" t="s">
        <v>89</v>
      </c>
      <c r="B16" s="10" t="s">
        <v>4</v>
      </c>
      <c r="C16" s="15">
        <v>8</v>
      </c>
      <c r="D16" s="4" t="s">
        <v>8</v>
      </c>
      <c r="E16" s="5"/>
      <c r="F16" s="5"/>
      <c r="G16" s="5"/>
      <c r="H16" s="5"/>
      <c r="I16" s="5"/>
      <c r="J16" s="5"/>
      <c r="K16" s="5"/>
      <c r="L16" s="4"/>
      <c r="M16" s="5"/>
      <c r="N16" s="5"/>
      <c r="O16" s="5"/>
      <c r="P16" s="14" t="s">
        <v>20</v>
      </c>
      <c r="Q16" s="16">
        <f>(C14/10+C15/10+C18/10-C42)</f>
        <v>18.000000000000007</v>
      </c>
      <c r="R16" s="5" t="s">
        <v>21</v>
      </c>
      <c r="S16" s="5"/>
      <c r="T16" s="5"/>
      <c r="U16" s="5"/>
      <c r="V16" s="5"/>
    </row>
    <row r="17" spans="1:22" ht="16.5">
      <c r="A17" s="9" t="s">
        <v>90</v>
      </c>
      <c r="B17" s="10" t="s">
        <v>4</v>
      </c>
      <c r="C17" s="15">
        <v>170</v>
      </c>
      <c r="D17" s="4" t="s">
        <v>8</v>
      </c>
      <c r="E17" s="5"/>
      <c r="F17" s="5"/>
      <c r="G17" s="5"/>
      <c r="H17" s="5"/>
      <c r="I17" s="5"/>
      <c r="J17" s="5"/>
      <c r="K17" s="5"/>
      <c r="L17" s="4"/>
      <c r="M17" s="4"/>
      <c r="N17" s="5"/>
      <c r="O17" s="5"/>
      <c r="P17" s="14" t="s">
        <v>192</v>
      </c>
      <c r="Q17" s="5">
        <f>(C14+C18+C15+C21+C24-C78*10)/10</f>
        <v>35.381522841352734</v>
      </c>
      <c r="R17" s="5"/>
      <c r="S17" s="5"/>
      <c r="T17" s="5"/>
      <c r="U17" s="5"/>
      <c r="V17" s="5"/>
    </row>
    <row r="18" spans="1:22" ht="16.5">
      <c r="A18" s="9" t="s">
        <v>91</v>
      </c>
      <c r="B18" s="10" t="s">
        <v>4</v>
      </c>
      <c r="C18" s="15">
        <v>12.7</v>
      </c>
      <c r="D18" s="4" t="s">
        <v>8</v>
      </c>
      <c r="E18" s="5"/>
      <c r="F18" s="5"/>
      <c r="G18" s="5"/>
      <c r="H18" s="5"/>
      <c r="I18" s="5"/>
      <c r="J18" s="5"/>
      <c r="K18" s="5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</row>
    <row r="19" spans="1:22" ht="15">
      <c r="A19" s="5"/>
      <c r="B19" s="5"/>
      <c r="C19" s="94"/>
      <c r="D19" s="5"/>
      <c r="E19" s="5"/>
      <c r="F19" s="5"/>
      <c r="G19" s="5"/>
      <c r="H19" s="5"/>
      <c r="I19" s="5"/>
      <c r="J19" s="5"/>
      <c r="K19" s="5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</row>
    <row r="20" spans="1:22" ht="15">
      <c r="A20" s="87" t="s">
        <v>126</v>
      </c>
      <c r="B20" s="104"/>
      <c r="C20" s="105"/>
      <c r="D20" s="84"/>
      <c r="E20" s="5"/>
      <c r="F20" s="5"/>
      <c r="G20" s="5"/>
      <c r="H20" s="5"/>
      <c r="I20" s="5"/>
      <c r="J20" s="5"/>
      <c r="K20" s="5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</row>
    <row r="21" spans="1:22" ht="16.5">
      <c r="A21" s="9" t="s">
        <v>88</v>
      </c>
      <c r="B21" s="10" t="s">
        <v>4</v>
      </c>
      <c r="C21" s="15">
        <v>335</v>
      </c>
      <c r="D21" s="4" t="s">
        <v>8</v>
      </c>
      <c r="E21" s="5"/>
      <c r="F21" s="5"/>
      <c r="G21" s="5"/>
      <c r="H21" s="5"/>
      <c r="I21" s="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</row>
    <row r="22" spans="1:22" ht="16.5">
      <c r="A22" s="9" t="s">
        <v>89</v>
      </c>
      <c r="B22" s="10" t="s">
        <v>4</v>
      </c>
      <c r="C22" s="15">
        <v>8</v>
      </c>
      <c r="D22" s="4" t="s">
        <v>8</v>
      </c>
      <c r="E22" s="5"/>
      <c r="F22" s="5"/>
      <c r="G22" s="5"/>
      <c r="H22" s="5"/>
      <c r="I22" s="5"/>
      <c r="J22" s="5"/>
      <c r="K22" s="5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</row>
    <row r="23" spans="1:22" ht="16.5">
      <c r="A23" s="9" t="s">
        <v>90</v>
      </c>
      <c r="B23" s="10" t="s">
        <v>4</v>
      </c>
      <c r="C23" s="15">
        <v>170</v>
      </c>
      <c r="D23" s="4" t="s">
        <v>8</v>
      </c>
      <c r="E23" s="5"/>
      <c r="F23" s="5"/>
      <c r="G23" s="5"/>
      <c r="H23" s="5"/>
      <c r="I23" s="5"/>
      <c r="J23" s="5"/>
      <c r="K23" s="5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</row>
    <row r="24" spans="1:22" ht="16.5">
      <c r="A24" s="9" t="s">
        <v>91</v>
      </c>
      <c r="B24" s="10" t="s">
        <v>4</v>
      </c>
      <c r="C24" s="15">
        <v>12.7</v>
      </c>
      <c r="D24" s="4" t="s">
        <v>8</v>
      </c>
      <c r="E24" s="5"/>
      <c r="F24" s="5"/>
      <c r="G24" s="5"/>
      <c r="H24" s="5"/>
      <c r="I24" s="5"/>
      <c r="J24" s="5"/>
      <c r="K24" s="5"/>
      <c r="L24" s="4"/>
      <c r="M24" s="4"/>
      <c r="N24" s="5"/>
      <c r="O24" s="5"/>
      <c r="P24" s="5"/>
      <c r="Q24" s="5"/>
      <c r="R24" s="5"/>
      <c r="S24" s="5"/>
      <c r="T24" s="5"/>
      <c r="U24" s="5"/>
      <c r="V24" s="5"/>
    </row>
    <row r="25" spans="1:22" ht="15">
      <c r="A25" s="5"/>
      <c r="B25" s="5"/>
      <c r="C25" s="94"/>
      <c r="D25" s="5"/>
      <c r="E25" s="5"/>
      <c r="F25" s="5"/>
      <c r="G25" s="5"/>
      <c r="H25" s="5"/>
      <c r="I25" s="5"/>
      <c r="J25" s="5"/>
      <c r="K25" s="5"/>
      <c r="L25" s="4"/>
      <c r="M25" s="4"/>
      <c r="N25" s="5"/>
      <c r="O25" s="5"/>
      <c r="P25" s="5"/>
      <c r="Q25" s="5"/>
      <c r="R25" s="5"/>
      <c r="S25" s="5"/>
      <c r="T25" s="5"/>
      <c r="U25" s="5"/>
      <c r="V25" s="5"/>
    </row>
    <row r="26" spans="1:22" ht="15.75" thickBot="1">
      <c r="A26" s="47" t="s">
        <v>22</v>
      </c>
      <c r="B26" s="5"/>
      <c r="C26" s="94"/>
      <c r="D26" s="5"/>
      <c r="E26" s="36" t="s">
        <v>159</v>
      </c>
      <c r="F26" s="4"/>
      <c r="G26" s="4"/>
      <c r="H26" s="5"/>
      <c r="I26" s="5"/>
      <c r="J26" s="5"/>
      <c r="K26" s="5"/>
      <c r="L26" s="4"/>
      <c r="M26" s="4"/>
      <c r="N26" s="5"/>
      <c r="O26" s="5"/>
      <c r="P26" s="5"/>
      <c r="Q26" s="5"/>
      <c r="R26" s="5"/>
      <c r="S26" s="5"/>
      <c r="T26" s="5"/>
      <c r="U26" s="5"/>
      <c r="V26" s="5"/>
    </row>
    <row r="27" spans="1:22" ht="15">
      <c r="A27" s="17" t="s">
        <v>107</v>
      </c>
      <c r="B27" s="14"/>
      <c r="C27" s="11">
        <v>24</v>
      </c>
      <c r="D27" s="85" t="s">
        <v>0</v>
      </c>
      <c r="E27" s="102" t="s">
        <v>160</v>
      </c>
      <c r="F27" s="97"/>
      <c r="G27" s="98"/>
      <c r="H27" s="5"/>
      <c r="I27" s="5"/>
      <c r="J27" s="5"/>
      <c r="K27" s="5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</row>
    <row r="28" spans="1:22" ht="15">
      <c r="A28" s="36" t="s">
        <v>115</v>
      </c>
      <c r="B28" s="14"/>
      <c r="C28" s="11">
        <v>2</v>
      </c>
      <c r="D28" s="85" t="s">
        <v>0</v>
      </c>
      <c r="E28" s="37" t="s">
        <v>113</v>
      </c>
      <c r="F28" s="4"/>
      <c r="G28" s="38"/>
      <c r="H28" s="4"/>
      <c r="I28" s="4"/>
      <c r="J28" s="4"/>
      <c r="K28" s="7"/>
      <c r="L28" s="4"/>
      <c r="M28" s="4"/>
      <c r="N28" s="5"/>
      <c r="O28" s="5"/>
      <c r="P28" s="5"/>
      <c r="Q28" s="5"/>
      <c r="R28" s="5"/>
      <c r="S28" s="5"/>
      <c r="T28" s="5"/>
      <c r="U28" s="5"/>
      <c r="V28" s="5"/>
    </row>
    <row r="29" spans="1:22" ht="15">
      <c r="A29" s="17" t="s">
        <v>108</v>
      </c>
      <c r="B29" s="14"/>
      <c r="C29" s="11">
        <v>8</v>
      </c>
      <c r="D29" s="85" t="s">
        <v>0</v>
      </c>
      <c r="E29" s="37" t="s">
        <v>114</v>
      </c>
      <c r="F29" s="4"/>
      <c r="G29" s="38"/>
      <c r="H29" s="4"/>
      <c r="I29" s="4"/>
      <c r="J29" s="4"/>
      <c r="K29" s="7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</row>
    <row r="30" spans="1:22" ht="15">
      <c r="A30" s="17" t="s">
        <v>109</v>
      </c>
      <c r="B30" s="5"/>
      <c r="C30" s="11">
        <v>0.5</v>
      </c>
      <c r="D30" s="5" t="s">
        <v>23</v>
      </c>
      <c r="E30" s="37" t="s">
        <v>161</v>
      </c>
      <c r="F30" s="4"/>
      <c r="G30" s="38"/>
      <c r="H30" s="4"/>
      <c r="I30" s="4"/>
      <c r="J30" s="4"/>
      <c r="K30" s="7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</row>
    <row r="31" spans="1:22" ht="15.75" thickBot="1">
      <c r="A31" s="5" t="s">
        <v>24</v>
      </c>
      <c r="B31" s="5"/>
      <c r="C31" s="11">
        <v>2.5</v>
      </c>
      <c r="D31" s="5" t="s">
        <v>6</v>
      </c>
      <c r="E31" s="99" t="s">
        <v>162</v>
      </c>
      <c r="F31" s="100"/>
      <c r="G31" s="101"/>
      <c r="H31" s="5"/>
      <c r="I31" s="5"/>
      <c r="J31" s="5"/>
      <c r="K31" s="7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</row>
    <row r="32" spans="1:22" ht="15">
      <c r="A32" s="5" t="s">
        <v>25</v>
      </c>
      <c r="B32" s="5"/>
      <c r="C32" s="11">
        <v>6</v>
      </c>
      <c r="D32" s="5" t="s">
        <v>6</v>
      </c>
      <c r="E32" s="5"/>
      <c r="F32" s="5"/>
      <c r="G32" s="5"/>
      <c r="H32" s="5"/>
      <c r="I32" s="5"/>
      <c r="J32" s="5"/>
      <c r="K32" s="7"/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</row>
    <row r="33" spans="1:22" ht="18">
      <c r="A33" s="36" t="s">
        <v>112</v>
      </c>
      <c r="B33" s="16"/>
      <c r="C33" s="11">
        <v>5.71</v>
      </c>
      <c r="D33" s="4"/>
      <c r="E33" s="4"/>
      <c r="F33" s="5"/>
      <c r="G33" s="5"/>
      <c r="H33" s="8"/>
      <c r="I33" s="8"/>
      <c r="J33" s="8"/>
      <c r="K33" s="7"/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</row>
    <row r="34" spans="1:2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7"/>
      <c r="L34" s="4"/>
      <c r="M34" s="18"/>
      <c r="N34" s="5"/>
      <c r="O34" s="5"/>
      <c r="P34" s="5"/>
      <c r="Q34" s="5"/>
      <c r="R34" s="5"/>
      <c r="S34" s="5"/>
      <c r="T34" s="5"/>
      <c r="U34" s="5"/>
      <c r="V34" s="5"/>
    </row>
    <row r="35" spans="1:22" ht="15">
      <c r="A35" s="95" t="s">
        <v>104</v>
      </c>
      <c r="B35" s="5"/>
      <c r="C35" s="5"/>
      <c r="D35" s="5"/>
      <c r="K35" s="7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</row>
    <row r="36" spans="1:22" ht="16.5">
      <c r="A36" s="5" t="s">
        <v>111</v>
      </c>
      <c r="B36" s="10"/>
      <c r="C36" s="11">
        <v>0</v>
      </c>
      <c r="D36" s="5" t="s">
        <v>0</v>
      </c>
      <c r="K36" s="7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</row>
    <row r="37" spans="1:22" ht="16.5">
      <c r="A37" s="5" t="s">
        <v>284</v>
      </c>
      <c r="B37" s="10"/>
      <c r="C37" s="11">
        <v>0</v>
      </c>
      <c r="D37" s="5" t="s">
        <v>6</v>
      </c>
      <c r="E37" s="4"/>
      <c r="F37" s="4"/>
      <c r="G37" s="4"/>
      <c r="H37" s="4"/>
      <c r="I37" s="4"/>
      <c r="J37" s="4"/>
      <c r="K37" s="7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</row>
    <row r="38" spans="1:22" ht="16.5">
      <c r="A38" s="5" t="s">
        <v>285</v>
      </c>
      <c r="B38" s="10"/>
      <c r="C38" s="11">
        <v>0</v>
      </c>
      <c r="D38" s="5" t="s">
        <v>6</v>
      </c>
      <c r="E38" s="9"/>
      <c r="F38" s="4"/>
      <c r="G38" s="4"/>
      <c r="H38" s="4"/>
      <c r="I38" s="4"/>
      <c r="J38" s="4"/>
      <c r="K38" s="7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</row>
    <row r="39" spans="1:22" ht="15">
      <c r="A39" s="5" t="s">
        <v>116</v>
      </c>
      <c r="B39" s="5"/>
      <c r="C39" s="11">
        <v>0</v>
      </c>
      <c r="D39" s="5" t="s">
        <v>0</v>
      </c>
      <c r="E39" s="9"/>
      <c r="F39" s="9"/>
      <c r="G39" s="86"/>
      <c r="H39" s="4"/>
      <c r="I39" s="4"/>
      <c r="J39" s="4"/>
      <c r="K39" s="7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</row>
    <row r="40" spans="5:22" ht="15">
      <c r="E40" s="9"/>
      <c r="F40" s="9"/>
      <c r="G40" s="9"/>
      <c r="H40" s="4"/>
      <c r="I40" s="4"/>
      <c r="J40" s="4"/>
      <c r="K40" s="7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</row>
    <row r="41" spans="1:22" ht="15">
      <c r="A41" s="47" t="s">
        <v>26</v>
      </c>
      <c r="B41" s="16"/>
      <c r="C41" s="4"/>
      <c r="D41" s="4"/>
      <c r="E41" s="4"/>
      <c r="F41" s="9"/>
      <c r="G41" s="9"/>
      <c r="H41" s="4"/>
      <c r="I41" s="4"/>
      <c r="J41" s="4"/>
      <c r="K41" s="7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</row>
    <row r="42" spans="1:22" ht="15">
      <c r="A42" s="10" t="s">
        <v>27</v>
      </c>
      <c r="B42" s="10" t="s">
        <v>4</v>
      </c>
      <c r="C42" s="19">
        <f>((C13*C14*(C18+C15+C14/2)+C15*C16*(C18+C15/2)+C17*C18*C18/2)/(C13*C14+C15*C16+C17*C18))/10</f>
        <v>18</v>
      </c>
      <c r="D42" s="5" t="s">
        <v>21</v>
      </c>
      <c r="E42" s="4"/>
      <c r="F42" s="4"/>
      <c r="G42" s="4"/>
      <c r="H42" s="4"/>
      <c r="I42" s="4"/>
      <c r="J42" s="4"/>
      <c r="K42" s="7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</row>
    <row r="43" spans="1:22" ht="18">
      <c r="A43" s="9" t="s">
        <v>28</v>
      </c>
      <c r="B43" s="10" t="s">
        <v>4</v>
      </c>
      <c r="C43" s="16">
        <f>(C13*C14+C15*C16+C17*C18)/100</f>
        <v>69.94800000000001</v>
      </c>
      <c r="D43" s="4" t="s">
        <v>55</v>
      </c>
      <c r="E43" s="4"/>
      <c r="F43" s="4"/>
      <c r="G43" s="4"/>
      <c r="H43" s="4"/>
      <c r="I43" s="4"/>
      <c r="J43" s="4"/>
      <c r="K43" s="7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</row>
    <row r="44" spans="1:22" ht="18.75">
      <c r="A44" s="9" t="s">
        <v>278</v>
      </c>
      <c r="B44" s="10" t="s">
        <v>4</v>
      </c>
      <c r="C44" s="16">
        <f>((C16*C15^3/12)+(C13*C14^3/12+C13*C14*(C14+C15+C18-C42*10-C14/2)^2)+(C17*C18^3/12+C17*C18*(C42*10-C18/2)^2))/10000</f>
        <v>15523.8312564</v>
      </c>
      <c r="D44" s="4" t="s">
        <v>76</v>
      </c>
      <c r="E44" s="4"/>
      <c r="F44" s="4"/>
      <c r="G44" s="4"/>
      <c r="H44" s="4"/>
      <c r="I44" s="4"/>
      <c r="J44" s="4"/>
      <c r="K44" s="7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</row>
    <row r="45" spans="1:22" ht="18.75">
      <c r="A45" s="9" t="s">
        <v>279</v>
      </c>
      <c r="B45" s="10" t="s">
        <v>4</v>
      </c>
      <c r="C45" s="16">
        <f>((C15*C16^3/12)+(C14*C13^3/12)+(C18*C17^3/12))/10000</f>
        <v>1041.34596</v>
      </c>
      <c r="D45" s="4" t="s">
        <v>76</v>
      </c>
      <c r="E45" s="4"/>
      <c r="F45" s="4"/>
      <c r="G45" s="4"/>
      <c r="H45" s="4"/>
      <c r="I45" s="4"/>
      <c r="J45" s="4"/>
      <c r="K45" s="7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</row>
    <row r="46" spans="1:22" ht="18.75">
      <c r="A46" s="10" t="s">
        <v>280</v>
      </c>
      <c r="B46" s="10" t="s">
        <v>4</v>
      </c>
      <c r="C46" s="19">
        <f>C44/(MAX(C42,Q16))</f>
        <v>862.4350697999997</v>
      </c>
      <c r="D46" s="4" t="s">
        <v>56</v>
      </c>
      <c r="K46" s="7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</row>
    <row r="47" spans="1:22" ht="16.5">
      <c r="A47" s="9" t="s">
        <v>281</v>
      </c>
      <c r="B47" s="10" t="s">
        <v>4</v>
      </c>
      <c r="C47" s="16">
        <f>(C44/C43)^0.5</f>
        <v>14.897445523273053</v>
      </c>
      <c r="D47" s="4" t="s">
        <v>21</v>
      </c>
      <c r="K47" s="7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</row>
    <row r="48" spans="1:22" ht="16.5">
      <c r="A48" s="9" t="s">
        <v>282</v>
      </c>
      <c r="B48" s="10" t="s">
        <v>4</v>
      </c>
      <c r="C48" s="16">
        <f>(C45/C43)^0.5</f>
        <v>3.8584232648744856</v>
      </c>
      <c r="D48" s="4" t="s">
        <v>21</v>
      </c>
      <c r="K48" s="7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</row>
    <row r="49" spans="1:22" ht="15">
      <c r="A49" s="22"/>
      <c r="B49" s="22"/>
      <c r="C49" s="22"/>
      <c r="D49" s="4"/>
      <c r="K49" s="7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</row>
    <row r="50" spans="1:22" ht="15">
      <c r="A50" s="47" t="s">
        <v>260</v>
      </c>
      <c r="B50" s="22"/>
      <c r="C50" s="22"/>
      <c r="D50" s="4"/>
      <c r="E50" s="83"/>
      <c r="F50" s="83"/>
      <c r="G50" s="83"/>
      <c r="H50" s="83"/>
      <c r="I50" s="7"/>
      <c r="J50" s="7"/>
      <c r="K50" s="7"/>
      <c r="L50" s="143" t="s">
        <v>262</v>
      </c>
      <c r="M50" s="143" t="s">
        <v>263</v>
      </c>
      <c r="N50" s="109" t="s">
        <v>264</v>
      </c>
      <c r="R50" s="5"/>
      <c r="S50" s="5"/>
      <c r="T50" s="5"/>
      <c r="U50" s="5"/>
      <c r="V50" s="5"/>
    </row>
    <row r="51" spans="1:22" ht="16.5">
      <c r="A51" s="120" t="s">
        <v>271</v>
      </c>
      <c r="B51" s="120" t="s">
        <v>4</v>
      </c>
      <c r="C51" s="120">
        <f>(C15-2*8)/C16</f>
        <v>39.825</v>
      </c>
      <c r="D51" s="4"/>
      <c r="E51" s="83"/>
      <c r="F51" s="83"/>
      <c r="G51" s="83"/>
      <c r="H51" s="83"/>
      <c r="I51" s="7"/>
      <c r="J51" s="7"/>
      <c r="K51" s="7"/>
      <c r="L51" s="143">
        <v>81.978</v>
      </c>
      <c r="M51" s="143">
        <v>122.644</v>
      </c>
      <c r="N51" s="109">
        <v>122.644</v>
      </c>
      <c r="O51" s="109">
        <f>IF(C51&lt;=L51,1,0)</f>
        <v>1</v>
      </c>
      <c r="P51" s="109">
        <f>IF(AND(C51&gt;L51,C51&lt;=M51),1,0)</f>
        <v>0</v>
      </c>
      <c r="Q51" s="109">
        <f>IF(C51&gt;N51,1,0)</f>
        <v>0</v>
      </c>
      <c r="R51" s="5"/>
      <c r="S51" s="5"/>
      <c r="T51" s="5"/>
      <c r="U51" s="5"/>
      <c r="V51" s="5"/>
    </row>
    <row r="52" spans="1:22" ht="16.5">
      <c r="A52" s="120" t="s">
        <v>272</v>
      </c>
      <c r="B52" s="120" t="s">
        <v>4</v>
      </c>
      <c r="C52" s="120">
        <f>(C13-C16)/(2*C14)</f>
        <v>6.377952755905512</v>
      </c>
      <c r="D52" s="4"/>
      <c r="E52" s="83"/>
      <c r="F52" s="83"/>
      <c r="G52" s="83"/>
      <c r="H52" s="83"/>
      <c r="I52" s="7"/>
      <c r="J52" s="7"/>
      <c r="K52" s="7"/>
      <c r="L52" s="143">
        <v>9.876</v>
      </c>
      <c r="M52" s="143">
        <v>13.555</v>
      </c>
      <c r="N52" s="109">
        <v>13.555</v>
      </c>
      <c r="O52" s="109">
        <f>IF(C52&lt;=L52,1,0)</f>
        <v>1</v>
      </c>
      <c r="P52" s="109">
        <f>IF(AND(C52&gt;L52,C52&lt;=M52),1,0)</f>
        <v>0</v>
      </c>
      <c r="Q52" s="109">
        <f>IF(C52&gt;N52,1,0)</f>
        <v>0</v>
      </c>
      <c r="R52" s="5"/>
      <c r="S52" s="5"/>
      <c r="T52" s="5"/>
      <c r="U52" s="5"/>
      <c r="V52" s="5"/>
    </row>
    <row r="53" spans="1:22" ht="15">
      <c r="A53" s="70" t="s">
        <v>261</v>
      </c>
      <c r="B53" s="144" t="str">
        <f>IF(AND(O53=2),"Compact",IF((P53=2),"Non Compact","Slender"))</f>
        <v>Compact</v>
      </c>
      <c r="C53" s="82"/>
      <c r="D53" s="4"/>
      <c r="E53" s="83"/>
      <c r="F53" s="83"/>
      <c r="G53" s="83"/>
      <c r="H53" s="83"/>
      <c r="I53" s="7"/>
      <c r="J53" s="7"/>
      <c r="K53" s="7"/>
      <c r="L53" s="71"/>
      <c r="M53" s="71"/>
      <c r="O53" s="109">
        <f>O51+O52</f>
        <v>2</v>
      </c>
      <c r="P53" s="109">
        <f>P51+P52</f>
        <v>0</v>
      </c>
      <c r="Q53" s="109">
        <f>Q51+Q52</f>
        <v>0</v>
      </c>
      <c r="R53" s="5"/>
      <c r="S53" s="5"/>
      <c r="T53" s="5"/>
      <c r="U53" s="5"/>
      <c r="V53" s="5"/>
    </row>
    <row r="54" spans="2:22" ht="15">
      <c r="B54" s="82"/>
      <c r="C54" s="82"/>
      <c r="D54" s="4"/>
      <c r="E54" s="83"/>
      <c r="F54" s="83"/>
      <c r="G54" s="83"/>
      <c r="H54" s="83"/>
      <c r="I54" s="7"/>
      <c r="J54" s="7"/>
      <c r="K54" s="7"/>
      <c r="L54" s="71"/>
      <c r="M54" s="71"/>
      <c r="O54" s="109" t="s">
        <v>265</v>
      </c>
      <c r="P54" s="109">
        <f>IF((B53="Compact"),1.536,1.4)</f>
        <v>1.536</v>
      </c>
      <c r="Q54" s="109"/>
      <c r="R54" s="5"/>
      <c r="S54" s="5"/>
      <c r="T54" s="5"/>
      <c r="U54" s="5"/>
      <c r="V54" s="5"/>
    </row>
    <row r="55" spans="1:22" ht="15">
      <c r="A55" s="47" t="s">
        <v>259</v>
      </c>
      <c r="B55" s="1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</row>
    <row r="56" spans="1:22" ht="16.5">
      <c r="A56" s="47" t="s">
        <v>365</v>
      </c>
      <c r="B56" s="16"/>
      <c r="C56" s="5"/>
      <c r="D56" s="5"/>
      <c r="E56" s="5"/>
      <c r="F56" s="4"/>
      <c r="G56" s="4"/>
      <c r="H56" s="4"/>
      <c r="I56" s="4"/>
      <c r="J56" s="4"/>
      <c r="K56" s="7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</row>
    <row r="57" spans="1:22" ht="18.75">
      <c r="A57" s="9" t="s">
        <v>273</v>
      </c>
      <c r="B57" s="16" t="s">
        <v>4</v>
      </c>
      <c r="C57" s="16">
        <f>C6*100/C46</f>
        <v>1.5073598529585217</v>
      </c>
      <c r="D57" s="4" t="s">
        <v>57</v>
      </c>
      <c r="E57" s="4"/>
      <c r="F57" s="10" t="s">
        <v>166</v>
      </c>
      <c r="G57" s="10" t="s">
        <v>4</v>
      </c>
      <c r="H57" s="115">
        <v>1.3</v>
      </c>
      <c r="I57" s="115"/>
      <c r="J57" s="115"/>
      <c r="K57" s="7"/>
      <c r="L57" s="4">
        <f>IF((84*N65&lt;N64&lt;100),1.1,0)</f>
        <v>0</v>
      </c>
      <c r="M57" s="4"/>
      <c r="N57" s="5"/>
      <c r="O57" s="5"/>
      <c r="P57" s="5"/>
      <c r="Q57" s="5"/>
      <c r="R57" s="5"/>
      <c r="S57" s="5"/>
      <c r="T57" s="5"/>
      <c r="U57" s="5"/>
      <c r="V57" s="5"/>
    </row>
    <row r="58" spans="1:22" ht="18.75">
      <c r="A58" s="9" t="s">
        <v>92</v>
      </c>
      <c r="B58" s="16" t="s">
        <v>4</v>
      </c>
      <c r="C58" s="16">
        <f>C8/C43</f>
        <v>0</v>
      </c>
      <c r="D58" s="4" t="s">
        <v>57</v>
      </c>
      <c r="E58" s="4"/>
      <c r="F58" s="5"/>
      <c r="G58" s="5"/>
      <c r="H58" s="5"/>
      <c r="I58" s="5"/>
      <c r="J58" s="5"/>
      <c r="K58" s="7"/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</row>
    <row r="59" spans="1:22" ht="18.75" customHeight="1">
      <c r="A59" s="154" t="s">
        <v>54</v>
      </c>
      <c r="B59" s="155" t="s">
        <v>4</v>
      </c>
      <c r="C59" s="4" t="s">
        <v>256</v>
      </c>
      <c r="D59" s="4"/>
      <c r="F59" s="9">
        <f>(20*(C13/1000))/(2.4^0.5)</f>
        <v>2.19469056285087</v>
      </c>
      <c r="G59" s="4" t="s">
        <v>0</v>
      </c>
      <c r="H59" s="153">
        <f>MIN(F59,F60)</f>
        <v>2.19469056285087</v>
      </c>
      <c r="I59" s="153" t="s">
        <v>0</v>
      </c>
      <c r="J59" s="5"/>
      <c r="K59" s="7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</row>
    <row r="60" spans="1:22" ht="18.75">
      <c r="A60" s="154"/>
      <c r="B60" s="155"/>
      <c r="C60" s="4" t="s">
        <v>258</v>
      </c>
      <c r="D60" s="4"/>
      <c r="E60" s="4"/>
      <c r="F60" s="16">
        <f>(1380*(C13*C14/100)/(2.4*C15/10)*H57)/100</f>
        <v>4.823229228930066</v>
      </c>
      <c r="G60" s="4" t="s">
        <v>0</v>
      </c>
      <c r="H60" s="153"/>
      <c r="I60" s="153"/>
      <c r="J60" s="4"/>
      <c r="K60" s="7"/>
      <c r="L60" s="9" t="s">
        <v>167</v>
      </c>
      <c r="M60" s="9" t="s">
        <v>4</v>
      </c>
      <c r="N60" s="10">
        <f>(C13*C14+C15*C16/6)/100</f>
        <v>26.051333333333332</v>
      </c>
      <c r="O60" s="4" t="s">
        <v>55</v>
      </c>
      <c r="P60" s="10" t="s">
        <v>171</v>
      </c>
      <c r="Q60" s="10" t="s">
        <v>4</v>
      </c>
      <c r="R60" s="5">
        <f>800*H57*N63/(C28*100*C15/10)</f>
        <v>3.3552898983861326</v>
      </c>
      <c r="S60" s="5"/>
      <c r="T60" s="5"/>
      <c r="U60" s="5"/>
      <c r="V60" s="5"/>
    </row>
    <row r="61" spans="1:22" ht="18">
      <c r="A61" s="9"/>
      <c r="B61" s="4" t="s">
        <v>388</v>
      </c>
      <c r="C61" s="4"/>
      <c r="D61" s="4"/>
      <c r="E61" s="4"/>
      <c r="F61" s="23" t="str">
        <f>IF(AND(H59&gt;C28),"No Ltb","Ltb")</f>
        <v>No Ltb</v>
      </c>
      <c r="G61" s="36"/>
      <c r="H61" s="5"/>
      <c r="I61" s="5"/>
      <c r="J61" s="5"/>
      <c r="K61" s="7"/>
      <c r="L61" s="9" t="s">
        <v>168</v>
      </c>
      <c r="M61" s="9" t="s">
        <v>4</v>
      </c>
      <c r="N61" s="10">
        <f>(C14*C13^3/12+C15*C16^3/72)/10000</f>
        <v>520.1971044444444</v>
      </c>
      <c r="O61" s="4" t="s">
        <v>76</v>
      </c>
      <c r="P61" s="10" t="s">
        <v>173</v>
      </c>
      <c r="Q61" s="10" t="s">
        <v>4</v>
      </c>
      <c r="R61" s="5">
        <f>IF(N64&lt;=(84*N65),1.4,0)</f>
        <v>1.4</v>
      </c>
      <c r="S61" s="5"/>
      <c r="T61" s="5"/>
      <c r="U61" s="5"/>
      <c r="V61" s="5"/>
    </row>
    <row r="62" spans="1:22" ht="18">
      <c r="A62" s="9" t="s">
        <v>175</v>
      </c>
      <c r="B62" s="9" t="s">
        <v>4</v>
      </c>
      <c r="C62" s="9">
        <f>IF(AND(H62="Yes"),P54,R65)</f>
        <v>3.6356526652324783</v>
      </c>
      <c r="D62" s="4" t="s">
        <v>57</v>
      </c>
      <c r="E62" s="4"/>
      <c r="F62" s="156" t="s">
        <v>201</v>
      </c>
      <c r="G62" s="156"/>
      <c r="H62" s="132" t="s">
        <v>242</v>
      </c>
      <c r="I62" s="132"/>
      <c r="J62" s="132"/>
      <c r="K62" s="7"/>
      <c r="L62" s="9" t="s">
        <v>169</v>
      </c>
      <c r="M62" s="9" t="s">
        <v>4</v>
      </c>
      <c r="N62" s="10">
        <f>SQRT(N61/N60)</f>
        <v>4.468574339867836</v>
      </c>
      <c r="O62" s="5" t="s">
        <v>21</v>
      </c>
      <c r="P62" s="10" t="s">
        <v>173</v>
      </c>
      <c r="Q62" s="10" t="s">
        <v>4</v>
      </c>
      <c r="R62" s="5">
        <f>IF(AND(84*N65&lt;=N64,N64&lt;=188*N65),2.4*(0.64-2.4*N64^2/(1.176*100000*H57)),0)</f>
        <v>0</v>
      </c>
      <c r="S62" s="5"/>
      <c r="T62" s="5"/>
      <c r="U62" s="5"/>
      <c r="V62" s="5"/>
    </row>
    <row r="63" spans="1:22" ht="18.75">
      <c r="A63" s="9" t="s">
        <v>274</v>
      </c>
      <c r="B63" s="9" t="s">
        <v>4</v>
      </c>
      <c r="C63" s="9">
        <f>IF(OR(H59&gt;C28,H62="yes"),P54,MIN(1.4,C62))</f>
        <v>1.536</v>
      </c>
      <c r="D63" s="4" t="s">
        <v>57</v>
      </c>
      <c r="E63" s="4"/>
      <c r="F63" s="23"/>
      <c r="G63" s="36"/>
      <c r="H63" s="5"/>
      <c r="I63" s="5"/>
      <c r="J63" s="5"/>
      <c r="K63" s="7"/>
      <c r="L63" s="9" t="s">
        <v>170</v>
      </c>
      <c r="M63" s="9" t="s">
        <v>4</v>
      </c>
      <c r="N63" s="10">
        <f>(C13*C14)/100</f>
        <v>21.59</v>
      </c>
      <c r="O63" s="5" t="s">
        <v>21</v>
      </c>
      <c r="P63" s="10" t="s">
        <v>173</v>
      </c>
      <c r="Q63" s="10" t="s">
        <v>4</v>
      </c>
      <c r="R63" s="5">
        <f>IF(N64&gt;=188*N65,12000*H57/N64^2,0)</f>
        <v>0</v>
      </c>
      <c r="S63" s="5"/>
      <c r="T63" s="5"/>
      <c r="U63" s="5"/>
      <c r="V63" s="5"/>
    </row>
    <row r="64" spans="1:22" ht="16.5">
      <c r="A64" s="9" t="s">
        <v>93</v>
      </c>
      <c r="B64" s="16" t="s">
        <v>4</v>
      </c>
      <c r="C64" s="16">
        <f>0.65*C27</f>
        <v>15.600000000000001</v>
      </c>
      <c r="D64" s="5" t="s">
        <v>0</v>
      </c>
      <c r="E64" s="5"/>
      <c r="F64" s="5"/>
      <c r="G64" s="87"/>
      <c r="H64" s="4"/>
      <c r="I64" s="4"/>
      <c r="J64" s="4"/>
      <c r="K64" s="7"/>
      <c r="L64" s="9" t="s">
        <v>172</v>
      </c>
      <c r="M64" s="9" t="s">
        <v>4</v>
      </c>
      <c r="N64" s="10">
        <f>C28*100/(N62)</f>
        <v>44.757004088672105</v>
      </c>
      <c r="O64" s="5"/>
      <c r="P64" s="10" t="s">
        <v>174</v>
      </c>
      <c r="Q64" s="10" t="s">
        <v>4</v>
      </c>
      <c r="R64" s="141">
        <f>MAX(R61,R62,R63)</f>
        <v>1.4</v>
      </c>
      <c r="S64" s="5"/>
      <c r="T64" s="5"/>
      <c r="U64" s="5"/>
      <c r="V64" s="5"/>
    </row>
    <row r="65" spans="1:22" ht="16.5">
      <c r="A65" s="9" t="s">
        <v>97</v>
      </c>
      <c r="B65" s="16" t="s">
        <v>4</v>
      </c>
      <c r="C65" s="16">
        <f>C28</f>
        <v>2</v>
      </c>
      <c r="D65" s="4" t="s">
        <v>0</v>
      </c>
      <c r="E65" s="4"/>
      <c r="F65" s="4"/>
      <c r="G65" s="4"/>
      <c r="H65" s="4"/>
      <c r="I65" s="16"/>
      <c r="J65" s="4"/>
      <c r="K65" s="7"/>
      <c r="L65" s="9" t="s">
        <v>257</v>
      </c>
      <c r="M65" s="9" t="s">
        <v>4</v>
      </c>
      <c r="N65" s="10">
        <f>(H57/2.4)^0.5</f>
        <v>0.7359800721939873</v>
      </c>
      <c r="O65" s="5"/>
      <c r="P65" s="10" t="s">
        <v>175</v>
      </c>
      <c r="Q65" s="10" t="s">
        <v>4</v>
      </c>
      <c r="R65" s="5">
        <f>SQRT((R60)^2+(R64)^2)</f>
        <v>3.6356526652324783</v>
      </c>
      <c r="S65" s="5"/>
      <c r="T65" s="5"/>
      <c r="U65" s="5"/>
      <c r="V65" s="5"/>
    </row>
    <row r="66" spans="1:22" ht="18">
      <c r="A66" s="93" t="s">
        <v>98</v>
      </c>
      <c r="B66" s="16" t="s">
        <v>4</v>
      </c>
      <c r="C66" s="16">
        <f>C64*100/C47</f>
        <v>104.71593922346892</v>
      </c>
      <c r="D66" s="4"/>
      <c r="E66" s="4"/>
      <c r="F66" s="4"/>
      <c r="G66" s="4"/>
      <c r="H66" s="4"/>
      <c r="I66" s="4"/>
      <c r="J66" s="4"/>
      <c r="K66" s="7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</row>
    <row r="67" spans="1:22" ht="18.75" thickBot="1">
      <c r="A67" s="93" t="s">
        <v>99</v>
      </c>
      <c r="B67" s="16" t="s">
        <v>4</v>
      </c>
      <c r="C67" s="16">
        <f>C65*100/C48</f>
        <v>51.83464494958823</v>
      </c>
      <c r="D67" s="4"/>
      <c r="E67" s="4"/>
      <c r="F67" s="4"/>
      <c r="G67" s="4"/>
      <c r="H67" s="4"/>
      <c r="I67" s="4"/>
      <c r="J67" s="4"/>
      <c r="K67" s="7"/>
      <c r="L67" s="4" t="s">
        <v>43</v>
      </c>
      <c r="M67" s="4"/>
      <c r="N67" s="5"/>
      <c r="O67" s="5"/>
      <c r="P67" s="4" t="s">
        <v>44</v>
      </c>
      <c r="Q67" s="5"/>
      <c r="R67" s="5"/>
      <c r="S67" s="5"/>
      <c r="T67" s="5"/>
      <c r="U67" s="5"/>
      <c r="V67" s="5"/>
    </row>
    <row r="68" spans="1:22" ht="18">
      <c r="A68" s="4"/>
      <c r="B68" s="4"/>
      <c r="C68" s="93" t="s">
        <v>100</v>
      </c>
      <c r="D68" s="9" t="s">
        <v>4</v>
      </c>
      <c r="E68" s="16">
        <f>MAX(C66,C67)</f>
        <v>104.71593922346892</v>
      </c>
      <c r="F68" s="4" t="s">
        <v>38</v>
      </c>
      <c r="G68" s="25" t="str">
        <f>IF(AND(E68&lt;180),"SAFE","Unsafe")</f>
        <v>SAFE</v>
      </c>
      <c r="H68" s="5"/>
      <c r="I68" s="5"/>
      <c r="J68" s="5"/>
      <c r="K68" s="29"/>
      <c r="L68" s="30" t="s">
        <v>45</v>
      </c>
      <c r="M68" s="31" t="s">
        <v>46</v>
      </c>
      <c r="N68" s="32" t="s">
        <v>47</v>
      </c>
      <c r="O68" s="5"/>
      <c r="P68" s="30" t="s">
        <v>45</v>
      </c>
      <c r="Q68" s="31" t="s">
        <v>46</v>
      </c>
      <c r="R68" s="32" t="s">
        <v>47</v>
      </c>
      <c r="S68" s="5"/>
      <c r="T68" s="5"/>
      <c r="U68" s="5"/>
      <c r="V68" s="5"/>
    </row>
    <row r="69" spans="1:22" ht="18.75">
      <c r="A69" s="9" t="s">
        <v>276</v>
      </c>
      <c r="B69" s="16" t="s">
        <v>4</v>
      </c>
      <c r="C69" s="16">
        <f>IF(AND(E68&lt;100),(1.4-0.000065*(E68)^2),(7500/(E68)^2))</f>
        <v>0.6839678350557454</v>
      </c>
      <c r="D69" s="4" t="s">
        <v>57</v>
      </c>
      <c r="E69" s="4"/>
      <c r="F69" s="4"/>
      <c r="G69" s="4"/>
      <c r="H69" s="4"/>
      <c r="I69" s="4"/>
      <c r="J69" s="4"/>
      <c r="K69" s="7"/>
      <c r="L69" s="33">
        <f>C30/2</f>
        <v>0.25</v>
      </c>
      <c r="M69" s="34">
        <f>(C31*TAN(C33*3.14159/180)+C37-C32)</f>
        <v>-5.750026351832128</v>
      </c>
      <c r="N69" s="35">
        <f>(C31*C29+C38*C39-C36*C37-C6)</f>
        <v>7</v>
      </c>
      <c r="O69" s="34"/>
      <c r="P69" s="33">
        <f>C30/2</f>
        <v>0.25</v>
      </c>
      <c r="Q69" s="34">
        <f>(C31*TAN(C33*3.14159/180)+C37-C32)</f>
        <v>-5.750026351832128</v>
      </c>
      <c r="R69" s="35">
        <f>(C31*C29+C38*C39-C36*C37)</f>
        <v>20</v>
      </c>
      <c r="S69" s="5"/>
      <c r="T69" s="5"/>
      <c r="U69" s="5"/>
      <c r="V69" s="5"/>
    </row>
    <row r="70" spans="1:22" ht="16.5">
      <c r="A70" s="9" t="s">
        <v>277</v>
      </c>
      <c r="B70" s="16" t="s">
        <v>4</v>
      </c>
      <c r="C70" s="16">
        <f>C58/C69</f>
        <v>0</v>
      </c>
      <c r="D70" s="4"/>
      <c r="E70" s="22"/>
      <c r="F70" s="22"/>
      <c r="G70" s="22"/>
      <c r="H70" s="4"/>
      <c r="I70" s="4"/>
      <c r="J70" s="4"/>
      <c r="K70" s="7"/>
      <c r="L70" s="37"/>
      <c r="M70" s="4"/>
      <c r="N70" s="38"/>
      <c r="O70" s="5"/>
      <c r="P70" s="37"/>
      <c r="Q70" s="4"/>
      <c r="R70" s="38"/>
      <c r="S70" s="5"/>
      <c r="T70" s="5"/>
      <c r="U70" s="5"/>
      <c r="V70" s="5"/>
    </row>
    <row r="71" spans="1:22" ht="16.5">
      <c r="A71" s="9" t="s">
        <v>101</v>
      </c>
      <c r="B71" s="16" t="s">
        <v>4</v>
      </c>
      <c r="C71" s="16" t="str">
        <f>IF(AND(C70&lt;0.15),"1.00",MAX((0.85/(1-C58/(7500/(C66)^2))),1))</f>
        <v>1.00</v>
      </c>
      <c r="D71" s="4"/>
      <c r="E71" s="4"/>
      <c r="F71" s="4"/>
      <c r="G71" s="4"/>
      <c r="H71" s="4"/>
      <c r="I71" s="4"/>
      <c r="J71" s="4"/>
      <c r="K71" s="29"/>
      <c r="L71" s="41" t="s">
        <v>52</v>
      </c>
      <c r="M71" s="9" t="s">
        <v>4</v>
      </c>
      <c r="N71" s="42">
        <f>(-M69+((M69)^2-4*L69*N69)^0.5)/(2*L69)</f>
        <v>21.71040099287827</v>
      </c>
      <c r="O71" s="9"/>
      <c r="P71" s="41" t="s">
        <v>52</v>
      </c>
      <c r="Q71" s="9" t="s">
        <v>4</v>
      </c>
      <c r="R71" s="42">
        <f>(-Q69+((Q69)^2-4*P69*R69)^0.5)/(2*P69)</f>
        <v>18.72855269931035</v>
      </c>
      <c r="S71" s="5"/>
      <c r="T71" s="5"/>
      <c r="U71" s="5"/>
      <c r="V71" s="5"/>
    </row>
    <row r="72" spans="1:22" ht="17.25" thickBot="1">
      <c r="A72" s="26" t="s">
        <v>42</v>
      </c>
      <c r="B72" s="5"/>
      <c r="C72" s="4"/>
      <c r="D72" s="4"/>
      <c r="E72" s="9"/>
      <c r="F72" s="16"/>
      <c r="G72" s="4"/>
      <c r="H72" s="18"/>
      <c r="I72" s="18"/>
      <c r="J72" s="18"/>
      <c r="K72" s="7"/>
      <c r="L72" s="43" t="s">
        <v>53</v>
      </c>
      <c r="M72" s="44" t="s">
        <v>4</v>
      </c>
      <c r="N72" s="45">
        <f>(-M69-((M69)^2-4*L69*N69)^0.5)/(2*L69)</f>
        <v>1.2897044144502416</v>
      </c>
      <c r="O72" s="9"/>
      <c r="P72" s="43" t="s">
        <v>53</v>
      </c>
      <c r="Q72" s="44" t="s">
        <v>4</v>
      </c>
      <c r="R72" s="45">
        <f>(-Q69-((Q69)^2-4*P69*R69)^0.5)/(2*P69)</f>
        <v>4.271552708018164</v>
      </c>
      <c r="S72" s="5"/>
      <c r="T72" s="5"/>
      <c r="U72" s="5"/>
      <c r="V72" s="5"/>
    </row>
    <row r="73" spans="1:22" ht="16.5">
      <c r="A73" s="5"/>
      <c r="B73" s="5"/>
      <c r="C73" s="4" t="s">
        <v>275</v>
      </c>
      <c r="D73" s="4"/>
      <c r="E73" s="9"/>
      <c r="F73" s="27">
        <f>C70+C71*C57/C63</f>
        <v>0.9813540709365376</v>
      </c>
      <c r="G73" s="16" t="s">
        <v>78</v>
      </c>
      <c r="H73" s="109">
        <f>P77</f>
        <v>1</v>
      </c>
      <c r="I73" s="28" t="str">
        <f>IF(AND(F73&lt;H73),"SAFE","Unsafe")</f>
        <v>SAFE</v>
      </c>
      <c r="J73" s="2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">
      <c r="A74" s="9"/>
      <c r="B74" s="16"/>
      <c r="C74" s="4"/>
      <c r="D74" s="4"/>
      <c r="E74" s="9"/>
      <c r="F74" s="16"/>
      <c r="G74" s="4"/>
      <c r="H74" s="4"/>
      <c r="I74" s="4"/>
      <c r="J74" s="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">
      <c r="A75" s="47" t="s">
        <v>48</v>
      </c>
      <c r="B75" s="16"/>
      <c r="C75" s="5"/>
      <c r="D75" s="5"/>
      <c r="E75" s="5"/>
      <c r="F75" s="4"/>
      <c r="G75" s="4"/>
      <c r="H75" s="4"/>
      <c r="I75" s="4"/>
      <c r="J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">
      <c r="A76" s="87"/>
      <c r="B76" s="104"/>
      <c r="C76" s="105"/>
      <c r="D76" s="84"/>
      <c r="E76" s="5"/>
      <c r="F76" s="4"/>
      <c r="G76" s="4"/>
      <c r="H76" s="4"/>
      <c r="I76" s="4"/>
      <c r="J76" s="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5">
      <c r="A77" s="133" t="s">
        <v>202</v>
      </c>
      <c r="B77" s="16"/>
      <c r="C77" s="4"/>
      <c r="D77" s="4"/>
      <c r="E77" s="5"/>
      <c r="F77" s="4"/>
      <c r="G77" s="4"/>
      <c r="H77" s="4"/>
      <c r="I77" s="4"/>
      <c r="J77" s="4"/>
      <c r="K77" s="5"/>
      <c r="L77" s="5"/>
      <c r="M77" s="5"/>
      <c r="N77" s="5"/>
      <c r="O77" t="s">
        <v>287</v>
      </c>
      <c r="P77">
        <f>IF(AND(E6="a"),1,1.2)</f>
        <v>1</v>
      </c>
      <c r="Q77" s="5"/>
      <c r="R77" s="5"/>
      <c r="S77" s="5"/>
      <c r="T77" s="5"/>
      <c r="U77" s="5"/>
      <c r="V77" s="5"/>
    </row>
    <row r="78" spans="1:22" ht="15.75" customHeight="1">
      <c r="A78" s="10" t="s">
        <v>27</v>
      </c>
      <c r="B78" s="10" t="s">
        <v>4</v>
      </c>
      <c r="C78" s="19">
        <f>((C43*100*(C42*10+C21+C24)+C21*C22*(C24+C21/2)+(C23*C24^2)/2)/(C43*100+C21*C22+C23*C24))/10</f>
        <v>35.38847715864727</v>
      </c>
      <c r="D78" s="5" t="s">
        <v>21</v>
      </c>
      <c r="E78" s="5"/>
      <c r="F78" s="4"/>
      <c r="G78" s="4"/>
      <c r="H78" s="4"/>
      <c r="I78" s="4"/>
      <c r="J78" s="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">
      <c r="A79" s="9" t="s">
        <v>28</v>
      </c>
      <c r="B79" s="10" t="s">
        <v>4</v>
      </c>
      <c r="C79" s="16">
        <f>C43+(C21*C22+C23*C24)/100</f>
        <v>118.33800000000001</v>
      </c>
      <c r="D79" s="4" t="s">
        <v>55</v>
      </c>
      <c r="E79" s="5"/>
      <c r="F79" s="4"/>
      <c r="G79" s="4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8.75">
      <c r="A80" s="9" t="s">
        <v>278</v>
      </c>
      <c r="B80" s="10" t="s">
        <v>4</v>
      </c>
      <c r="C80" s="16">
        <f>C44+C43*(C42+C21/10+C24/10-C78)^2+(C22*C21^3/12+C22*C21*(C24+C21/2-C78*10)^2+C23*C24^3/12+C23*C24*(C24/2-C78*10)^2)/10000</f>
        <v>73326.68220216877</v>
      </c>
      <c r="D80" s="4" t="s">
        <v>76</v>
      </c>
      <c r="E80" s="5"/>
      <c r="F80" s="4"/>
      <c r="G80" s="4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8.75">
      <c r="A81" s="9" t="s">
        <v>279</v>
      </c>
      <c r="B81" s="10" t="s">
        <v>4</v>
      </c>
      <c r="C81" s="16">
        <f>C45+(C21*C22^3/12+C24*C23^3/12)/10000</f>
        <v>1562.7344600000001</v>
      </c>
      <c r="D81" s="4" t="s">
        <v>76</v>
      </c>
      <c r="E81" s="5"/>
      <c r="F81" s="4"/>
      <c r="G81" s="4"/>
      <c r="H81" s="4"/>
      <c r="I81" s="4"/>
      <c r="J81" s="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.75">
      <c r="A82" s="10" t="s">
        <v>280</v>
      </c>
      <c r="B82" s="10" t="s">
        <v>4</v>
      </c>
      <c r="C82" s="19">
        <f>C80/(MAX(C78,Q17))</f>
        <v>2072.049663890417</v>
      </c>
      <c r="D82" s="4" t="s">
        <v>56</v>
      </c>
      <c r="E82" s="5"/>
      <c r="F82" s="4"/>
      <c r="G82" s="4"/>
      <c r="H82" s="4"/>
      <c r="I82" s="4"/>
      <c r="J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6.5">
      <c r="A83" s="9" t="s">
        <v>281</v>
      </c>
      <c r="B83" s="10" t="s">
        <v>4</v>
      </c>
      <c r="C83" s="16">
        <f>(C80/C79)^0.5</f>
        <v>24.892522304939174</v>
      </c>
      <c r="D83" s="4" t="s">
        <v>21</v>
      </c>
      <c r="E83" s="5"/>
      <c r="F83" s="4"/>
      <c r="G83" s="4"/>
      <c r="H83" s="4"/>
      <c r="I83" s="4"/>
      <c r="J83" s="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6.5">
      <c r="A84" s="9" t="s">
        <v>282</v>
      </c>
      <c r="B84" s="10" t="s">
        <v>4</v>
      </c>
      <c r="C84" s="16">
        <f>(C81/C79)^0.5</f>
        <v>3.63396283918971</v>
      </c>
      <c r="D84" s="4" t="s">
        <v>21</v>
      </c>
      <c r="E84" s="5"/>
      <c r="F84" s="4"/>
      <c r="G84" s="4"/>
      <c r="H84" s="4"/>
      <c r="I84" s="4"/>
      <c r="J84" s="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">
      <c r="A85" s="47"/>
      <c r="B85" s="16"/>
      <c r="C85" s="5"/>
      <c r="D85" s="5"/>
      <c r="E85" s="5"/>
      <c r="F85" s="4"/>
      <c r="G85" s="4"/>
      <c r="H85" s="4"/>
      <c r="I85" s="4"/>
      <c r="J85" s="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>
      <c r="A86" s="47"/>
      <c r="B86" s="16"/>
      <c r="C86" s="5"/>
      <c r="D86" s="5"/>
      <c r="E86" s="5"/>
      <c r="F86" s="4"/>
      <c r="G86" s="4"/>
      <c r="H86" s="4"/>
      <c r="I86" s="4"/>
      <c r="J86" s="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10" ht="18.75" customHeight="1">
      <c r="A87" s="4" t="s">
        <v>49</v>
      </c>
      <c r="B87" s="4"/>
      <c r="C87" s="4"/>
      <c r="D87" s="4"/>
      <c r="E87" s="4"/>
      <c r="F87" s="39"/>
      <c r="G87" s="16"/>
      <c r="H87" s="36"/>
      <c r="I87" s="36"/>
      <c r="J87" s="36"/>
    </row>
    <row r="88" spans="1:10" ht="18.75" customHeight="1">
      <c r="A88" s="4" t="s">
        <v>50</v>
      </c>
      <c r="B88" s="9" t="s">
        <v>4</v>
      </c>
      <c r="C88" s="96">
        <f>MIN(N71:N72)</f>
        <v>1.2897044144502416</v>
      </c>
      <c r="D88" s="4" t="s">
        <v>0</v>
      </c>
      <c r="E88" s="9" t="s">
        <v>51</v>
      </c>
      <c r="F88" s="40">
        <v>1.5</v>
      </c>
      <c r="G88" s="4" t="s">
        <v>0</v>
      </c>
      <c r="H88" s="4"/>
      <c r="I88" s="4"/>
      <c r="J88" s="4"/>
    </row>
    <row r="89" spans="1:10" ht="18.75" customHeight="1">
      <c r="A89" s="4" t="s">
        <v>60</v>
      </c>
      <c r="B89" s="4"/>
      <c r="C89" s="4"/>
      <c r="D89" s="4"/>
      <c r="E89" s="4"/>
      <c r="F89" s="39"/>
      <c r="G89" s="16"/>
      <c r="H89" s="36"/>
      <c r="I89" s="36"/>
      <c r="J89" s="36"/>
    </row>
    <row r="90" spans="1:10" ht="18.75" customHeight="1">
      <c r="A90" s="4" t="s">
        <v>163</v>
      </c>
      <c r="B90" s="4"/>
      <c r="C90" s="9">
        <f>MIN(R71:R72)</f>
        <v>4.271552708018164</v>
      </c>
      <c r="D90" s="4" t="s">
        <v>0</v>
      </c>
      <c r="E90" s="4"/>
      <c r="F90" s="4"/>
      <c r="G90" s="4"/>
      <c r="H90" s="4"/>
      <c r="I90" s="4"/>
      <c r="J90" s="4"/>
    </row>
    <row r="91" spans="1:4" ht="18.75" customHeight="1">
      <c r="A91" s="36" t="s">
        <v>283</v>
      </c>
      <c r="B91" s="85"/>
      <c r="C91" s="11">
        <v>4.27</v>
      </c>
      <c r="D91" s="85" t="s">
        <v>0</v>
      </c>
    </row>
    <row r="92" spans="1:4" ht="18.75" customHeight="1">
      <c r="A92" s="36"/>
      <c r="B92" s="85"/>
      <c r="C92" s="11"/>
      <c r="D92" s="85"/>
    </row>
    <row r="93" spans="1:10" ht="18.75" customHeight="1">
      <c r="A93" s="9" t="s">
        <v>273</v>
      </c>
      <c r="B93" s="16" t="s">
        <v>4</v>
      </c>
      <c r="C93" s="16">
        <f>C7*100/C82</f>
        <v>0.9652278296480893</v>
      </c>
      <c r="D93" s="4" t="s">
        <v>57</v>
      </c>
      <c r="E93" s="4"/>
      <c r="F93" s="10"/>
      <c r="G93" s="10"/>
      <c r="H93" s="115"/>
      <c r="I93" s="115"/>
      <c r="J93" s="115"/>
    </row>
    <row r="94" spans="1:10" ht="18.75" customHeight="1">
      <c r="A94" s="9" t="s">
        <v>92</v>
      </c>
      <c r="B94" s="16" t="s">
        <v>4</v>
      </c>
      <c r="C94" s="16">
        <f>C8/C79</f>
        <v>0</v>
      </c>
      <c r="D94" s="4" t="s">
        <v>57</v>
      </c>
      <c r="E94" s="4"/>
      <c r="F94" s="5"/>
      <c r="G94" s="5"/>
      <c r="H94" s="5"/>
      <c r="I94" s="5"/>
      <c r="J94" s="5"/>
    </row>
    <row r="95" spans="1:10" ht="18.75" customHeight="1">
      <c r="A95" s="154" t="s">
        <v>54</v>
      </c>
      <c r="B95" s="155" t="s">
        <v>4</v>
      </c>
      <c r="C95" s="4" t="s">
        <v>256</v>
      </c>
      <c r="D95" s="4"/>
      <c r="F95" s="9">
        <f>(20*(C13/1000))/(2.4^0.5)</f>
        <v>2.19469056285087</v>
      </c>
      <c r="G95" s="4" t="s">
        <v>0</v>
      </c>
      <c r="H95" s="153">
        <f>MIN(F95,F96)</f>
        <v>2.19469056285087</v>
      </c>
      <c r="I95" s="153" t="s">
        <v>0</v>
      </c>
      <c r="J95" s="5"/>
    </row>
    <row r="96" spans="1:18" ht="18.75" customHeight="1">
      <c r="A96" s="154"/>
      <c r="B96" s="155"/>
      <c r="C96" s="4" t="s">
        <v>258</v>
      </c>
      <c r="D96" s="4"/>
      <c r="E96" s="4"/>
      <c r="F96" s="16">
        <f>(1380*(C17*C18/100)/(2.4*C15/10)*H57)/100</f>
        <v>4.823229228930066</v>
      </c>
      <c r="G96" s="4" t="s">
        <v>0</v>
      </c>
      <c r="H96" s="153"/>
      <c r="I96" s="153"/>
      <c r="J96" s="4"/>
      <c r="L96" s="9" t="s">
        <v>167</v>
      </c>
      <c r="M96" s="9" t="s">
        <v>4</v>
      </c>
      <c r="N96" s="126">
        <f>(C13*C14+(C15+C21)*C16/6)/100</f>
        <v>30.518</v>
      </c>
      <c r="O96" s="4" t="s">
        <v>55</v>
      </c>
      <c r="P96" s="10" t="s">
        <v>171</v>
      </c>
      <c r="Q96" s="10" t="s">
        <v>4</v>
      </c>
      <c r="R96" s="5">
        <f>800*H57*N63/(C91*100*C15/10)</f>
        <v>1.5715643552159873</v>
      </c>
    </row>
    <row r="97" spans="1:18" ht="18.75" customHeight="1">
      <c r="A97" s="9"/>
      <c r="B97" s="4" t="s">
        <v>33</v>
      </c>
      <c r="C97" s="4"/>
      <c r="D97" s="4"/>
      <c r="E97" s="4"/>
      <c r="F97" s="23" t="str">
        <f>IF(AND(H95&gt;C69),"SAFE","Unsafe")</f>
        <v>SAFE</v>
      </c>
      <c r="G97" s="36"/>
      <c r="H97" s="5"/>
      <c r="I97" s="5"/>
      <c r="J97" s="5"/>
      <c r="L97" s="9" t="s">
        <v>168</v>
      </c>
      <c r="M97" s="9" t="s">
        <v>4</v>
      </c>
      <c r="N97" s="126">
        <f>(C14*C13^3/12+(C21+C15)*C16^3/72)/10000</f>
        <v>520.4353266666667</v>
      </c>
      <c r="O97" s="4" t="s">
        <v>76</v>
      </c>
      <c r="P97" s="10" t="s">
        <v>173</v>
      </c>
      <c r="Q97" s="10" t="s">
        <v>4</v>
      </c>
      <c r="R97" s="5">
        <f>IF(N64&lt;=(84*N65),1.4,0)</f>
        <v>1.4</v>
      </c>
    </row>
    <row r="98" spans="1:18" ht="18.75" customHeight="1">
      <c r="A98" s="9" t="s">
        <v>175</v>
      </c>
      <c r="B98" s="9" t="s">
        <v>4</v>
      </c>
      <c r="C98" s="9">
        <f>IF(AND(H98="Yes"),P54,R101)</f>
        <v>1.536</v>
      </c>
      <c r="D98" s="4" t="s">
        <v>57</v>
      </c>
      <c r="E98" s="4"/>
      <c r="F98" s="156" t="s">
        <v>201</v>
      </c>
      <c r="G98" s="156"/>
      <c r="H98" s="132" t="s">
        <v>266</v>
      </c>
      <c r="I98" s="132"/>
      <c r="J98" s="132"/>
      <c r="L98" s="9" t="s">
        <v>169</v>
      </c>
      <c r="M98" s="9" t="s">
        <v>4</v>
      </c>
      <c r="N98" s="142">
        <f>SQRT(N97/N96)</f>
        <v>4.129574922212124</v>
      </c>
      <c r="O98" s="5" t="s">
        <v>21</v>
      </c>
      <c r="P98" s="10" t="s">
        <v>173</v>
      </c>
      <c r="Q98" s="10" t="s">
        <v>4</v>
      </c>
      <c r="R98" s="5">
        <f>IF(AND(84*N65&lt;=N64,N64&lt;=188*N65),2.4*(0.64-2.4*N64^2/(1.176*100000*H57)),0)</f>
        <v>0</v>
      </c>
    </row>
    <row r="99" spans="1:18" ht="18.75" customHeight="1">
      <c r="A99" s="9" t="s">
        <v>176</v>
      </c>
      <c r="B99" s="9" t="s">
        <v>4</v>
      </c>
      <c r="C99" s="9">
        <f>IF(OR(H95&gt;C91,H98="yes"),P54,MIN(1.4,C98))</f>
        <v>1.536</v>
      </c>
      <c r="D99" s="4" t="s">
        <v>57</v>
      </c>
      <c r="E99" s="4"/>
      <c r="F99" s="23"/>
      <c r="G99" s="36"/>
      <c r="H99" s="5"/>
      <c r="I99" s="5"/>
      <c r="J99" s="5"/>
      <c r="L99" s="9" t="s">
        <v>170</v>
      </c>
      <c r="M99" s="9" t="s">
        <v>4</v>
      </c>
      <c r="N99" s="142">
        <f>(C13*C14)/100</f>
        <v>21.59</v>
      </c>
      <c r="O99" s="5" t="s">
        <v>21</v>
      </c>
      <c r="P99" s="10" t="s">
        <v>173</v>
      </c>
      <c r="Q99" s="10" t="s">
        <v>4</v>
      </c>
      <c r="R99" s="5">
        <f>IF(N64&gt;=188*N65,12000*H57/N64^2,0)</f>
        <v>0</v>
      </c>
    </row>
    <row r="100" spans="1:18" ht="18.75" customHeight="1">
      <c r="A100" s="9" t="s">
        <v>93</v>
      </c>
      <c r="B100" s="16" t="s">
        <v>4</v>
      </c>
      <c r="C100" s="16">
        <f>0.65*C27</f>
        <v>15.600000000000001</v>
      </c>
      <c r="D100" s="5" t="s">
        <v>0</v>
      </c>
      <c r="E100" s="5"/>
      <c r="F100" s="5"/>
      <c r="G100" s="87"/>
      <c r="H100" s="4"/>
      <c r="I100" s="4"/>
      <c r="J100" s="4"/>
      <c r="L100" s="9" t="s">
        <v>172</v>
      </c>
      <c r="M100" s="9" t="s">
        <v>4</v>
      </c>
      <c r="N100" s="10">
        <f>C28*100/(N62)</f>
        <v>44.757004088672105</v>
      </c>
      <c r="P100" s="10" t="s">
        <v>174</v>
      </c>
      <c r="Q100" s="10" t="s">
        <v>4</v>
      </c>
      <c r="R100" s="141">
        <f>MAX(R97,R98,R99)</f>
        <v>1.4</v>
      </c>
    </row>
    <row r="101" spans="1:18" ht="18.75" customHeight="1">
      <c r="A101" s="9" t="s">
        <v>97</v>
      </c>
      <c r="B101" s="16" t="s">
        <v>4</v>
      </c>
      <c r="C101" s="16">
        <f>C28</f>
        <v>2</v>
      </c>
      <c r="D101" s="4" t="s">
        <v>0</v>
      </c>
      <c r="E101" s="4"/>
      <c r="F101" s="4"/>
      <c r="G101" s="4"/>
      <c r="H101" s="4"/>
      <c r="I101" s="4"/>
      <c r="J101" s="4"/>
      <c r="L101" s="9" t="s">
        <v>257</v>
      </c>
      <c r="M101" s="9" t="s">
        <v>4</v>
      </c>
      <c r="N101" s="10">
        <f>(H57/2.4)^0.5</f>
        <v>0.7359800721939873</v>
      </c>
      <c r="P101" s="10" t="s">
        <v>175</v>
      </c>
      <c r="Q101" s="10" t="s">
        <v>4</v>
      </c>
      <c r="R101" s="5">
        <f>SQRT((R96)^2+(R100)^2)</f>
        <v>2.1047124560341826</v>
      </c>
    </row>
    <row r="102" spans="1:10" ht="18.75" customHeight="1">
      <c r="A102" s="93" t="s">
        <v>98</v>
      </c>
      <c r="B102" s="16" t="s">
        <v>4</v>
      </c>
      <c r="C102" s="16">
        <f>C100*100/C83</f>
        <v>62.669422603689505</v>
      </c>
      <c r="D102" s="4"/>
      <c r="E102" s="4"/>
      <c r="F102" s="4"/>
      <c r="G102" s="4"/>
      <c r="H102" s="4"/>
      <c r="I102" s="4"/>
      <c r="J102" s="4"/>
    </row>
    <row r="103" spans="1:10" ht="18.75" customHeight="1">
      <c r="A103" s="93" t="s">
        <v>99</v>
      </c>
      <c r="B103" s="16" t="s">
        <v>4</v>
      </c>
      <c r="C103" s="16">
        <f>C101*100/C84</f>
        <v>55.036336047012355</v>
      </c>
      <c r="D103" s="4"/>
      <c r="E103" s="4"/>
      <c r="F103" s="4"/>
      <c r="G103" s="4"/>
      <c r="H103" s="4"/>
      <c r="I103" s="4"/>
      <c r="J103" s="4"/>
    </row>
    <row r="104" spans="1:16" ht="18.75" customHeight="1">
      <c r="A104" s="4"/>
      <c r="B104" s="4"/>
      <c r="C104" s="93" t="s">
        <v>100</v>
      </c>
      <c r="D104" s="9" t="s">
        <v>4</v>
      </c>
      <c r="E104" s="16">
        <f>MAX(C102,C103)</f>
        <v>62.669422603689505</v>
      </c>
      <c r="F104" s="4" t="s">
        <v>38</v>
      </c>
      <c r="G104" s="25" t="str">
        <f>IF(AND(E104&lt;180),"SAFE","Unsafe")</f>
        <v>SAFE</v>
      </c>
      <c r="H104" s="5"/>
      <c r="I104" s="5"/>
      <c r="J104" s="5"/>
      <c r="O104" t="s">
        <v>286</v>
      </c>
      <c r="P104">
        <f>IF(AND(E7="A"),1,1.2)</f>
        <v>1</v>
      </c>
    </row>
    <row r="105" spans="1:10" ht="18.75" customHeight="1">
      <c r="A105" s="9" t="s">
        <v>276</v>
      </c>
      <c r="B105" s="16" t="s">
        <v>4</v>
      </c>
      <c r="C105" s="16">
        <f>IF(AND(E104&lt;100),(1.4-0.000065*(E104)^2),(7500/(E104)^2))</f>
        <v>1.1447153255838112</v>
      </c>
      <c r="D105" s="4" t="s">
        <v>57</v>
      </c>
      <c r="E105" s="4"/>
      <c r="F105" s="4"/>
      <c r="G105" s="4"/>
      <c r="H105" s="4"/>
      <c r="I105" s="4"/>
      <c r="J105" s="4"/>
    </row>
    <row r="106" spans="1:10" ht="18.75" customHeight="1">
      <c r="A106" s="9" t="s">
        <v>277</v>
      </c>
      <c r="B106" s="16" t="s">
        <v>4</v>
      </c>
      <c r="C106" s="16">
        <f>C94/C105</f>
        <v>0</v>
      </c>
      <c r="D106" s="4"/>
      <c r="E106" s="22"/>
      <c r="F106" s="22"/>
      <c r="G106" s="22"/>
      <c r="H106" s="4"/>
      <c r="I106" s="4"/>
      <c r="J106" s="4"/>
    </row>
    <row r="107" spans="1:10" ht="18.75" customHeight="1">
      <c r="A107" s="9" t="s">
        <v>101</v>
      </c>
      <c r="B107" s="16" t="s">
        <v>4</v>
      </c>
      <c r="C107" s="16" t="str">
        <f>IF(AND(C106&lt;0.15),"1.00",MAX((0.85/(1-C94/(7500/(C102)^2))),1))</f>
        <v>1.00</v>
      </c>
      <c r="D107" s="4"/>
      <c r="E107" s="4"/>
      <c r="F107" s="4"/>
      <c r="G107" s="4"/>
      <c r="H107" s="4"/>
      <c r="I107" s="4"/>
      <c r="J107" s="4"/>
    </row>
    <row r="108" spans="1:10" ht="18.75" customHeight="1">
      <c r="A108" s="26" t="s">
        <v>42</v>
      </c>
      <c r="B108" s="5"/>
      <c r="C108" s="4"/>
      <c r="D108" s="4"/>
      <c r="E108" s="9"/>
      <c r="F108" s="16"/>
      <c r="G108" s="4"/>
      <c r="H108" s="18"/>
      <c r="I108" s="18"/>
      <c r="J108" s="18"/>
    </row>
    <row r="109" spans="1:10" ht="18.75" customHeight="1">
      <c r="A109" s="5"/>
      <c r="B109" s="5"/>
      <c r="C109" s="4" t="s">
        <v>275</v>
      </c>
      <c r="D109" s="4"/>
      <c r="E109" s="9"/>
      <c r="F109" s="27">
        <f>C106+C107*C93/C99</f>
        <v>0.6284035349271414</v>
      </c>
      <c r="G109" s="16" t="s">
        <v>78</v>
      </c>
      <c r="H109" s="109">
        <f>P104</f>
        <v>1</v>
      </c>
      <c r="I109" s="28" t="str">
        <f>IF(AND(F109&lt;H109),"SAFE","Unsafe")</f>
        <v>SAFE</v>
      </c>
      <c r="J109" s="28"/>
    </row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</sheetData>
  <sheetProtection/>
  <mergeCells count="10">
    <mergeCell ref="F98:G98"/>
    <mergeCell ref="H59:H60"/>
    <mergeCell ref="I59:I60"/>
    <mergeCell ref="H95:H96"/>
    <mergeCell ref="I95:I96"/>
    <mergeCell ref="A59:A60"/>
    <mergeCell ref="B59:B60"/>
    <mergeCell ref="A95:A96"/>
    <mergeCell ref="B95:B96"/>
    <mergeCell ref="F62:G62"/>
  </mergeCells>
  <printOptions/>
  <pageMargins left="1.1811023622047245" right="0.11811023622047245" top="0.7086614173228347" bottom="0.984251968503937" header="0.5118110236220472" footer="0.5118110236220472"/>
  <pageSetup horizontalDpi="300" verticalDpi="300" orientation="portrait" paperSize="9" scale="98" r:id="rId4"/>
  <colBreaks count="1" manualBreakCount="1">
    <brk id="10" max="65535" man="1"/>
  </colBreaks>
  <drawing r:id="rId3"/>
  <legacyDrawing r:id="rId2"/>
  <oleObjects>
    <oleObject progId="AutoCAD.Drawing.17" shapeId="16675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73">
      <selection activeCell="E94" sqref="E94"/>
    </sheetView>
  </sheetViews>
  <sheetFormatPr defaultColWidth="9.140625" defaultRowHeight="12.75"/>
  <cols>
    <col min="1" max="1" width="17.140625" style="0" customWidth="1"/>
    <col min="2" max="2" width="15.00390625" style="0" customWidth="1"/>
    <col min="3" max="3" width="11.140625" style="0" customWidth="1"/>
    <col min="6" max="6" width="10.00390625" style="0" customWidth="1"/>
    <col min="14" max="14" width="11.8515625" style="0" bestFit="1" customWidth="1"/>
    <col min="17" max="18" width="9.28125" style="0" bestFit="1" customWidth="1"/>
  </cols>
  <sheetData>
    <row r="1" spans="1:12" ht="15">
      <c r="A1" s="22" t="s">
        <v>58</v>
      </c>
      <c r="B1" s="70" t="s">
        <v>198</v>
      </c>
      <c r="C1" s="83"/>
      <c r="D1" s="82"/>
      <c r="E1" s="4"/>
      <c r="F1" s="5"/>
      <c r="G1" s="88"/>
      <c r="H1" s="6"/>
      <c r="I1" s="5"/>
      <c r="J1" s="5"/>
      <c r="K1" s="5"/>
      <c r="L1" s="71"/>
    </row>
    <row r="2" spans="1:13" ht="15">
      <c r="A2" s="4"/>
      <c r="B2" s="5"/>
      <c r="C2" s="4"/>
      <c r="D2" s="4"/>
      <c r="E2" s="4"/>
      <c r="F2" s="4"/>
      <c r="G2" s="4"/>
      <c r="H2" s="4"/>
      <c r="I2" s="7"/>
      <c r="J2" s="7"/>
      <c r="K2" s="7"/>
      <c r="L2" s="71"/>
      <c r="M2" s="71"/>
    </row>
    <row r="3" spans="1:13" ht="14.25">
      <c r="A3" s="22" t="s">
        <v>9</v>
      </c>
      <c r="B3" s="70" t="s">
        <v>197</v>
      </c>
      <c r="C3" s="127" t="s">
        <v>45</v>
      </c>
      <c r="D3" s="83"/>
      <c r="E3" s="83"/>
      <c r="F3" s="83"/>
      <c r="G3" s="83"/>
      <c r="H3" s="83"/>
      <c r="L3" s="71"/>
      <c r="M3" s="71"/>
    </row>
    <row r="4" spans="1:12" ht="12.75">
      <c r="A4" s="83"/>
      <c r="B4" s="83"/>
      <c r="C4" s="83"/>
      <c r="D4" s="83"/>
      <c r="E4" s="83"/>
      <c r="F4" s="83"/>
      <c r="G4" s="83"/>
      <c r="H4" s="83"/>
      <c r="L4" s="71"/>
    </row>
    <row r="5" spans="1:12" ht="15">
      <c r="A5" s="22" t="s">
        <v>13</v>
      </c>
      <c r="B5" s="84"/>
      <c r="C5" s="4"/>
      <c r="D5" s="4"/>
      <c r="E5" s="85"/>
      <c r="F5" s="8"/>
      <c r="G5" s="8"/>
      <c r="H5" s="8"/>
      <c r="I5" s="7"/>
      <c r="J5" s="7"/>
      <c r="K5" s="7"/>
      <c r="L5" s="71"/>
    </row>
    <row r="6" spans="1:12" ht="16.5">
      <c r="A6" s="9" t="s">
        <v>179</v>
      </c>
      <c r="B6" s="10" t="s">
        <v>4</v>
      </c>
      <c r="C6" s="11">
        <v>4</v>
      </c>
      <c r="D6" s="4" t="s">
        <v>15</v>
      </c>
      <c r="E6" s="8"/>
      <c r="F6" s="8"/>
      <c r="G6" s="8"/>
      <c r="H6" s="8"/>
      <c r="I6" s="7"/>
      <c r="J6" s="7"/>
      <c r="K6" s="7"/>
      <c r="L6" s="71"/>
    </row>
    <row r="7" spans="1:13" ht="15">
      <c r="A7" s="9" t="s">
        <v>80</v>
      </c>
      <c r="B7" s="10" t="s">
        <v>4</v>
      </c>
      <c r="C7" s="11">
        <v>7</v>
      </c>
      <c r="D7" s="4" t="s">
        <v>6</v>
      </c>
      <c r="E7" s="8"/>
      <c r="F7" s="8"/>
      <c r="G7" s="8"/>
      <c r="H7" s="8"/>
      <c r="I7" s="7"/>
      <c r="J7" s="7"/>
      <c r="K7" s="7"/>
      <c r="L7" s="71"/>
      <c r="M7" s="71"/>
    </row>
    <row r="8" spans="1:13" ht="16.5">
      <c r="A8" s="9" t="s">
        <v>180</v>
      </c>
      <c r="B8" s="10" t="s">
        <v>4</v>
      </c>
      <c r="C8" s="11">
        <v>0</v>
      </c>
      <c r="D8" s="4" t="s">
        <v>15</v>
      </c>
      <c r="E8" s="8"/>
      <c r="F8" s="8"/>
      <c r="G8" s="8"/>
      <c r="H8" s="8"/>
      <c r="I8" s="7"/>
      <c r="J8" s="7"/>
      <c r="K8" s="7"/>
      <c r="L8" s="71"/>
      <c r="M8" s="71"/>
    </row>
    <row r="9" spans="1:13" ht="16.5">
      <c r="A9" s="10" t="s">
        <v>177</v>
      </c>
      <c r="B9" s="10" t="s">
        <v>4</v>
      </c>
      <c r="C9" s="11">
        <v>0</v>
      </c>
      <c r="D9" s="4" t="s">
        <v>15</v>
      </c>
      <c r="E9" s="5"/>
      <c r="F9" s="5"/>
      <c r="G9" s="5"/>
      <c r="H9" s="5"/>
      <c r="I9" s="5"/>
      <c r="J9" s="5"/>
      <c r="K9" s="5"/>
      <c r="L9" s="71"/>
      <c r="M9" s="71"/>
    </row>
    <row r="10" spans="1:13" ht="1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71"/>
      <c r="M10" s="71"/>
    </row>
    <row r="11" spans="1:13" ht="15">
      <c r="A11" s="47" t="s">
        <v>102</v>
      </c>
      <c r="B11" s="16"/>
      <c r="C11" s="4"/>
      <c r="D11" s="4"/>
      <c r="E11" s="4"/>
      <c r="F11" s="5"/>
      <c r="G11" s="5"/>
      <c r="H11" s="8"/>
      <c r="I11" s="7"/>
      <c r="J11" s="7"/>
      <c r="K11" s="7"/>
      <c r="L11" s="71"/>
      <c r="M11" s="71"/>
    </row>
    <row r="12" spans="1:13" ht="15">
      <c r="A12" s="10" t="s">
        <v>19</v>
      </c>
      <c r="B12" s="13" t="s">
        <v>301</v>
      </c>
      <c r="C12" s="5"/>
      <c r="D12" s="5"/>
      <c r="E12" s="4"/>
      <c r="F12" s="4"/>
      <c r="G12" s="4"/>
      <c r="H12" s="4"/>
      <c r="I12" s="5"/>
      <c r="J12" s="5"/>
      <c r="K12" s="5"/>
      <c r="L12" s="71"/>
      <c r="M12" s="71"/>
    </row>
    <row r="13" spans="1:13" ht="16.5">
      <c r="A13" s="9" t="s">
        <v>86</v>
      </c>
      <c r="B13" s="10" t="s">
        <v>4</v>
      </c>
      <c r="C13" s="15">
        <v>150</v>
      </c>
      <c r="D13" s="4" t="s">
        <v>8</v>
      </c>
      <c r="E13" s="9"/>
      <c r="F13" s="4"/>
      <c r="G13" s="4"/>
      <c r="H13" s="4"/>
      <c r="I13" s="5"/>
      <c r="J13" s="5"/>
      <c r="K13" s="5"/>
      <c r="L13" s="71"/>
      <c r="M13" s="71"/>
    </row>
    <row r="14" spans="1:13" ht="16.5">
      <c r="A14" s="9" t="s">
        <v>87</v>
      </c>
      <c r="B14" s="10" t="s">
        <v>4</v>
      </c>
      <c r="C14" s="15">
        <v>10.7</v>
      </c>
      <c r="D14" s="4" t="s">
        <v>8</v>
      </c>
      <c r="E14" s="9"/>
      <c r="F14" s="9"/>
      <c r="G14" s="86"/>
      <c r="H14" s="4"/>
      <c r="I14" s="5"/>
      <c r="J14" s="5"/>
      <c r="K14" s="5"/>
      <c r="L14" s="71"/>
      <c r="M14" s="71"/>
    </row>
    <row r="15" spans="1:13" ht="16.5">
      <c r="A15" s="9" t="s">
        <v>88</v>
      </c>
      <c r="B15" s="10" t="s">
        <v>4</v>
      </c>
      <c r="C15" s="15">
        <v>280</v>
      </c>
      <c r="D15" s="4" t="s">
        <v>8</v>
      </c>
      <c r="E15" s="9"/>
      <c r="F15" s="9"/>
      <c r="G15" s="9"/>
      <c r="H15" s="4"/>
      <c r="I15" s="5"/>
      <c r="J15" s="5"/>
      <c r="K15" s="5"/>
      <c r="L15" s="71"/>
      <c r="M15" s="71"/>
    </row>
    <row r="16" spans="1:13" ht="16.5">
      <c r="A16" s="9" t="s">
        <v>89</v>
      </c>
      <c r="B16" s="10" t="s">
        <v>4</v>
      </c>
      <c r="C16" s="15">
        <v>7.1</v>
      </c>
      <c r="D16" s="4" t="s">
        <v>8</v>
      </c>
      <c r="E16" s="4"/>
      <c r="F16" s="9"/>
      <c r="G16" s="9"/>
      <c r="H16" s="4"/>
      <c r="I16" s="7"/>
      <c r="J16" s="7"/>
      <c r="K16" s="7"/>
      <c r="L16" s="71"/>
      <c r="M16" s="71"/>
    </row>
    <row r="17" spans="1:18" ht="16.5">
      <c r="A17" s="9" t="s">
        <v>90</v>
      </c>
      <c r="B17" s="10" t="s">
        <v>4</v>
      </c>
      <c r="C17" s="15">
        <v>150</v>
      </c>
      <c r="D17" s="4" t="s">
        <v>8</v>
      </c>
      <c r="E17" s="4"/>
      <c r="F17" s="4"/>
      <c r="G17" s="4"/>
      <c r="H17" s="4"/>
      <c r="I17" s="7"/>
      <c r="J17" s="7"/>
      <c r="K17" s="7"/>
      <c r="L17" s="71"/>
      <c r="P17" s="72" t="s">
        <v>20</v>
      </c>
      <c r="Q17" s="73">
        <f>(C14/10+C15/10+C18/10-C44)</f>
        <v>15.07</v>
      </c>
      <c r="R17" t="s">
        <v>21</v>
      </c>
    </row>
    <row r="18" spans="1:18" ht="16.5">
      <c r="A18" s="9" t="s">
        <v>91</v>
      </c>
      <c r="B18" s="10" t="s">
        <v>4</v>
      </c>
      <c r="C18" s="15">
        <v>10.7</v>
      </c>
      <c r="D18" s="4" t="s">
        <v>8</v>
      </c>
      <c r="E18" s="4"/>
      <c r="F18" s="4"/>
      <c r="G18" s="4"/>
      <c r="H18" s="4"/>
      <c r="I18" s="7"/>
      <c r="J18" s="7"/>
      <c r="K18" s="7"/>
      <c r="L18" s="71"/>
      <c r="M18" s="71"/>
      <c r="P18" s="72" t="s">
        <v>191</v>
      </c>
      <c r="Q18" s="126">
        <f>C17/20-C45</f>
        <v>0</v>
      </c>
      <c r="R18" t="s">
        <v>21</v>
      </c>
    </row>
    <row r="19" spans="1:18" ht="15">
      <c r="A19" s="65"/>
      <c r="B19" s="83"/>
      <c r="C19" s="91"/>
      <c r="D19" s="83"/>
      <c r="E19" s="4"/>
      <c r="F19" s="4"/>
      <c r="G19" s="4"/>
      <c r="H19" s="4"/>
      <c r="I19" s="5"/>
      <c r="J19" s="5"/>
      <c r="K19" s="5"/>
      <c r="L19" s="71"/>
      <c r="M19" s="71"/>
      <c r="P19" s="72" t="s">
        <v>192</v>
      </c>
      <c r="Q19" s="109">
        <f>C22/10+C16/20+C27/10-Q18</f>
        <v>0.355</v>
      </c>
      <c r="R19" t="s">
        <v>21</v>
      </c>
    </row>
    <row r="20" spans="1:18" ht="15">
      <c r="A20" s="65"/>
      <c r="B20" s="10"/>
      <c r="C20" s="15"/>
      <c r="D20" s="4"/>
      <c r="E20" s="4"/>
      <c r="F20" s="4"/>
      <c r="G20" s="4"/>
      <c r="H20" s="4"/>
      <c r="I20" s="5"/>
      <c r="J20" s="5"/>
      <c r="K20" s="5"/>
      <c r="L20" s="71"/>
      <c r="M20" s="71"/>
      <c r="P20" s="72" t="s">
        <v>193</v>
      </c>
      <c r="Q20" s="109">
        <f>C17/20+Q18</f>
        <v>7.5</v>
      </c>
      <c r="R20" t="s">
        <v>21</v>
      </c>
    </row>
    <row r="21" spans="1:18" ht="15">
      <c r="A21" s="65"/>
      <c r="B21" s="10"/>
      <c r="C21" s="15"/>
      <c r="D21" s="4"/>
      <c r="E21" s="4"/>
      <c r="F21" s="4"/>
      <c r="G21" s="4"/>
      <c r="H21" s="4"/>
      <c r="I21" s="5"/>
      <c r="J21" s="5"/>
      <c r="K21" s="5"/>
      <c r="L21" s="71"/>
      <c r="M21" s="71"/>
      <c r="P21" s="72" t="s">
        <v>194</v>
      </c>
      <c r="Q21" s="109">
        <f>C20/10+C16/20+C25/10+Q18</f>
        <v>0.355</v>
      </c>
      <c r="R21" t="s">
        <v>21</v>
      </c>
    </row>
    <row r="22" spans="1:18" ht="15">
      <c r="A22" s="65"/>
      <c r="B22" s="10"/>
      <c r="C22" s="15"/>
      <c r="D22" s="4"/>
      <c r="E22" s="4"/>
      <c r="F22" s="4"/>
      <c r="G22" s="4"/>
      <c r="H22" s="4"/>
      <c r="I22" s="5"/>
      <c r="J22" s="5"/>
      <c r="K22" s="5"/>
      <c r="L22" s="71"/>
      <c r="M22" s="71"/>
      <c r="P22" s="72" t="s">
        <v>195</v>
      </c>
      <c r="Q22" s="109">
        <f>MAX(Q18:Q19:Q20:Q21)</f>
        <v>7.5</v>
      </c>
      <c r="R22" t="s">
        <v>21</v>
      </c>
    </row>
    <row r="23" spans="1:13" ht="15" hidden="1">
      <c r="A23" s="65"/>
      <c r="B23" s="10"/>
      <c r="C23" s="15"/>
      <c r="D23" s="4"/>
      <c r="E23" s="4"/>
      <c r="F23" s="4"/>
      <c r="G23" s="4"/>
      <c r="H23" s="4"/>
      <c r="I23" s="5"/>
      <c r="J23" s="5"/>
      <c r="K23" s="5"/>
      <c r="L23" s="71"/>
      <c r="M23" s="71"/>
    </row>
    <row r="24" spans="1:13" ht="15" hidden="1">
      <c r="A24" s="65"/>
      <c r="B24" s="10"/>
      <c r="C24" s="15"/>
      <c r="D24" s="4"/>
      <c r="E24" s="4"/>
      <c r="F24" s="4"/>
      <c r="G24" s="4"/>
      <c r="H24" s="4"/>
      <c r="I24" s="5"/>
      <c r="J24" s="5"/>
      <c r="K24" s="5"/>
      <c r="L24" s="71"/>
      <c r="M24" s="71"/>
    </row>
    <row r="25" spans="1:13" ht="15" hidden="1">
      <c r="A25" s="65"/>
      <c r="B25" s="10"/>
      <c r="C25" s="15"/>
      <c r="D25" s="4"/>
      <c r="E25" s="4"/>
      <c r="F25" s="4"/>
      <c r="G25" s="4"/>
      <c r="H25" s="4"/>
      <c r="I25" s="5"/>
      <c r="J25" s="5"/>
      <c r="K25" s="5"/>
      <c r="L25" s="71"/>
      <c r="M25" s="71"/>
    </row>
    <row r="26" spans="1:13" ht="15" hidden="1">
      <c r="A26" s="65"/>
      <c r="B26" s="10"/>
      <c r="C26" s="15"/>
      <c r="D26" s="4"/>
      <c r="E26" s="4"/>
      <c r="F26" s="4"/>
      <c r="G26" s="4"/>
      <c r="H26" s="4"/>
      <c r="I26" s="5"/>
      <c r="J26" s="5"/>
      <c r="K26" s="5"/>
      <c r="L26" s="71"/>
      <c r="M26" s="71"/>
    </row>
    <row r="27" spans="1:13" ht="15" hidden="1">
      <c r="A27" s="65"/>
      <c r="B27" s="10"/>
      <c r="C27" s="15"/>
      <c r="D27" s="4"/>
      <c r="E27" s="4"/>
      <c r="F27" s="4"/>
      <c r="G27" s="4"/>
      <c r="H27" s="4"/>
      <c r="I27" s="5"/>
      <c r="J27" s="5"/>
      <c r="K27" s="5"/>
      <c r="L27" s="71"/>
      <c r="M27" s="71"/>
    </row>
    <row r="28" spans="1:13" ht="15">
      <c r="A28" s="65"/>
      <c r="B28" s="83"/>
      <c r="C28" s="91"/>
      <c r="D28" s="83"/>
      <c r="E28" s="4"/>
      <c r="F28" s="4"/>
      <c r="G28" s="4"/>
      <c r="H28" s="4"/>
      <c r="I28" s="5"/>
      <c r="J28" s="5"/>
      <c r="K28" s="5"/>
      <c r="L28" s="71"/>
      <c r="M28" s="71"/>
    </row>
    <row r="29" spans="1:13" ht="15">
      <c r="A29" s="47" t="s">
        <v>103</v>
      </c>
      <c r="B29" s="16"/>
      <c r="C29" s="91"/>
      <c r="D29" s="83"/>
      <c r="E29" s="4"/>
      <c r="F29" s="4"/>
      <c r="G29" s="4"/>
      <c r="H29" s="4"/>
      <c r="I29" s="5"/>
      <c r="J29" s="5"/>
      <c r="K29" s="5"/>
      <c r="L29" s="71"/>
      <c r="M29" s="71"/>
    </row>
    <row r="30" spans="1:13" ht="15">
      <c r="A30" s="5" t="s">
        <v>118</v>
      </c>
      <c r="B30" s="5"/>
      <c r="C30" s="11">
        <v>4</v>
      </c>
      <c r="D30" s="85" t="s">
        <v>0</v>
      </c>
      <c r="E30" s="4"/>
      <c r="F30" s="4"/>
      <c r="G30" s="4"/>
      <c r="H30" s="4"/>
      <c r="I30" s="5"/>
      <c r="J30" s="5"/>
      <c r="K30" s="5"/>
      <c r="L30" s="71"/>
      <c r="M30" s="71"/>
    </row>
    <row r="31" spans="1:13" ht="15">
      <c r="A31" s="36" t="s">
        <v>120</v>
      </c>
      <c r="B31" s="85"/>
      <c r="C31" s="11">
        <v>4</v>
      </c>
      <c r="D31" s="85" t="s">
        <v>0</v>
      </c>
      <c r="E31" s="4"/>
      <c r="F31" s="4"/>
      <c r="G31" s="4"/>
      <c r="H31" s="4"/>
      <c r="I31" s="5"/>
      <c r="J31" s="5"/>
      <c r="K31" s="5"/>
      <c r="L31" s="71"/>
      <c r="M31" s="71"/>
    </row>
    <row r="32" spans="1:13" ht="15">
      <c r="A32" s="4" t="s">
        <v>105</v>
      </c>
      <c r="B32" s="64"/>
      <c r="C32" s="11">
        <v>4</v>
      </c>
      <c r="D32" s="85" t="s">
        <v>0</v>
      </c>
      <c r="E32" s="5"/>
      <c r="F32" s="5"/>
      <c r="G32" s="5"/>
      <c r="H32" s="5"/>
      <c r="I32" s="5"/>
      <c r="J32" s="5"/>
      <c r="K32" s="5"/>
      <c r="L32" s="71"/>
      <c r="M32" s="71"/>
    </row>
    <row r="33" spans="1:13" ht="15">
      <c r="A33" s="4" t="s">
        <v>106</v>
      </c>
      <c r="B33" s="64"/>
      <c r="C33" s="11">
        <v>4</v>
      </c>
      <c r="D33" s="85" t="s">
        <v>0</v>
      </c>
      <c r="E33" s="5"/>
      <c r="F33" s="5"/>
      <c r="G33" s="5"/>
      <c r="H33" s="5"/>
      <c r="I33" s="5"/>
      <c r="J33" s="5"/>
      <c r="K33" s="5"/>
      <c r="L33" s="71"/>
      <c r="M33" s="71"/>
    </row>
    <row r="34" spans="1:13" ht="15">
      <c r="A34" s="5" t="s">
        <v>119</v>
      </c>
      <c r="B34" s="14"/>
      <c r="C34" s="11">
        <v>7</v>
      </c>
      <c r="D34" s="85" t="s">
        <v>0</v>
      </c>
      <c r="E34" s="5"/>
      <c r="F34" s="5"/>
      <c r="G34" s="5"/>
      <c r="H34" s="5"/>
      <c r="I34" s="7"/>
      <c r="J34" s="7"/>
      <c r="K34" s="7"/>
      <c r="L34" s="71"/>
      <c r="M34" s="71"/>
    </row>
    <row r="35" spans="1:13" ht="18">
      <c r="A35" s="17" t="s">
        <v>290</v>
      </c>
      <c r="B35" s="14"/>
      <c r="C35" s="46">
        <v>8360</v>
      </c>
      <c r="D35" s="4" t="s">
        <v>76</v>
      </c>
      <c r="E35" s="5"/>
      <c r="F35" s="5"/>
      <c r="G35" s="5"/>
      <c r="H35" s="5"/>
      <c r="I35" s="7"/>
      <c r="J35" s="7"/>
      <c r="K35" s="7"/>
      <c r="L35" s="71"/>
      <c r="M35" s="71"/>
    </row>
    <row r="36" spans="1:13" ht="15">
      <c r="A36" s="9"/>
      <c r="B36" s="16"/>
      <c r="C36" s="4"/>
      <c r="D36" s="4"/>
      <c r="E36" s="83"/>
      <c r="F36" s="83"/>
      <c r="G36" s="83"/>
      <c r="H36" s="83"/>
      <c r="I36" s="7"/>
      <c r="J36" s="7"/>
      <c r="K36" s="7"/>
      <c r="L36" s="71"/>
      <c r="M36" s="71"/>
    </row>
    <row r="37" spans="1:13" ht="15">
      <c r="A37" s="95" t="s">
        <v>104</v>
      </c>
      <c r="B37" s="5"/>
      <c r="C37" s="5"/>
      <c r="E37" s="83"/>
      <c r="F37" s="83"/>
      <c r="G37" s="83"/>
      <c r="H37" s="83"/>
      <c r="I37" s="7"/>
      <c r="J37" s="7"/>
      <c r="K37" s="7"/>
      <c r="L37" s="71"/>
      <c r="M37" s="71"/>
    </row>
    <row r="38" spans="1:13" ht="16.5">
      <c r="A38" s="5" t="s">
        <v>110</v>
      </c>
      <c r="B38" s="5"/>
      <c r="C38" s="11">
        <v>0</v>
      </c>
      <c r="D38" s="85" t="s">
        <v>0</v>
      </c>
      <c r="E38" s="83"/>
      <c r="F38" s="83"/>
      <c r="G38" s="83"/>
      <c r="H38" s="83"/>
      <c r="I38" s="7"/>
      <c r="J38" s="7"/>
      <c r="K38" s="7"/>
      <c r="L38" s="71"/>
      <c r="M38" s="74"/>
    </row>
    <row r="39" spans="1:13" ht="15">
      <c r="A39" s="5" t="s">
        <v>117</v>
      </c>
      <c r="B39" s="5"/>
      <c r="C39" s="11">
        <v>0</v>
      </c>
      <c r="D39" s="85" t="s">
        <v>0</v>
      </c>
      <c r="E39" s="83"/>
      <c r="F39" s="83"/>
      <c r="G39" s="83"/>
      <c r="H39" s="83"/>
      <c r="I39" s="7"/>
      <c r="J39" s="7"/>
      <c r="K39" s="7"/>
      <c r="L39" s="71"/>
      <c r="M39" s="71"/>
    </row>
    <row r="40" spans="5:13" ht="15">
      <c r="E40" s="83"/>
      <c r="F40" s="83"/>
      <c r="G40" s="83"/>
      <c r="H40" s="83"/>
      <c r="I40" s="7"/>
      <c r="J40" s="7"/>
      <c r="K40" s="7"/>
      <c r="L40" s="71"/>
      <c r="M40" s="71"/>
    </row>
    <row r="41" spans="1:13" ht="15">
      <c r="A41" s="47" t="s">
        <v>26</v>
      </c>
      <c r="B41" s="16"/>
      <c r="C41" s="4"/>
      <c r="D41" s="4"/>
      <c r="E41" s="83"/>
      <c r="F41" s="83"/>
      <c r="G41" s="83"/>
      <c r="H41" s="83"/>
      <c r="I41" s="7"/>
      <c r="J41" s="7"/>
      <c r="K41" s="7"/>
      <c r="L41" s="71"/>
      <c r="M41" s="71"/>
    </row>
    <row r="42" spans="1:13" ht="15">
      <c r="A42" s="10"/>
      <c r="B42" s="10"/>
      <c r="C42" s="19"/>
      <c r="D42" s="5"/>
      <c r="E42" s="83"/>
      <c r="F42" s="83"/>
      <c r="G42" s="83"/>
      <c r="H42" s="83"/>
      <c r="I42" s="7"/>
      <c r="J42" s="7"/>
      <c r="K42" s="7"/>
      <c r="L42" s="71"/>
      <c r="M42" s="71"/>
    </row>
    <row r="43" spans="1:13" ht="18">
      <c r="A43" s="9" t="s">
        <v>28</v>
      </c>
      <c r="B43" s="10" t="s">
        <v>4</v>
      </c>
      <c r="C43" s="16">
        <f>(C13*C14+C15*C16+C17*C18+C24*C25+C20*C21+C22*C23+C26*C27)/100</f>
        <v>51.98</v>
      </c>
      <c r="D43" s="4" t="s">
        <v>55</v>
      </c>
      <c r="I43" s="7"/>
      <c r="J43" s="7"/>
      <c r="K43" s="7"/>
      <c r="L43" s="71"/>
      <c r="M43" s="71"/>
    </row>
    <row r="44" spans="1:13" ht="18" customHeight="1">
      <c r="A44" s="10" t="s">
        <v>27</v>
      </c>
      <c r="B44" s="10" t="s">
        <v>4</v>
      </c>
      <c r="C44" s="19">
        <f>((C13*C14*(C18+C15+C14/2)+C15*C16*(C18+C15/2)+C17*C18*C18/2)+((C24*C25+C20*C21+C22*C23+C26*C27)*(C15/2+C18)))/(C43*1000)</f>
        <v>15.07</v>
      </c>
      <c r="D44" s="5" t="s">
        <v>21</v>
      </c>
      <c r="I44" s="7"/>
      <c r="J44" s="7"/>
      <c r="K44" s="7"/>
      <c r="L44" s="71"/>
      <c r="M44" s="71"/>
    </row>
    <row r="45" spans="1:13" ht="18" customHeight="1">
      <c r="A45" s="10" t="s">
        <v>190</v>
      </c>
      <c r="B45" s="10" t="s">
        <v>4</v>
      </c>
      <c r="C45" s="19">
        <f>((C13*C14+C18*C17+C15*C16)*C17/2+C20*C21*(C17/2+C16/2+C20/2)+C22*C23*(C17/2-C16/2-C22/2)+C24*C25*(C17/2+C16/2+C20+C25/2)+C26*C27*(C17/2-C16/2-C22-C27/2))/(1000*C43)</f>
        <v>7.5</v>
      </c>
      <c r="D45" s="5" t="s">
        <v>21</v>
      </c>
      <c r="I45" s="7"/>
      <c r="J45" s="7"/>
      <c r="K45" s="7"/>
      <c r="L45" s="71"/>
      <c r="M45" s="71"/>
    </row>
    <row r="46" spans="1:13" ht="18.75">
      <c r="A46" s="9" t="s">
        <v>278</v>
      </c>
      <c r="B46" s="10" t="s">
        <v>4</v>
      </c>
      <c r="C46" s="16">
        <f>((C16*C15^3/12)+(C13*C14^3/12+C13*C14*(C14+C15+C18-C44*10-C14/2)^2)+(C17*C18^3/12+C17*C18*(C44*10-C18/2)^2))/10000+(C25*C24^3/12+C25*C24*(C15/2+C18-C44*10)^2+C27*C26^3/12+C26*C27*(C15/2+C18-C44*10)^2+(C22*C23+C20*C21)*(C15/2+C18-C44*10)^2)/10000</f>
        <v>8083.5350966666665</v>
      </c>
      <c r="D46" s="4" t="s">
        <v>76</v>
      </c>
      <c r="I46" s="7"/>
      <c r="J46" s="7"/>
      <c r="K46" s="7"/>
      <c r="L46" s="71"/>
      <c r="M46" s="71"/>
    </row>
    <row r="47" spans="1:13" ht="18.75">
      <c r="A47" s="9" t="s">
        <v>279</v>
      </c>
      <c r="B47" s="10" t="s">
        <v>4</v>
      </c>
      <c r="C47" s="16">
        <f>((C15*C16^3/12)+C15*C16*(C17/2-C45*10)^2+(C14*C13^3/12)+C14*C13*(C17/2-C45*10)^2+(C18*C17^3/12)+C17*C18*(C17/2-C45*10)^2)/10000+(C24*C25*(C17/2+C16/2+C20+C25/2-C45*10)^2+C26*C27*(C17/2+C16/2-C22-C27/2-C45*10)^2+C21*C20^3/12+C20*C21*(C17/2+C16/2+C20/2-C45*10)^2+C22*C23*(C17/2-C16/2-C22/2-C45*10)^2+C23*C22^3/12)/10000</f>
        <v>602.7101256666667</v>
      </c>
      <c r="D47" s="4" t="s">
        <v>76</v>
      </c>
      <c r="I47" s="7"/>
      <c r="J47" s="7"/>
      <c r="K47" s="7"/>
      <c r="L47" s="71"/>
      <c r="M47" s="71"/>
    </row>
    <row r="48" spans="1:13" ht="18.75">
      <c r="A48" s="10" t="s">
        <v>280</v>
      </c>
      <c r="B48" s="10" t="s">
        <v>4</v>
      </c>
      <c r="C48" s="10">
        <f>C46/(MAX(C44,Q17))</f>
        <v>536.3991437735015</v>
      </c>
      <c r="D48" s="4" t="s">
        <v>56</v>
      </c>
      <c r="I48" s="7"/>
      <c r="J48" s="7"/>
      <c r="K48" s="7"/>
      <c r="L48" s="71"/>
      <c r="M48" s="71"/>
    </row>
    <row r="49" spans="1:13" ht="18.75">
      <c r="A49" s="10" t="s">
        <v>291</v>
      </c>
      <c r="B49" s="10" t="s">
        <v>4</v>
      </c>
      <c r="C49" s="10">
        <f>C47/Q22</f>
        <v>80.3613500888889</v>
      </c>
      <c r="D49" s="4" t="s">
        <v>56</v>
      </c>
      <c r="I49" s="7"/>
      <c r="J49" s="7"/>
      <c r="K49" s="7"/>
      <c r="L49" s="71"/>
      <c r="M49" s="71"/>
    </row>
    <row r="50" spans="1:15" ht="16.5">
      <c r="A50" s="9" t="s">
        <v>281</v>
      </c>
      <c r="B50" s="10" t="s">
        <v>4</v>
      </c>
      <c r="C50" s="16">
        <f>(C46/C43)^0.5</f>
        <v>12.470461518259425</v>
      </c>
      <c r="D50" s="4" t="s">
        <v>21</v>
      </c>
      <c r="E50" s="83"/>
      <c r="F50" s="83"/>
      <c r="G50" s="83"/>
      <c r="H50" s="83"/>
      <c r="I50" s="7"/>
      <c r="J50" s="7"/>
      <c r="K50" s="7"/>
      <c r="L50" t="s">
        <v>270</v>
      </c>
      <c r="M50">
        <f>0.5*(C7*100/(2.4*C15*C16)+1)</f>
        <v>0.5733568075117371</v>
      </c>
      <c r="N50" s="143" t="s">
        <v>267</v>
      </c>
      <c r="O50" s="143">
        <f>-C62+C59</f>
        <v>0.6110461657657794</v>
      </c>
    </row>
    <row r="51" spans="1:15" ht="16.5">
      <c r="A51" s="9" t="s">
        <v>282</v>
      </c>
      <c r="B51" s="10" t="s">
        <v>4</v>
      </c>
      <c r="C51" s="16">
        <f>(C47/C43)^0.5</f>
        <v>3.405148891034974</v>
      </c>
      <c r="D51" s="4" t="s">
        <v>21</v>
      </c>
      <c r="E51" s="83"/>
      <c r="F51" s="83"/>
      <c r="G51" s="83"/>
      <c r="H51" s="83"/>
      <c r="I51" s="7"/>
      <c r="J51" s="7"/>
      <c r="K51" s="7"/>
      <c r="N51" s="143" t="s">
        <v>268</v>
      </c>
      <c r="O51" s="143">
        <f>-C62-C59</f>
        <v>-0.8803805251347675</v>
      </c>
    </row>
    <row r="52" spans="1:15" ht="15">
      <c r="A52" s="22"/>
      <c r="B52" s="22"/>
      <c r="C52" s="22"/>
      <c r="D52" s="4"/>
      <c r="E52" s="83"/>
      <c r="F52" s="83"/>
      <c r="G52" s="83"/>
      <c r="H52" s="83"/>
      <c r="I52" s="7"/>
      <c r="J52" s="7"/>
      <c r="K52" s="7"/>
      <c r="N52" s="143" t="s">
        <v>269</v>
      </c>
      <c r="O52" s="71">
        <f>O50/O51</f>
        <v>-0.6940705164647313</v>
      </c>
    </row>
    <row r="53" spans="1:14" ht="15">
      <c r="A53" s="47" t="s">
        <v>260</v>
      </c>
      <c r="B53" s="22"/>
      <c r="C53" s="22"/>
      <c r="D53" s="4"/>
      <c r="E53" s="83"/>
      <c r="F53" s="83"/>
      <c r="G53" s="83"/>
      <c r="H53" s="83"/>
      <c r="I53" s="7"/>
      <c r="J53" s="7"/>
      <c r="K53" s="7"/>
      <c r="L53" s="143" t="s">
        <v>262</v>
      </c>
      <c r="M53" s="143" t="s">
        <v>263</v>
      </c>
      <c r="N53" s="109" t="s">
        <v>264</v>
      </c>
    </row>
    <row r="54" spans="1:17" ht="16.5">
      <c r="A54" s="120" t="s">
        <v>271</v>
      </c>
      <c r="B54" s="120" t="s">
        <v>4</v>
      </c>
      <c r="C54" s="120">
        <f>(C15-2*C14)/C16</f>
        <v>36.42253521126761</v>
      </c>
      <c r="D54" s="4"/>
      <c r="E54" s="83"/>
      <c r="F54" s="83"/>
      <c r="G54" s="83"/>
      <c r="H54" s="83"/>
      <c r="I54" s="7"/>
      <c r="J54" s="7"/>
      <c r="K54" s="7" t="s">
        <v>298</v>
      </c>
      <c r="L54" s="143">
        <f>IF(M50&gt;0.5,451.2/(13*M50-1),41.053/M50)</f>
        <v>69.91404928616895</v>
      </c>
      <c r="M54" s="143">
        <f>IF(O52&gt;-1,190/(3.1+1.55*O52),61.322*((-O52)^0.5)*(1-O52))</f>
        <v>93.86467394047455</v>
      </c>
      <c r="N54" s="109">
        <f>M54</f>
        <v>93.86467394047455</v>
      </c>
      <c r="O54" s="109">
        <f>IF(C54&lt;=L54,1,0)</f>
        <v>1</v>
      </c>
      <c r="P54" s="109">
        <f>IF(C54&lt;=M54,1,0)</f>
        <v>1</v>
      </c>
      <c r="Q54" s="109">
        <f>IF(C54&lt;=N54,1,0)</f>
        <v>1</v>
      </c>
    </row>
    <row r="55" spans="1:17" ht="16.5">
      <c r="A55" s="120" t="s">
        <v>272</v>
      </c>
      <c r="B55" s="120" t="s">
        <v>4</v>
      </c>
      <c r="C55" s="120">
        <f>(C13/(2*C14))</f>
        <v>7.009345794392524</v>
      </c>
      <c r="D55" s="4"/>
      <c r="E55" s="83"/>
      <c r="F55" s="83"/>
      <c r="G55" s="83"/>
      <c r="H55" s="83"/>
      <c r="I55" s="7"/>
      <c r="J55" s="7"/>
      <c r="K55" s="7" t="s">
        <v>297</v>
      </c>
      <c r="L55" s="143">
        <v>10.91</v>
      </c>
      <c r="M55" s="143">
        <v>14.8</v>
      </c>
      <c r="N55" s="109">
        <v>14.8</v>
      </c>
      <c r="O55" s="109">
        <f>IF(C55&lt;=L55,1,0)</f>
        <v>1</v>
      </c>
      <c r="P55" s="109">
        <f>IF(C55&lt;=M55,1,0)</f>
        <v>1</v>
      </c>
      <c r="Q55" s="109">
        <f>IF(C55&lt;=N55,1,0)</f>
        <v>1</v>
      </c>
    </row>
    <row r="56" spans="1:17" ht="15">
      <c r="A56" s="70" t="s">
        <v>261</v>
      </c>
      <c r="B56" s="144" t="str">
        <f>IF(AND(O56=2),"Compact",IF((P56=2),"Non Compact","Slender"))</f>
        <v>Compact</v>
      </c>
      <c r="C56" s="82"/>
      <c r="D56" s="4"/>
      <c r="E56" s="83"/>
      <c r="F56" s="83"/>
      <c r="G56" s="83"/>
      <c r="H56" s="83"/>
      <c r="I56" s="7"/>
      <c r="J56" s="7"/>
      <c r="K56" s="7"/>
      <c r="L56" s="71"/>
      <c r="M56" s="71"/>
      <c r="O56" s="109">
        <f>O54+O55</f>
        <v>2</v>
      </c>
      <c r="P56" s="109">
        <f>P54+P55</f>
        <v>2</v>
      </c>
      <c r="Q56" s="109">
        <f>Q54+Q55</f>
        <v>2</v>
      </c>
    </row>
    <row r="57" spans="2:17" ht="15">
      <c r="B57" s="82"/>
      <c r="C57" s="82"/>
      <c r="D57" s="4"/>
      <c r="E57" s="83"/>
      <c r="F57" s="83"/>
      <c r="G57" s="83"/>
      <c r="H57" s="83"/>
      <c r="I57" s="7"/>
      <c r="J57" s="7"/>
      <c r="K57" s="7"/>
      <c r="L57" s="71"/>
      <c r="M57" s="71"/>
      <c r="O57" s="109" t="s">
        <v>299</v>
      </c>
      <c r="P57" s="109">
        <f>IF((B56="Compact"),1.536,1.4)</f>
        <v>1.536</v>
      </c>
      <c r="Q57" s="109"/>
    </row>
    <row r="58" spans="1:17" ht="15">
      <c r="A58" s="47" t="s">
        <v>259</v>
      </c>
      <c r="B58" s="16"/>
      <c r="C58" s="4"/>
      <c r="D58" s="4"/>
      <c r="E58" s="83"/>
      <c r="F58" s="83"/>
      <c r="G58" s="83"/>
      <c r="H58" s="83"/>
      <c r="I58" s="7"/>
      <c r="J58" s="7"/>
      <c r="K58" s="7"/>
      <c r="L58" s="71"/>
      <c r="M58" s="71"/>
      <c r="O58" s="109" t="s">
        <v>300</v>
      </c>
      <c r="P58" s="109">
        <f>IF((B56="Compact"),1.728,1.4)</f>
        <v>1.728</v>
      </c>
      <c r="Q58" s="109"/>
    </row>
    <row r="59" spans="1:13" ht="18.75">
      <c r="A59" s="9" t="s">
        <v>273</v>
      </c>
      <c r="B59" s="16" t="s">
        <v>4</v>
      </c>
      <c r="C59" s="16">
        <f>C6*100/C48</f>
        <v>0.7457133454502735</v>
      </c>
      <c r="D59" s="4" t="s">
        <v>57</v>
      </c>
      <c r="E59" s="83"/>
      <c r="F59" s="83"/>
      <c r="G59" s="9"/>
      <c r="H59" s="16"/>
      <c r="I59" s="16"/>
      <c r="J59" s="16"/>
      <c r="K59" s="16"/>
      <c r="L59" s="4"/>
      <c r="M59" s="71"/>
    </row>
    <row r="60" spans="1:13" ht="18.75">
      <c r="A60" s="9" t="s">
        <v>292</v>
      </c>
      <c r="B60" s="16" t="s">
        <v>4</v>
      </c>
      <c r="C60" s="16">
        <f>C9*100/C49</f>
        <v>0</v>
      </c>
      <c r="D60" s="4" t="s">
        <v>57</v>
      </c>
      <c r="E60" s="83"/>
      <c r="F60" s="83"/>
      <c r="G60" s="9"/>
      <c r="H60" s="16"/>
      <c r="I60" s="16"/>
      <c r="J60" s="16"/>
      <c r="K60" s="16"/>
      <c r="L60" s="4"/>
      <c r="M60" s="71"/>
    </row>
    <row r="61" spans="1:13" ht="18.75">
      <c r="A61" s="9" t="s">
        <v>293</v>
      </c>
      <c r="B61" s="9" t="s">
        <v>4</v>
      </c>
      <c r="C61" s="16">
        <f>IF(OR(H65&gt;C31,H68="yes"),P58,1.4)</f>
        <v>1.728</v>
      </c>
      <c r="D61" s="4" t="s">
        <v>57</v>
      </c>
      <c r="E61" s="83"/>
      <c r="F61" s="83"/>
      <c r="G61" s="9"/>
      <c r="H61" s="16"/>
      <c r="I61" s="16"/>
      <c r="J61" s="16"/>
      <c r="K61" s="16"/>
      <c r="L61" s="4"/>
      <c r="M61" s="71"/>
    </row>
    <row r="62" spans="1:13" ht="18.75">
      <c r="A62" s="9" t="s">
        <v>92</v>
      </c>
      <c r="B62" s="16" t="s">
        <v>4</v>
      </c>
      <c r="C62" s="16">
        <f>C7/C43</f>
        <v>0.13466717968449404</v>
      </c>
      <c r="D62" s="4" t="s">
        <v>57</v>
      </c>
      <c r="E62" s="4"/>
      <c r="F62" s="4"/>
      <c r="G62" s="89"/>
      <c r="H62" s="4"/>
      <c r="I62" s="7"/>
      <c r="J62" s="7"/>
      <c r="K62" s="7"/>
      <c r="L62" s="71"/>
      <c r="M62" s="71"/>
    </row>
    <row r="63" spans="1:13" ht="18">
      <c r="A63" s="90" t="s">
        <v>45</v>
      </c>
      <c r="B63" s="16" t="s">
        <v>4</v>
      </c>
      <c r="C63" s="75">
        <f>-(MIN(C6,C8))/MAX(C6,C8)</f>
        <v>0</v>
      </c>
      <c r="D63" s="5"/>
      <c r="E63" s="5"/>
      <c r="F63" s="5"/>
      <c r="G63" s="5"/>
      <c r="H63" s="5"/>
      <c r="I63" s="7"/>
      <c r="J63" s="7"/>
      <c r="K63" s="7"/>
      <c r="L63" s="71"/>
      <c r="M63" s="71"/>
    </row>
    <row r="64" spans="1:13" ht="16.5">
      <c r="A64" s="10" t="s">
        <v>96</v>
      </c>
      <c r="B64" s="16" t="s">
        <v>4</v>
      </c>
      <c r="C64" s="19">
        <f>MIN(1.75+1.05*C63+0.3*(C63)^2,2.3)</f>
        <v>1.75</v>
      </c>
      <c r="D64" s="5"/>
      <c r="E64" s="5"/>
      <c r="F64" s="5"/>
      <c r="G64" s="5"/>
      <c r="H64" s="5"/>
      <c r="I64" s="7"/>
      <c r="J64" s="7"/>
      <c r="K64" s="7"/>
      <c r="L64" s="71"/>
      <c r="M64" s="71"/>
    </row>
    <row r="65" spans="1:13" ht="16.5">
      <c r="A65" s="154" t="s">
        <v>54</v>
      </c>
      <c r="B65" s="155" t="s">
        <v>4</v>
      </c>
      <c r="C65" s="4" t="s">
        <v>256</v>
      </c>
      <c r="D65" s="4"/>
      <c r="F65" s="9">
        <f>(20*(C13/1000))/(2.4^0.5)</f>
        <v>1.9364916731037083</v>
      </c>
      <c r="G65" s="4" t="s">
        <v>0</v>
      </c>
      <c r="H65" s="153">
        <f>MIN(F65,F66)</f>
        <v>1.9364916731037083</v>
      </c>
      <c r="I65" s="153" t="s">
        <v>0</v>
      </c>
      <c r="J65" s="7"/>
      <c r="K65" s="7"/>
      <c r="L65" s="71"/>
      <c r="M65" s="71"/>
    </row>
    <row r="66" spans="1:18" ht="18.75">
      <c r="A66" s="154"/>
      <c r="B66" s="155"/>
      <c r="C66" s="4" t="s">
        <v>258</v>
      </c>
      <c r="D66" s="4"/>
      <c r="E66" s="4"/>
      <c r="F66" s="16">
        <f>(1380*C64*(C13*C14/100)/(2.4*10*C15))</f>
        <v>5.76796875</v>
      </c>
      <c r="G66" s="4" t="s">
        <v>0</v>
      </c>
      <c r="H66" s="153"/>
      <c r="I66" s="153"/>
      <c r="J66" s="7"/>
      <c r="K66" s="7"/>
      <c r="L66" s="9" t="s">
        <v>167</v>
      </c>
      <c r="M66" s="9" t="s">
        <v>4</v>
      </c>
      <c r="N66" s="10">
        <f>(C13*C14+C15*C16/6)/100</f>
        <v>19.363333333333333</v>
      </c>
      <c r="O66" s="4" t="s">
        <v>55</v>
      </c>
      <c r="P66" s="10" t="s">
        <v>171</v>
      </c>
      <c r="Q66" s="10" t="s">
        <v>4</v>
      </c>
      <c r="R66" s="5">
        <f>800*C64*N69/(C31*100*C15/10)</f>
        <v>2.00625</v>
      </c>
    </row>
    <row r="67" spans="1:18" ht="18">
      <c r="A67" s="9"/>
      <c r="B67" s="4" t="s">
        <v>33</v>
      </c>
      <c r="C67" s="4"/>
      <c r="D67" s="4"/>
      <c r="E67" s="4"/>
      <c r="F67" s="23" t="str">
        <f>IF(AND(H65&gt;C31),"No Ltb","Ltb")</f>
        <v>Ltb</v>
      </c>
      <c r="G67" s="36"/>
      <c r="H67" s="5"/>
      <c r="I67" s="5"/>
      <c r="J67" s="4"/>
      <c r="K67" s="4"/>
      <c r="L67" s="9" t="s">
        <v>168</v>
      </c>
      <c r="M67" s="9" t="s">
        <v>4</v>
      </c>
      <c r="N67" s="10">
        <f>(C14*C13^3/12+C15*C16^3/72)/10000</f>
        <v>301.07668761111114</v>
      </c>
      <c r="O67" s="4" t="s">
        <v>76</v>
      </c>
      <c r="P67" s="10" t="s">
        <v>173</v>
      </c>
      <c r="Q67" s="10" t="s">
        <v>4</v>
      </c>
      <c r="R67" s="5">
        <f>IF(N70&lt;=(84*N71),1.4,0)</f>
        <v>0</v>
      </c>
    </row>
    <row r="68" spans="1:18" ht="18">
      <c r="A68" s="9" t="s">
        <v>175</v>
      </c>
      <c r="B68" s="9" t="s">
        <v>4</v>
      </c>
      <c r="C68" s="9">
        <f>IF(AND(H68="Yes"),P57,R71)</f>
        <v>1.536</v>
      </c>
      <c r="D68" s="4" t="s">
        <v>57</v>
      </c>
      <c r="E68" s="4"/>
      <c r="F68" s="156" t="s">
        <v>201</v>
      </c>
      <c r="G68" s="156"/>
      <c r="H68" s="115" t="s">
        <v>266</v>
      </c>
      <c r="I68" s="132"/>
      <c r="J68" s="4"/>
      <c r="K68" s="4"/>
      <c r="L68" s="9" t="s">
        <v>169</v>
      </c>
      <c r="M68" s="9" t="s">
        <v>4</v>
      </c>
      <c r="N68" s="10">
        <f>SQRT(N67/N66)</f>
        <v>3.943197263935146</v>
      </c>
      <c r="O68" s="5" t="s">
        <v>21</v>
      </c>
      <c r="P68" s="10" t="s">
        <v>173</v>
      </c>
      <c r="Q68" s="10" t="s">
        <v>4</v>
      </c>
      <c r="R68" s="5">
        <f>IF(AND(84*N71&lt;=N70,N70&lt;=188*N71),2.4*(0.64-2.4*N70^2/(1.176*100000*C64)),0)</f>
        <v>0</v>
      </c>
    </row>
    <row r="69" spans="1:18" ht="18.75">
      <c r="A69" s="9" t="s">
        <v>274</v>
      </c>
      <c r="B69" s="9" t="s">
        <v>4</v>
      </c>
      <c r="C69" s="9">
        <f>IF(OR(H65&gt;C31,H68="yes"),P57,MIN(1.4,C68))</f>
        <v>1.536</v>
      </c>
      <c r="D69" s="4" t="s">
        <v>57</v>
      </c>
      <c r="E69" s="4"/>
      <c r="F69" s="23"/>
      <c r="G69" s="36"/>
      <c r="H69" s="5"/>
      <c r="I69" s="5"/>
      <c r="J69" s="4"/>
      <c r="K69" s="4"/>
      <c r="L69" s="9" t="s">
        <v>170</v>
      </c>
      <c r="M69" s="9" t="s">
        <v>4</v>
      </c>
      <c r="N69" s="10">
        <f>(C13*C14)/100</f>
        <v>16.05</v>
      </c>
      <c r="O69" s="5" t="s">
        <v>21</v>
      </c>
      <c r="P69" s="10" t="s">
        <v>173</v>
      </c>
      <c r="Q69" s="10" t="s">
        <v>4</v>
      </c>
      <c r="R69" s="5">
        <f>IF(N70&gt;=188*N71,12000*C64/N70^2,0)</f>
        <v>0.6663773426702408</v>
      </c>
    </row>
    <row r="70" spans="1:18" ht="16.5">
      <c r="A70" s="9" t="s">
        <v>94</v>
      </c>
      <c r="B70" s="9" t="s">
        <v>4</v>
      </c>
      <c r="C70" s="21">
        <v>10</v>
      </c>
      <c r="D70" s="5" t="s">
        <v>81</v>
      </c>
      <c r="E70" s="4"/>
      <c r="F70" s="5"/>
      <c r="G70" s="5"/>
      <c r="H70" s="5"/>
      <c r="I70" s="7"/>
      <c r="J70" s="7"/>
      <c r="K70" s="7"/>
      <c r="L70" s="9" t="s">
        <v>172</v>
      </c>
      <c r="M70" s="9" t="s">
        <v>4</v>
      </c>
      <c r="N70" s="10">
        <f>C34*100/(N68)</f>
        <v>177.5209184694527</v>
      </c>
      <c r="O70" s="5"/>
      <c r="P70" s="10" t="s">
        <v>174</v>
      </c>
      <c r="Q70" s="10" t="s">
        <v>4</v>
      </c>
      <c r="R70" s="141">
        <f>MAX(R67,R68,R69)</f>
        <v>0.6663773426702408</v>
      </c>
    </row>
    <row r="71" spans="1:18" ht="16.5">
      <c r="A71" s="9" t="s">
        <v>95</v>
      </c>
      <c r="B71" s="9" t="s">
        <v>4</v>
      </c>
      <c r="C71" s="16">
        <f>(C46/C30)/(C35/C34)</f>
        <v>1.692127562101276</v>
      </c>
      <c r="D71" s="5"/>
      <c r="E71" s="4"/>
      <c r="F71" s="5"/>
      <c r="G71" s="5"/>
      <c r="H71" s="5"/>
      <c r="I71" s="7"/>
      <c r="J71" s="7"/>
      <c r="K71" s="7"/>
      <c r="L71" s="9" t="s">
        <v>257</v>
      </c>
      <c r="M71" s="9" t="s">
        <v>4</v>
      </c>
      <c r="N71" s="10">
        <f>(C64/2.4)^0.5</f>
        <v>0.8539125638299666</v>
      </c>
      <c r="O71" s="5"/>
      <c r="P71" s="10" t="s">
        <v>175</v>
      </c>
      <c r="Q71" s="10" t="s">
        <v>4</v>
      </c>
      <c r="R71" s="5">
        <f>IF(R66&gt;1.4,1.4,SQRT((R66)^2+(R70)^2))</f>
        <v>1.4</v>
      </c>
    </row>
    <row r="72" spans="1:13" ht="15">
      <c r="A72" s="9" t="s">
        <v>82</v>
      </c>
      <c r="B72" s="9" t="s">
        <v>4</v>
      </c>
      <c r="C72" s="11">
        <v>2.1</v>
      </c>
      <c r="D72" s="5" t="s">
        <v>83</v>
      </c>
      <c r="E72" s="4"/>
      <c r="F72" s="5"/>
      <c r="G72" s="5"/>
      <c r="H72" s="5"/>
      <c r="I72" s="7"/>
      <c r="J72" s="7"/>
      <c r="K72" s="7"/>
      <c r="L72" s="71"/>
      <c r="M72" s="71"/>
    </row>
    <row r="73" spans="1:13" ht="16.5">
      <c r="A73" s="9" t="s">
        <v>93</v>
      </c>
      <c r="B73" s="16" t="s">
        <v>4</v>
      </c>
      <c r="C73" s="16">
        <f>C72*C32</f>
        <v>8.4</v>
      </c>
      <c r="D73" s="5" t="s">
        <v>0</v>
      </c>
      <c r="E73" s="5"/>
      <c r="F73" s="5"/>
      <c r="G73" s="87"/>
      <c r="H73" s="4"/>
      <c r="I73" s="7"/>
      <c r="J73" s="7"/>
      <c r="K73" s="7"/>
      <c r="L73" s="71"/>
      <c r="M73" s="71"/>
    </row>
    <row r="74" spans="1:13" ht="16.5">
      <c r="A74" s="12" t="s">
        <v>34</v>
      </c>
      <c r="B74" s="16" t="s">
        <v>4</v>
      </c>
      <c r="C74" s="20">
        <f>C33</f>
        <v>4</v>
      </c>
      <c r="D74" s="7" t="s">
        <v>0</v>
      </c>
      <c r="E74" s="7"/>
      <c r="F74" s="7"/>
      <c r="G74" s="7"/>
      <c r="H74" s="7"/>
      <c r="I74" s="7"/>
      <c r="J74" s="7"/>
      <c r="K74" s="7"/>
      <c r="L74" s="71"/>
      <c r="M74" s="71"/>
    </row>
    <row r="75" spans="1:16" ht="18">
      <c r="A75" s="69" t="s">
        <v>35</v>
      </c>
      <c r="B75" s="16" t="s">
        <v>4</v>
      </c>
      <c r="C75" s="20">
        <f>C73*100/C50</f>
        <v>67.35917502091324</v>
      </c>
      <c r="D75" s="7"/>
      <c r="E75" s="7"/>
      <c r="F75" s="7"/>
      <c r="G75" s="7"/>
      <c r="H75" s="7"/>
      <c r="I75" s="7"/>
      <c r="J75" s="7"/>
      <c r="K75" s="7"/>
      <c r="L75" s="71"/>
      <c r="M75" s="71"/>
      <c r="O75" t="s">
        <v>196</v>
      </c>
      <c r="P75">
        <f>IF(AND(C3="A"),1,1.2)</f>
        <v>1</v>
      </c>
    </row>
    <row r="76" spans="1:13" ht="18">
      <c r="A76" s="69" t="s">
        <v>36</v>
      </c>
      <c r="B76" s="16" t="s">
        <v>4</v>
      </c>
      <c r="C76" s="20">
        <f>C74*100/C51</f>
        <v>117.46916590141305</v>
      </c>
      <c r="D76" s="7"/>
      <c r="E76" s="7"/>
      <c r="F76" s="7"/>
      <c r="G76" s="7"/>
      <c r="H76" s="24"/>
      <c r="I76" s="7"/>
      <c r="J76" s="7"/>
      <c r="K76" s="7"/>
      <c r="L76" s="71"/>
      <c r="M76" s="71"/>
    </row>
    <row r="77" spans="1:13" ht="18">
      <c r="A77" s="4"/>
      <c r="B77" s="4"/>
      <c r="C77" s="4"/>
      <c r="D77" s="69" t="s">
        <v>37</v>
      </c>
      <c r="E77" s="12" t="s">
        <v>4</v>
      </c>
      <c r="F77" s="20">
        <f>MAX(C75,C76)</f>
        <v>117.46916590141305</v>
      </c>
      <c r="G77" s="7" t="s">
        <v>38</v>
      </c>
      <c r="H77" s="25" t="str">
        <f>IF(AND(F77&lt;180),"SAFE","Unsafe")</f>
        <v>SAFE</v>
      </c>
      <c r="I77" s="7"/>
      <c r="J77" s="7"/>
      <c r="K77" s="7"/>
      <c r="L77" s="71"/>
      <c r="M77" s="71"/>
    </row>
    <row r="78" spans="1:13" ht="18.75">
      <c r="A78" s="12" t="s">
        <v>294</v>
      </c>
      <c r="B78" s="16" t="s">
        <v>4</v>
      </c>
      <c r="C78" s="16">
        <f>IF(AND(F77&lt;100),(1.4-0.000065*(F77)^2),(7500/(F77)^2))</f>
        <v>0.5435174517242208</v>
      </c>
      <c r="D78" s="7" t="s">
        <v>32</v>
      </c>
      <c r="E78" s="7"/>
      <c r="F78" s="7"/>
      <c r="G78" s="7"/>
      <c r="H78" s="7"/>
      <c r="I78" s="7"/>
      <c r="J78" s="7"/>
      <c r="K78" s="7"/>
      <c r="L78" s="71"/>
      <c r="M78" s="71"/>
    </row>
    <row r="79" spans="1:13" ht="16.5">
      <c r="A79" s="12" t="s">
        <v>295</v>
      </c>
      <c r="B79" s="16" t="s">
        <v>4</v>
      </c>
      <c r="C79" s="20">
        <f>C62/C78</f>
        <v>0.24776974365272778</v>
      </c>
      <c r="D79" s="7"/>
      <c r="E79" s="22"/>
      <c r="F79" s="22"/>
      <c r="G79" s="22"/>
      <c r="H79" s="7"/>
      <c r="I79" s="76"/>
      <c r="J79" s="76"/>
      <c r="K79" s="76"/>
      <c r="L79" s="71"/>
      <c r="M79" s="71"/>
    </row>
    <row r="80" spans="1:13" ht="16.5">
      <c r="A80" s="12" t="s">
        <v>366</v>
      </c>
      <c r="B80" s="16" t="s">
        <v>4</v>
      </c>
      <c r="C80" s="11">
        <v>0.85</v>
      </c>
      <c r="D80" s="7"/>
      <c r="E80" s="22"/>
      <c r="F80" s="22"/>
      <c r="G80" s="22"/>
      <c r="H80" s="7"/>
      <c r="I80" s="76"/>
      <c r="J80" s="76"/>
      <c r="K80" s="76"/>
      <c r="L80" s="71"/>
      <c r="M80" s="71"/>
    </row>
    <row r="81" spans="1:13" ht="16.5">
      <c r="A81" s="12" t="s">
        <v>41</v>
      </c>
      <c r="B81" s="16" t="s">
        <v>4</v>
      </c>
      <c r="C81" s="20">
        <f>IF(AND(C79&lt;0.15),"1.00",MAX(((C80/(1-C62/(7500/(C75)^2)))),1))</f>
        <v>1</v>
      </c>
      <c r="D81" s="4"/>
      <c r="E81" s="4"/>
      <c r="F81" s="4"/>
      <c r="G81" s="4"/>
      <c r="H81" s="4"/>
      <c r="I81" s="76"/>
      <c r="J81" s="76"/>
      <c r="K81" s="76"/>
      <c r="L81" s="71"/>
      <c r="M81" s="71"/>
    </row>
    <row r="82" spans="1:13" ht="16.5">
      <c r="A82" s="12" t="s">
        <v>367</v>
      </c>
      <c r="B82" s="16" t="s">
        <v>4</v>
      </c>
      <c r="C82" s="11">
        <v>1</v>
      </c>
      <c r="D82" s="4"/>
      <c r="E82" s="4"/>
      <c r="F82" s="4"/>
      <c r="G82" s="4"/>
      <c r="H82" s="4"/>
      <c r="I82" s="76"/>
      <c r="J82" s="76"/>
      <c r="K82" s="76"/>
      <c r="L82" s="71"/>
      <c r="M82" s="71"/>
    </row>
    <row r="83" spans="1:13" ht="16.5">
      <c r="A83" s="12" t="s">
        <v>178</v>
      </c>
      <c r="B83" s="16" t="s">
        <v>4</v>
      </c>
      <c r="C83" s="20">
        <f>IF(AND(C79&lt;0.15),"1.00",MAX(((C82/(1-C62/(7500/(C76)^2)))),1))</f>
        <v>1.3293801885287941</v>
      </c>
      <c r="D83" s="7"/>
      <c r="E83" s="9"/>
      <c r="F83" s="16"/>
      <c r="G83" s="4"/>
      <c r="H83" s="7"/>
      <c r="I83" s="77"/>
      <c r="J83" s="77"/>
      <c r="K83" s="77"/>
      <c r="L83" s="71"/>
      <c r="M83" s="71"/>
    </row>
    <row r="84" spans="1:13" ht="15">
      <c r="A84" s="12"/>
      <c r="B84" s="11"/>
      <c r="C84" s="7"/>
      <c r="D84" s="7"/>
      <c r="E84" s="9"/>
      <c r="F84" s="16"/>
      <c r="G84" s="4"/>
      <c r="H84" s="7"/>
      <c r="I84" s="77"/>
      <c r="J84" s="77"/>
      <c r="K84" s="77"/>
      <c r="L84" s="71"/>
      <c r="M84" s="71"/>
    </row>
    <row r="85" spans="1:13" ht="15">
      <c r="A85" s="26" t="s">
        <v>84</v>
      </c>
      <c r="B85" s="5"/>
      <c r="C85" s="4"/>
      <c r="D85" s="4"/>
      <c r="E85" s="9"/>
      <c r="F85" s="16"/>
      <c r="G85" s="4"/>
      <c r="H85" s="7"/>
      <c r="I85" s="77"/>
      <c r="J85" s="77"/>
      <c r="K85" s="77"/>
      <c r="L85" s="71"/>
      <c r="M85" s="71"/>
    </row>
    <row r="86" spans="1:8" ht="15">
      <c r="A86" s="12"/>
      <c r="B86" s="11"/>
      <c r="C86" s="7"/>
      <c r="D86" s="7"/>
      <c r="E86" s="9"/>
      <c r="F86" s="16"/>
      <c r="G86" s="4"/>
      <c r="H86" s="7"/>
    </row>
    <row r="87" spans="1:13" ht="16.5">
      <c r="A87" s="12"/>
      <c r="B87" s="7" t="s">
        <v>296</v>
      </c>
      <c r="D87" s="7"/>
      <c r="E87" s="9"/>
      <c r="F87" s="27">
        <f>C79+(C59/C69)*C81+(C60/C61)*C83</f>
        <v>0.7332602029302495</v>
      </c>
      <c r="G87" s="16" t="s">
        <v>78</v>
      </c>
      <c r="H87" s="129">
        <f>P75</f>
        <v>1</v>
      </c>
      <c r="I87" s="128" t="str">
        <f>IF(AND(F87&lt;P75),"SAFE","Unsafe")</f>
        <v>SAFE</v>
      </c>
      <c r="J87" s="128"/>
      <c r="K87" s="128"/>
      <c r="L87" s="130"/>
      <c r="M87" s="131"/>
    </row>
  </sheetData>
  <sheetProtection/>
  <mergeCells count="5">
    <mergeCell ref="I65:I66"/>
    <mergeCell ref="F68:G68"/>
    <mergeCell ref="A65:A66"/>
    <mergeCell ref="B65:B66"/>
    <mergeCell ref="H65:H66"/>
  </mergeCells>
  <printOptions/>
  <pageMargins left="1.1811023622047245" right="0.11811023622047245" top="0.7086614173228347" bottom="0.984251968503937" header="0.5118110236220472" footer="0.5118110236220472"/>
  <pageSetup horizontalDpi="300" verticalDpi="300" orientation="portrait" paperSize="9" scale="89" r:id="rId5"/>
  <colBreaks count="1" manualBreakCount="1">
    <brk id="11" max="65535" man="1"/>
  </colBreaks>
  <drawing r:id="rId4"/>
  <legacyDrawing r:id="rId3"/>
  <oleObjects>
    <oleObject progId="AutoCAD.Drawing.14" shapeId="112873" r:id="rId1"/>
    <oleObject progId="AutoCAD.Drawing.14" shapeId="57428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73">
      <selection activeCell="E17" sqref="E17"/>
    </sheetView>
  </sheetViews>
  <sheetFormatPr defaultColWidth="9.140625" defaultRowHeight="12.75"/>
  <cols>
    <col min="1" max="1" width="17.140625" style="0" customWidth="1"/>
    <col min="2" max="2" width="15.00390625" style="0" customWidth="1"/>
    <col min="3" max="3" width="11.140625" style="0" customWidth="1"/>
    <col min="5" max="5" width="14.421875" style="0" customWidth="1"/>
    <col min="6" max="6" width="14.7109375" style="0" customWidth="1"/>
    <col min="14" max="14" width="11.8515625" style="0" bestFit="1" customWidth="1"/>
    <col min="17" max="18" width="9.28125" style="0" bestFit="1" customWidth="1"/>
  </cols>
  <sheetData>
    <row r="1" spans="1:12" ht="15">
      <c r="A1" s="22" t="s">
        <v>58</v>
      </c>
      <c r="B1" s="70" t="s">
        <v>198</v>
      </c>
      <c r="C1" s="83"/>
      <c r="D1" s="82"/>
      <c r="E1" s="4"/>
      <c r="F1" s="5"/>
      <c r="G1" s="88"/>
      <c r="H1" s="6"/>
      <c r="I1" s="5"/>
      <c r="J1" s="5"/>
      <c r="K1" s="5"/>
      <c r="L1" s="71"/>
    </row>
    <row r="2" spans="1:13" ht="15">
      <c r="A2" s="4"/>
      <c r="B2" s="5"/>
      <c r="C2" s="4"/>
      <c r="D2" s="4"/>
      <c r="E2" s="4"/>
      <c r="F2" s="4"/>
      <c r="G2" s="4"/>
      <c r="H2" s="4"/>
      <c r="I2" s="7"/>
      <c r="J2" s="7"/>
      <c r="K2" s="7"/>
      <c r="L2" s="71"/>
      <c r="M2" s="71"/>
    </row>
    <row r="3" spans="1:13" ht="14.25">
      <c r="A3" s="22" t="s">
        <v>9</v>
      </c>
      <c r="B3" s="70" t="s">
        <v>197</v>
      </c>
      <c r="C3" s="127" t="s">
        <v>45</v>
      </c>
      <c r="D3" s="83"/>
      <c r="E3" s="83"/>
      <c r="F3" s="83"/>
      <c r="G3" s="83"/>
      <c r="H3" s="83"/>
      <c r="L3" s="71"/>
      <c r="M3" s="71"/>
    </row>
    <row r="4" spans="1:12" ht="12.75">
      <c r="A4" s="83"/>
      <c r="B4" s="83"/>
      <c r="C4" s="83"/>
      <c r="D4" s="83"/>
      <c r="E4" s="83"/>
      <c r="F4" s="83"/>
      <c r="G4" s="83"/>
      <c r="H4" s="83"/>
      <c r="L4" s="71"/>
    </row>
    <row r="5" spans="1:12" ht="15">
      <c r="A5" s="22" t="s">
        <v>13</v>
      </c>
      <c r="B5" s="84"/>
      <c r="C5" s="4"/>
      <c r="D5" s="4"/>
      <c r="E5" s="85"/>
      <c r="F5" s="8"/>
      <c r="G5" s="8"/>
      <c r="H5" s="8"/>
      <c r="I5" s="7"/>
      <c r="J5" s="7"/>
      <c r="K5" s="7"/>
      <c r="L5" s="71"/>
    </row>
    <row r="6" spans="1:12" ht="16.5">
      <c r="A6" s="9" t="s">
        <v>179</v>
      </c>
      <c r="B6" s="10" t="s">
        <v>4</v>
      </c>
      <c r="C6" s="11">
        <v>0</v>
      </c>
      <c r="D6" s="4" t="s">
        <v>15</v>
      </c>
      <c r="E6" s="8"/>
      <c r="F6" s="8"/>
      <c r="G6" s="8"/>
      <c r="H6" s="8"/>
      <c r="I6" s="7"/>
      <c r="J6" s="7"/>
      <c r="K6" s="7"/>
      <c r="L6" s="71"/>
    </row>
    <row r="7" spans="1:13" ht="15">
      <c r="A7" s="9" t="s">
        <v>80</v>
      </c>
      <c r="B7" s="10" t="s">
        <v>4</v>
      </c>
      <c r="C7" s="11">
        <v>64.3</v>
      </c>
      <c r="D7" s="4" t="s">
        <v>6</v>
      </c>
      <c r="E7" s="8"/>
      <c r="F7" s="8"/>
      <c r="G7" s="8"/>
      <c r="H7" s="8"/>
      <c r="I7" s="7"/>
      <c r="J7" s="7"/>
      <c r="K7" s="7"/>
      <c r="L7" s="71"/>
      <c r="M7" s="71"/>
    </row>
    <row r="8" spans="1:13" ht="16.5">
      <c r="A8" s="9" t="s">
        <v>180</v>
      </c>
      <c r="B8" s="10" t="s">
        <v>4</v>
      </c>
      <c r="C8" s="11">
        <v>14.65</v>
      </c>
      <c r="D8" s="4" t="s">
        <v>15</v>
      </c>
      <c r="E8" s="8"/>
      <c r="F8" s="8"/>
      <c r="G8" s="8"/>
      <c r="H8" s="8"/>
      <c r="I8" s="7"/>
      <c r="J8" s="7"/>
      <c r="K8" s="7"/>
      <c r="L8" s="71"/>
      <c r="M8" s="71"/>
    </row>
    <row r="9" spans="1:13" ht="16.5">
      <c r="A9" s="10" t="s">
        <v>177</v>
      </c>
      <c r="B9" s="10" t="s">
        <v>4</v>
      </c>
      <c r="C9" s="11">
        <v>21.5</v>
      </c>
      <c r="D9" s="4" t="s">
        <v>15</v>
      </c>
      <c r="E9" s="5"/>
      <c r="F9" s="5"/>
      <c r="G9" s="5"/>
      <c r="H9" s="5"/>
      <c r="I9" s="5"/>
      <c r="J9" s="5"/>
      <c r="K9" s="5"/>
      <c r="L9" s="71"/>
      <c r="M9" s="71"/>
    </row>
    <row r="10" spans="1:13" ht="1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71"/>
      <c r="M10" s="71"/>
    </row>
    <row r="11" spans="1:13" ht="15">
      <c r="A11" s="47" t="s">
        <v>102</v>
      </c>
      <c r="B11" s="16"/>
      <c r="C11" s="4"/>
      <c r="D11" s="4"/>
      <c r="E11" s="4"/>
      <c r="F11" s="5"/>
      <c r="G11" s="5"/>
      <c r="H11" s="8"/>
      <c r="I11" s="7"/>
      <c r="J11" s="7"/>
      <c r="K11" s="7"/>
      <c r="L11" s="71"/>
      <c r="M11" s="71"/>
    </row>
    <row r="12" spans="1:13" ht="15">
      <c r="A12" s="10" t="s">
        <v>19</v>
      </c>
      <c r="B12" s="13" t="s">
        <v>255</v>
      </c>
      <c r="C12" s="5"/>
      <c r="D12" s="5"/>
      <c r="E12" s="4"/>
      <c r="F12" s="4"/>
      <c r="G12" s="4"/>
      <c r="H12" s="4"/>
      <c r="I12" s="5"/>
      <c r="J12" s="5"/>
      <c r="K12" s="5"/>
      <c r="L12" s="71"/>
      <c r="M12" s="71"/>
    </row>
    <row r="13" spans="1:13" ht="16.5">
      <c r="A13" s="9" t="s">
        <v>86</v>
      </c>
      <c r="B13" s="10" t="s">
        <v>4</v>
      </c>
      <c r="C13" s="15">
        <v>220</v>
      </c>
      <c r="D13" s="4" t="s">
        <v>8</v>
      </c>
      <c r="E13" s="9"/>
      <c r="F13" s="4"/>
      <c r="G13" s="4"/>
      <c r="H13" s="4"/>
      <c r="I13" s="5"/>
      <c r="J13" s="5"/>
      <c r="K13" s="5"/>
      <c r="L13" s="71"/>
      <c r="M13" s="71"/>
    </row>
    <row r="14" spans="1:13" ht="16.5">
      <c r="A14" s="9" t="s">
        <v>87</v>
      </c>
      <c r="B14" s="10" t="s">
        <v>4</v>
      </c>
      <c r="C14" s="15">
        <v>19</v>
      </c>
      <c r="D14" s="4" t="s">
        <v>8</v>
      </c>
      <c r="E14" s="9"/>
      <c r="F14" s="9"/>
      <c r="G14" s="86"/>
      <c r="H14" s="4"/>
      <c r="I14" s="5"/>
      <c r="J14" s="5"/>
      <c r="K14" s="5"/>
      <c r="L14" s="71"/>
      <c r="M14" s="71"/>
    </row>
    <row r="15" spans="1:13" ht="16.5">
      <c r="A15" s="9" t="s">
        <v>88</v>
      </c>
      <c r="B15" s="10" t="s">
        <v>4</v>
      </c>
      <c r="C15" s="15">
        <v>562</v>
      </c>
      <c r="D15" s="4" t="s">
        <v>8</v>
      </c>
      <c r="E15" s="9"/>
      <c r="F15" s="9"/>
      <c r="G15" s="9"/>
      <c r="H15" s="4"/>
      <c r="I15" s="5"/>
      <c r="J15" s="5"/>
      <c r="K15" s="5"/>
      <c r="L15" s="71"/>
      <c r="M15" s="71"/>
    </row>
    <row r="16" spans="1:13" ht="16.5">
      <c r="A16" s="9" t="s">
        <v>89</v>
      </c>
      <c r="B16" s="10" t="s">
        <v>4</v>
      </c>
      <c r="C16" s="15">
        <v>12</v>
      </c>
      <c r="D16" s="4" t="s">
        <v>8</v>
      </c>
      <c r="E16" s="4"/>
      <c r="F16" s="9"/>
      <c r="G16" s="9"/>
      <c r="H16" s="4"/>
      <c r="I16" s="7"/>
      <c r="J16" s="7"/>
      <c r="K16" s="7"/>
      <c r="L16" s="71"/>
      <c r="M16" s="71"/>
    </row>
    <row r="17" spans="1:18" ht="16.5">
      <c r="A17" s="9" t="s">
        <v>90</v>
      </c>
      <c r="B17" s="10" t="s">
        <v>4</v>
      </c>
      <c r="C17" s="15">
        <v>220</v>
      </c>
      <c r="D17" s="4" t="s">
        <v>8</v>
      </c>
      <c r="E17" s="4"/>
      <c r="F17" s="4"/>
      <c r="G17" s="4"/>
      <c r="H17" s="4"/>
      <c r="I17" s="7"/>
      <c r="J17" s="7"/>
      <c r="K17" s="7"/>
      <c r="L17" s="71"/>
      <c r="P17" s="72" t="s">
        <v>20</v>
      </c>
      <c r="Q17" s="73">
        <f>(C14/10+C15/10+C18/10-C44)</f>
        <v>30.000000000000004</v>
      </c>
      <c r="R17" t="s">
        <v>21</v>
      </c>
    </row>
    <row r="18" spans="1:18" ht="16.5">
      <c r="A18" s="9" t="s">
        <v>91</v>
      </c>
      <c r="B18" s="10" t="s">
        <v>4</v>
      </c>
      <c r="C18" s="15">
        <v>19</v>
      </c>
      <c r="D18" s="4" t="s">
        <v>8</v>
      </c>
      <c r="E18" s="4"/>
      <c r="F18" s="4"/>
      <c r="G18" s="4"/>
      <c r="H18" s="4"/>
      <c r="I18" s="7"/>
      <c r="J18" s="7"/>
      <c r="K18" s="7"/>
      <c r="L18" s="71"/>
      <c r="M18" s="71"/>
      <c r="P18" s="72" t="s">
        <v>191</v>
      </c>
      <c r="Q18" s="126">
        <f>C17/20-C45</f>
        <v>0</v>
      </c>
      <c r="R18" t="s">
        <v>21</v>
      </c>
    </row>
    <row r="19" spans="1:18" ht="15">
      <c r="A19" s="65" t="s">
        <v>181</v>
      </c>
      <c r="B19" s="83"/>
      <c r="C19" s="91"/>
      <c r="D19" s="83"/>
      <c r="E19" s="4"/>
      <c r="F19" s="4"/>
      <c r="G19" s="4"/>
      <c r="H19" s="4"/>
      <c r="I19" s="5"/>
      <c r="J19" s="5"/>
      <c r="K19" s="5"/>
      <c r="L19" s="71"/>
      <c r="M19" s="71"/>
      <c r="P19" s="72" t="s">
        <v>192</v>
      </c>
      <c r="Q19" s="109">
        <f>C22/10+C16/20+C27/10-Q18</f>
        <v>28.1</v>
      </c>
      <c r="R19" t="s">
        <v>21</v>
      </c>
    </row>
    <row r="20" spans="1:18" ht="16.5">
      <c r="A20" s="65" t="s">
        <v>182</v>
      </c>
      <c r="B20" s="10" t="s">
        <v>4</v>
      </c>
      <c r="C20" s="15">
        <v>257.8</v>
      </c>
      <c r="D20" s="4" t="s">
        <v>8</v>
      </c>
      <c r="E20" s="4"/>
      <c r="F20" s="4"/>
      <c r="G20" s="4"/>
      <c r="H20" s="4"/>
      <c r="I20" s="5"/>
      <c r="J20" s="5"/>
      <c r="K20" s="5"/>
      <c r="L20" s="71"/>
      <c r="M20" s="71"/>
      <c r="P20" s="72" t="s">
        <v>193</v>
      </c>
      <c r="Q20" s="109">
        <f>C17/20+Q18</f>
        <v>11</v>
      </c>
      <c r="R20" t="s">
        <v>21</v>
      </c>
    </row>
    <row r="21" spans="1:18" ht="16.5">
      <c r="A21" s="65" t="s">
        <v>183</v>
      </c>
      <c r="B21" s="10" t="s">
        <v>4</v>
      </c>
      <c r="C21" s="15">
        <v>11.1</v>
      </c>
      <c r="D21" s="4" t="s">
        <v>8</v>
      </c>
      <c r="E21" s="4"/>
      <c r="F21" s="4"/>
      <c r="G21" s="4"/>
      <c r="H21" s="4"/>
      <c r="I21" s="5"/>
      <c r="J21" s="5"/>
      <c r="K21" s="5"/>
      <c r="L21" s="71"/>
      <c r="M21" s="71"/>
      <c r="P21" s="72" t="s">
        <v>194</v>
      </c>
      <c r="Q21" s="109">
        <f>C20/10+C16/20+C25/10+Q18</f>
        <v>28.1</v>
      </c>
      <c r="R21" t="s">
        <v>21</v>
      </c>
    </row>
    <row r="22" spans="1:18" ht="16.5">
      <c r="A22" s="65" t="s">
        <v>184</v>
      </c>
      <c r="B22" s="10" t="s">
        <v>4</v>
      </c>
      <c r="C22" s="15">
        <v>257.8</v>
      </c>
      <c r="D22" s="4" t="s">
        <v>8</v>
      </c>
      <c r="E22" s="4"/>
      <c r="F22" s="4"/>
      <c r="G22" s="4"/>
      <c r="H22" s="4"/>
      <c r="I22" s="5"/>
      <c r="J22" s="5"/>
      <c r="K22" s="5"/>
      <c r="L22" s="71"/>
      <c r="M22" s="71"/>
      <c r="P22" s="72" t="s">
        <v>195</v>
      </c>
      <c r="Q22" s="109">
        <f>MAX(Q18:Q19:Q20:Q21)</f>
        <v>28.1</v>
      </c>
      <c r="R22" t="s">
        <v>21</v>
      </c>
    </row>
    <row r="23" spans="1:13" ht="16.5">
      <c r="A23" s="65" t="s">
        <v>185</v>
      </c>
      <c r="B23" s="10" t="s">
        <v>4</v>
      </c>
      <c r="C23" s="15">
        <v>11.1</v>
      </c>
      <c r="D23" s="4" t="s">
        <v>8</v>
      </c>
      <c r="E23" s="4"/>
      <c r="F23" s="4"/>
      <c r="G23" s="4"/>
      <c r="H23" s="4"/>
      <c r="I23" s="5"/>
      <c r="J23" s="5"/>
      <c r="K23" s="5"/>
      <c r="L23" s="71"/>
      <c r="M23" s="71"/>
    </row>
    <row r="24" spans="1:13" ht="16.5">
      <c r="A24" s="65" t="s">
        <v>186</v>
      </c>
      <c r="B24" s="10" t="s">
        <v>4</v>
      </c>
      <c r="C24" s="15">
        <v>210</v>
      </c>
      <c r="D24" s="4" t="s">
        <v>8</v>
      </c>
      <c r="E24" s="4"/>
      <c r="F24" s="4"/>
      <c r="G24" s="4"/>
      <c r="H24" s="4"/>
      <c r="I24" s="5"/>
      <c r="J24" s="5"/>
      <c r="K24" s="5"/>
      <c r="L24" s="71"/>
      <c r="M24" s="71"/>
    </row>
    <row r="25" spans="1:13" ht="16.5">
      <c r="A25" s="65" t="s">
        <v>187</v>
      </c>
      <c r="B25" s="10" t="s">
        <v>4</v>
      </c>
      <c r="C25" s="15">
        <v>17.2</v>
      </c>
      <c r="D25" s="4" t="s">
        <v>8</v>
      </c>
      <c r="E25" s="4"/>
      <c r="F25" s="4"/>
      <c r="G25" s="4"/>
      <c r="H25" s="4"/>
      <c r="I25" s="5"/>
      <c r="J25" s="5"/>
      <c r="K25" s="5"/>
      <c r="L25" s="71"/>
      <c r="M25" s="71"/>
    </row>
    <row r="26" spans="1:13" ht="16.5">
      <c r="A26" s="65" t="s">
        <v>188</v>
      </c>
      <c r="B26" s="10" t="s">
        <v>4</v>
      </c>
      <c r="C26" s="15">
        <v>210</v>
      </c>
      <c r="D26" s="4" t="s">
        <v>8</v>
      </c>
      <c r="E26" s="4"/>
      <c r="F26" s="4"/>
      <c r="G26" s="4"/>
      <c r="H26" s="4"/>
      <c r="I26" s="5"/>
      <c r="J26" s="5"/>
      <c r="K26" s="5"/>
      <c r="L26" s="71"/>
      <c r="M26" s="71"/>
    </row>
    <row r="27" spans="1:13" ht="16.5">
      <c r="A27" s="65" t="s">
        <v>189</v>
      </c>
      <c r="B27" s="10" t="s">
        <v>4</v>
      </c>
      <c r="C27" s="15">
        <v>17.2</v>
      </c>
      <c r="D27" s="4" t="s">
        <v>8</v>
      </c>
      <c r="E27" s="4"/>
      <c r="F27" s="4"/>
      <c r="G27" s="4"/>
      <c r="H27" s="4"/>
      <c r="I27" s="5"/>
      <c r="J27" s="5"/>
      <c r="K27" s="5"/>
      <c r="L27" s="71"/>
      <c r="M27" s="71"/>
    </row>
    <row r="28" spans="1:13" ht="15">
      <c r="A28" s="65"/>
      <c r="B28" s="83"/>
      <c r="C28" s="91"/>
      <c r="D28" s="83"/>
      <c r="E28" s="4"/>
      <c r="F28" s="4"/>
      <c r="G28" s="4"/>
      <c r="H28" s="4"/>
      <c r="I28" s="5"/>
      <c r="J28" s="5"/>
      <c r="K28" s="5"/>
      <c r="L28" s="71"/>
      <c r="M28" s="71"/>
    </row>
    <row r="29" spans="1:13" ht="15">
      <c r="A29" s="47" t="s">
        <v>103</v>
      </c>
      <c r="B29" s="16"/>
      <c r="C29" s="91"/>
      <c r="D29" s="83"/>
      <c r="E29" s="4"/>
      <c r="F29" s="4"/>
      <c r="G29" s="4"/>
      <c r="H29" s="4"/>
      <c r="I29" s="5"/>
      <c r="J29" s="5"/>
      <c r="K29" s="5"/>
      <c r="L29" s="71"/>
      <c r="M29" s="71"/>
    </row>
    <row r="30" spans="1:13" ht="15">
      <c r="A30" s="5" t="s">
        <v>118</v>
      </c>
      <c r="B30" s="5"/>
      <c r="C30" s="11">
        <v>5</v>
      </c>
      <c r="D30" s="85" t="s">
        <v>0</v>
      </c>
      <c r="E30" s="4"/>
      <c r="F30" s="4"/>
      <c r="G30" s="4"/>
      <c r="H30" s="4"/>
      <c r="I30" s="5"/>
      <c r="J30" s="5"/>
      <c r="K30" s="5"/>
      <c r="L30" s="71"/>
      <c r="M30" s="71"/>
    </row>
    <row r="31" spans="1:13" ht="15">
      <c r="A31" s="36" t="s">
        <v>120</v>
      </c>
      <c r="B31" s="85"/>
      <c r="C31" s="11">
        <v>1</v>
      </c>
      <c r="D31" s="85" t="s">
        <v>0</v>
      </c>
      <c r="E31" s="4"/>
      <c r="F31" s="4"/>
      <c r="G31" s="4"/>
      <c r="H31" s="4"/>
      <c r="I31" s="5"/>
      <c r="J31" s="5"/>
      <c r="K31" s="5"/>
      <c r="L31" s="71"/>
      <c r="M31" s="71"/>
    </row>
    <row r="32" spans="1:13" ht="15">
      <c r="A32" s="4" t="s">
        <v>105</v>
      </c>
      <c r="B32" s="64"/>
      <c r="C32" s="11">
        <v>5</v>
      </c>
      <c r="D32" s="85" t="s">
        <v>0</v>
      </c>
      <c r="E32" s="5"/>
      <c r="F32" s="5"/>
      <c r="G32" s="5"/>
      <c r="H32" s="5"/>
      <c r="I32" s="5"/>
      <c r="J32" s="5"/>
      <c r="K32" s="5"/>
      <c r="L32" s="71"/>
      <c r="M32" s="71"/>
    </row>
    <row r="33" spans="1:13" ht="15">
      <c r="A33" s="4" t="s">
        <v>106</v>
      </c>
      <c r="B33" s="64"/>
      <c r="C33" s="11">
        <v>11</v>
      </c>
      <c r="D33" s="85" t="s">
        <v>0</v>
      </c>
      <c r="E33" s="5"/>
      <c r="F33" s="5"/>
      <c r="G33" s="5"/>
      <c r="H33" s="5"/>
      <c r="I33" s="5"/>
      <c r="J33" s="5"/>
      <c r="K33" s="5"/>
      <c r="L33" s="71"/>
      <c r="M33" s="71"/>
    </row>
    <row r="34" spans="1:13" ht="15">
      <c r="A34" s="5" t="s">
        <v>119</v>
      </c>
      <c r="B34" s="14"/>
      <c r="C34" s="11">
        <v>6</v>
      </c>
      <c r="D34" s="85" t="s">
        <v>0</v>
      </c>
      <c r="E34" s="5"/>
      <c r="F34" s="5"/>
      <c r="G34" s="5"/>
      <c r="H34" s="5"/>
      <c r="I34" s="7"/>
      <c r="J34" s="7"/>
      <c r="K34" s="7"/>
      <c r="L34" s="71"/>
      <c r="M34" s="71"/>
    </row>
    <row r="35" spans="1:13" ht="18">
      <c r="A35" s="17" t="s">
        <v>290</v>
      </c>
      <c r="B35" s="14"/>
      <c r="C35" s="46">
        <v>44333</v>
      </c>
      <c r="D35" s="4" t="s">
        <v>76</v>
      </c>
      <c r="E35" s="5"/>
      <c r="F35" s="5"/>
      <c r="G35" s="5"/>
      <c r="H35" s="5"/>
      <c r="I35" s="7"/>
      <c r="J35" s="7"/>
      <c r="K35" s="7"/>
      <c r="L35" s="71"/>
      <c r="M35" s="71"/>
    </row>
    <row r="36" spans="1:13" ht="15">
      <c r="A36" s="9"/>
      <c r="B36" s="16"/>
      <c r="C36" s="4"/>
      <c r="D36" s="4"/>
      <c r="E36" s="83"/>
      <c r="F36" s="83"/>
      <c r="G36" s="83"/>
      <c r="H36" s="83"/>
      <c r="I36" s="7"/>
      <c r="J36" s="7"/>
      <c r="K36" s="7"/>
      <c r="L36" s="71"/>
      <c r="M36" s="71"/>
    </row>
    <row r="37" spans="1:13" ht="15">
      <c r="A37" s="95" t="s">
        <v>104</v>
      </c>
      <c r="B37" s="5"/>
      <c r="C37" s="5"/>
      <c r="E37" s="83"/>
      <c r="F37" s="83"/>
      <c r="G37" s="83"/>
      <c r="H37" s="83"/>
      <c r="I37" s="7"/>
      <c r="J37" s="7"/>
      <c r="K37" s="7"/>
      <c r="L37" s="71"/>
      <c r="M37" s="71"/>
    </row>
    <row r="38" spans="1:13" ht="16.5">
      <c r="A38" s="5" t="s">
        <v>110</v>
      </c>
      <c r="B38" s="5"/>
      <c r="C38" s="11">
        <v>0</v>
      </c>
      <c r="D38" s="85" t="s">
        <v>0</v>
      </c>
      <c r="E38" s="83"/>
      <c r="F38" s="83"/>
      <c r="G38" s="83"/>
      <c r="H38" s="83"/>
      <c r="I38" s="7"/>
      <c r="J38" s="7"/>
      <c r="K38" s="7"/>
      <c r="L38" s="71"/>
      <c r="M38" s="74"/>
    </row>
    <row r="39" spans="1:13" ht="15">
      <c r="A39" s="5" t="s">
        <v>117</v>
      </c>
      <c r="B39" s="5"/>
      <c r="C39" s="11">
        <v>0</v>
      </c>
      <c r="D39" s="85" t="s">
        <v>0</v>
      </c>
      <c r="E39" s="83"/>
      <c r="F39" s="83"/>
      <c r="G39" s="83"/>
      <c r="H39" s="83"/>
      <c r="I39" s="7"/>
      <c r="J39" s="7"/>
      <c r="K39" s="7"/>
      <c r="L39" s="71"/>
      <c r="M39" s="71"/>
    </row>
    <row r="40" spans="5:13" ht="15">
      <c r="E40" s="83"/>
      <c r="F40" s="83"/>
      <c r="G40" s="83"/>
      <c r="H40" s="83"/>
      <c r="I40" s="7"/>
      <c r="J40" s="7"/>
      <c r="K40" s="7"/>
      <c r="L40" s="71"/>
      <c r="M40" s="71"/>
    </row>
    <row r="41" spans="1:13" ht="15">
      <c r="A41" s="47" t="s">
        <v>26</v>
      </c>
      <c r="B41" s="16"/>
      <c r="C41" s="4"/>
      <c r="D41" s="4"/>
      <c r="E41" s="83"/>
      <c r="F41" s="83"/>
      <c r="G41" s="83"/>
      <c r="H41" s="83"/>
      <c r="I41" s="7"/>
      <c r="J41" s="7"/>
      <c r="K41" s="7"/>
      <c r="L41" s="71"/>
      <c r="M41" s="71"/>
    </row>
    <row r="42" spans="1:13" ht="15">
      <c r="A42" s="10"/>
      <c r="B42" s="10"/>
      <c r="C42" s="19"/>
      <c r="D42" s="5"/>
      <c r="E42" s="83"/>
      <c r="F42" s="83"/>
      <c r="G42" s="83"/>
      <c r="H42" s="83"/>
      <c r="I42" s="7"/>
      <c r="J42" s="7"/>
      <c r="K42" s="7"/>
      <c r="L42" s="71"/>
      <c r="M42" s="71"/>
    </row>
    <row r="43" spans="1:13" ht="18">
      <c r="A43" s="9" t="s">
        <v>28</v>
      </c>
      <c r="B43" s="10" t="s">
        <v>4</v>
      </c>
      <c r="C43" s="16">
        <f>(C13*C14+C15*C16+C17*C18+C24*C25+C20*C21+C22*C23+C26*C27)/100</f>
        <v>280.51160000000004</v>
      </c>
      <c r="D43" s="4" t="s">
        <v>55</v>
      </c>
      <c r="I43" s="7"/>
      <c r="J43" s="7"/>
      <c r="K43" s="7"/>
      <c r="L43" s="71"/>
      <c r="M43" s="71"/>
    </row>
    <row r="44" spans="1:13" ht="18" customHeight="1">
      <c r="A44" s="10" t="s">
        <v>27</v>
      </c>
      <c r="B44" s="10" t="s">
        <v>4</v>
      </c>
      <c r="C44" s="19">
        <f>((C13*C14*(C18+C15+C14/2)+C15*C16*(C18+C15/2)+C17*C18*C18/2)+((C24*C25+C20*C21+C22*C23+C26*C27)*(C15/2+C18)))/(C43*1000)</f>
        <v>29.999999999999996</v>
      </c>
      <c r="D44" s="5" t="s">
        <v>21</v>
      </c>
      <c r="I44" s="7"/>
      <c r="J44" s="7"/>
      <c r="K44" s="7"/>
      <c r="L44" s="71"/>
      <c r="M44" s="71"/>
    </row>
    <row r="45" spans="1:13" ht="18" customHeight="1">
      <c r="A45" s="10" t="s">
        <v>190</v>
      </c>
      <c r="B45" s="10" t="s">
        <v>4</v>
      </c>
      <c r="C45" s="19">
        <f>((C13*C14+C18*C17+C15*C16)*C17/2+C20*C21*(C17/2+C16/2+C20/2)+C22*C23*(C17/2-C16/2-C22/2)+C24*C25*(C17/2+C16/2+C20+C25/2)+C26*C27*(C17/2-C16/2-C22-C27/2))/(1000*C43)</f>
        <v>10.999999999999996</v>
      </c>
      <c r="D45" s="5" t="s">
        <v>21</v>
      </c>
      <c r="I45" s="7"/>
      <c r="J45" s="7"/>
      <c r="K45" s="7"/>
      <c r="L45" s="71"/>
      <c r="M45" s="71"/>
    </row>
    <row r="46" spans="1:13" ht="18.75">
      <c r="A46" s="9" t="s">
        <v>278</v>
      </c>
      <c r="B46" s="10" t="s">
        <v>4</v>
      </c>
      <c r="C46" s="16">
        <f>((C16*C15^3/12)+(C13*C14^3/12+C13*C14*(C14+C15+C18-C44*10-C14/2)^2)+(C17*C18^3/12+C17*C18*(C44*10-C18/2)^2))/10000+(C25*C24^3/12+C25*C24*(C15/2+C18-C44*10)^2+C27*C26^3/12+C26*C27*(C15/2+C18-C44*10)^2+(C22*C23+C20*C21)*(C15/2+C18-C44*10)^2)/10000</f>
        <v>90980.65146666666</v>
      </c>
      <c r="D46" s="4" t="s">
        <v>76</v>
      </c>
      <c r="I46" s="7"/>
      <c r="J46" s="7"/>
      <c r="K46" s="7"/>
      <c r="L46" s="71"/>
      <c r="M46" s="71"/>
    </row>
    <row r="47" spans="1:13" ht="18.75">
      <c r="A47" s="9" t="s">
        <v>279</v>
      </c>
      <c r="B47" s="10" t="s">
        <v>4</v>
      </c>
      <c r="C47" s="16">
        <f>((C15*C16^3/12)+C15*C16*(C17/2-C45*10)^2+(C14*C13^3/12)+C14*C13*(C17/2-C45*10)^2+(C18*C17^3/12)+C17*C18*(C17/2-C45*10)^2)/10000+(C24*C25*(C17/2+C16/2+C20+C25/2-C45*10)^2+C26*C27*(C17/2+C16/2-C22-C27/2-C45*10)^2+C21*C20^3/12+C20*C21*(C17/2+C16/2+C20/2-C45*10)^2+C22*C23*(C17/2-C16/2-C22/2-C45*10)^2+C23*C22^3/12)/10000</f>
        <v>68258.67170394667</v>
      </c>
      <c r="D47" s="4" t="s">
        <v>76</v>
      </c>
      <c r="I47" s="7"/>
      <c r="J47" s="7"/>
      <c r="K47" s="7"/>
      <c r="L47" s="71"/>
      <c r="M47" s="71"/>
    </row>
    <row r="48" spans="1:13" ht="18.75">
      <c r="A48" s="10" t="s">
        <v>280</v>
      </c>
      <c r="B48" s="10" t="s">
        <v>4</v>
      </c>
      <c r="C48" s="10">
        <f>C46/(MAX(C44,Q17))</f>
        <v>3032.6883822222217</v>
      </c>
      <c r="D48" s="4" t="s">
        <v>56</v>
      </c>
      <c r="I48" s="7"/>
      <c r="J48" s="7"/>
      <c r="K48" s="7"/>
      <c r="L48" s="71"/>
      <c r="M48" s="71"/>
    </row>
    <row r="49" spans="1:13" ht="18.75">
      <c r="A49" s="10" t="s">
        <v>291</v>
      </c>
      <c r="B49" s="10" t="s">
        <v>4</v>
      </c>
      <c r="C49" s="10">
        <f>C47/Q22</f>
        <v>2429.1342243397394</v>
      </c>
      <c r="D49" s="4" t="s">
        <v>56</v>
      </c>
      <c r="I49" s="7"/>
      <c r="J49" s="7"/>
      <c r="K49" s="7"/>
      <c r="L49" s="71"/>
      <c r="M49" s="71"/>
    </row>
    <row r="50" spans="1:15" ht="16.5">
      <c r="A50" s="9" t="s">
        <v>281</v>
      </c>
      <c r="B50" s="10" t="s">
        <v>4</v>
      </c>
      <c r="C50" s="16">
        <f>(C46/C43)^0.5</f>
        <v>18.009394373859415</v>
      </c>
      <c r="D50" s="4" t="s">
        <v>21</v>
      </c>
      <c r="E50" s="83"/>
      <c r="F50" s="83"/>
      <c r="G50" s="83"/>
      <c r="H50" s="83"/>
      <c r="I50" s="7"/>
      <c r="J50" s="7"/>
      <c r="K50" s="7"/>
      <c r="L50" t="s">
        <v>270</v>
      </c>
      <c r="M50">
        <f>0.5*(C7*100/(2.4*C15*C16)+1)</f>
        <v>0.6986333531039937</v>
      </c>
      <c r="N50" s="143" t="s">
        <v>267</v>
      </c>
      <c r="O50" s="143">
        <f>-C62+C59</f>
        <v>-0.22922403208993847</v>
      </c>
    </row>
    <row r="51" spans="1:15" ht="16.5">
      <c r="A51" s="9" t="s">
        <v>282</v>
      </c>
      <c r="B51" s="10" t="s">
        <v>4</v>
      </c>
      <c r="C51" s="16">
        <f>(C47/C43)^0.5</f>
        <v>15.599242291824194</v>
      </c>
      <c r="D51" s="4" t="s">
        <v>21</v>
      </c>
      <c r="E51" s="83"/>
      <c r="F51" s="83"/>
      <c r="G51" s="83"/>
      <c r="H51" s="83"/>
      <c r="I51" s="7"/>
      <c r="J51" s="7"/>
      <c r="K51" s="7"/>
      <c r="N51" s="143" t="s">
        <v>268</v>
      </c>
      <c r="O51" s="143">
        <f>-C62-C59</f>
        <v>-0.22922403208993847</v>
      </c>
    </row>
    <row r="52" spans="1:15" ht="15">
      <c r="A52" s="22"/>
      <c r="B52" s="22"/>
      <c r="C52" s="22"/>
      <c r="D52" s="4"/>
      <c r="E52" s="83"/>
      <c r="F52" s="83"/>
      <c r="G52" s="83"/>
      <c r="H52" s="83"/>
      <c r="I52" s="7"/>
      <c r="J52" s="7"/>
      <c r="K52" s="7"/>
      <c r="N52" s="143" t="s">
        <v>269</v>
      </c>
      <c r="O52" s="71">
        <f>O50/O51</f>
        <v>1</v>
      </c>
    </row>
    <row r="53" spans="1:14" ht="15">
      <c r="A53" s="47" t="s">
        <v>260</v>
      </c>
      <c r="B53" s="22"/>
      <c r="C53" s="22"/>
      <c r="D53" s="4"/>
      <c r="E53" s="83"/>
      <c r="F53" s="83"/>
      <c r="G53" s="83"/>
      <c r="H53" s="83"/>
      <c r="I53" s="7"/>
      <c r="J53" s="7"/>
      <c r="K53" s="7" t="s">
        <v>302</v>
      </c>
      <c r="L53" s="143" t="s">
        <v>262</v>
      </c>
      <c r="M53" s="143" t="s">
        <v>263</v>
      </c>
      <c r="N53" s="109" t="s">
        <v>264</v>
      </c>
    </row>
    <row r="54" spans="1:17" ht="16.5">
      <c r="A54" s="120" t="s">
        <v>271</v>
      </c>
      <c r="B54" s="120" t="s">
        <v>4</v>
      </c>
      <c r="C54" s="120">
        <f>(C15-2*C14)/(2*C16)</f>
        <v>21.833333333333332</v>
      </c>
      <c r="D54" s="4"/>
      <c r="E54" s="120" t="s">
        <v>271</v>
      </c>
      <c r="F54" s="120" t="s">
        <v>4</v>
      </c>
      <c r="G54" s="120">
        <f>MAX(T60,T61)</f>
        <v>23.225225225225227</v>
      </c>
      <c r="H54" s="83"/>
      <c r="I54" s="7"/>
      <c r="J54" s="7"/>
      <c r="K54" s="7" t="s">
        <v>298</v>
      </c>
      <c r="L54" s="143">
        <v>37.4</v>
      </c>
      <c r="M54" s="143">
        <v>41.3</v>
      </c>
      <c r="N54" s="109">
        <f>M54</f>
        <v>41.3</v>
      </c>
      <c r="O54" s="109">
        <f>IF(C54&lt;=L54,1,0)</f>
        <v>1</v>
      </c>
      <c r="P54" s="109">
        <f>IF(C54&lt;=M54,1,0)</f>
        <v>1</v>
      </c>
      <c r="Q54" s="109">
        <f>IF(C54&lt;=N54,1,0)</f>
        <v>1</v>
      </c>
    </row>
    <row r="55" spans="1:17" ht="16.5">
      <c r="A55" s="120" t="s">
        <v>272</v>
      </c>
      <c r="B55" s="120" t="s">
        <v>4</v>
      </c>
      <c r="C55" s="120">
        <f>(C13/(2*C14))</f>
        <v>5.7894736842105265</v>
      </c>
      <c r="D55" s="4"/>
      <c r="E55" s="120" t="s">
        <v>272</v>
      </c>
      <c r="F55" s="120" t="s">
        <v>4</v>
      </c>
      <c r="G55" s="120">
        <f>MAX(V60,V61)</f>
        <v>6.104651162790698</v>
      </c>
      <c r="H55" s="83"/>
      <c r="I55" s="7"/>
      <c r="J55" s="7"/>
      <c r="K55" s="7" t="s">
        <v>297</v>
      </c>
      <c r="L55" s="143">
        <v>10.91</v>
      </c>
      <c r="M55" s="143">
        <v>14.8</v>
      </c>
      <c r="N55" s="109">
        <v>14.8</v>
      </c>
      <c r="O55" s="109">
        <f>IF(C55&lt;=L55,1,0)</f>
        <v>1</v>
      </c>
      <c r="P55" s="109">
        <f>IF(C55&lt;=M55,1,0)</f>
        <v>1</v>
      </c>
      <c r="Q55" s="109">
        <f>IF(C55&lt;=N55,1,0)</f>
        <v>1</v>
      </c>
    </row>
    <row r="56" spans="1:17" ht="15">
      <c r="A56" s="70" t="s">
        <v>304</v>
      </c>
      <c r="B56" s="144" t="str">
        <f>IF(AND(O56=2),"Compact",IF((P56=2),"Non Compact","Slender"))</f>
        <v>Compact</v>
      </c>
      <c r="C56" s="82"/>
      <c r="D56" s="4"/>
      <c r="E56" s="70" t="s">
        <v>305</v>
      </c>
      <c r="F56" s="144" t="str">
        <f>IF(AND(O62=2),"Compact",IF((P62=2),"Non Compact","Slender"))</f>
        <v>Compact</v>
      </c>
      <c r="G56" s="82"/>
      <c r="H56" s="83"/>
      <c r="I56" s="7"/>
      <c r="J56" s="7"/>
      <c r="K56" s="7"/>
      <c r="L56" s="71"/>
      <c r="M56" s="71"/>
      <c r="O56" s="109">
        <f>O54+O55</f>
        <v>2</v>
      </c>
      <c r="P56" s="109">
        <f>P54+P55</f>
        <v>2</v>
      </c>
      <c r="Q56" s="109">
        <f>Q54+Q55</f>
        <v>2</v>
      </c>
    </row>
    <row r="57" spans="2:17" ht="15">
      <c r="B57" s="82"/>
      <c r="C57" s="82"/>
      <c r="D57" s="4"/>
      <c r="E57" s="83"/>
      <c r="F57" s="83"/>
      <c r="G57" s="83"/>
      <c r="H57" s="83"/>
      <c r="I57" s="7"/>
      <c r="J57" s="7"/>
      <c r="K57" s="7"/>
      <c r="L57" s="71"/>
      <c r="M57" s="71"/>
      <c r="O57" s="109" t="s">
        <v>299</v>
      </c>
      <c r="P57" s="109">
        <f>IF((B56="Compact"),1.536,1.4)</f>
        <v>1.536</v>
      </c>
      <c r="Q57" s="109"/>
    </row>
    <row r="58" spans="1:17" ht="15">
      <c r="A58" s="47" t="s">
        <v>259</v>
      </c>
      <c r="B58" s="16"/>
      <c r="C58" s="4"/>
      <c r="D58" s="4"/>
      <c r="E58" s="83"/>
      <c r="F58" s="83"/>
      <c r="G58" s="83"/>
      <c r="H58" s="83"/>
      <c r="I58" s="7"/>
      <c r="J58" s="7"/>
      <c r="K58" s="7"/>
      <c r="L58" s="71"/>
      <c r="M58" s="71"/>
      <c r="O58" s="109"/>
      <c r="P58" s="109"/>
      <c r="Q58" s="109"/>
    </row>
    <row r="59" spans="1:19" ht="18.75">
      <c r="A59" s="9" t="s">
        <v>273</v>
      </c>
      <c r="B59" s="16" t="s">
        <v>4</v>
      </c>
      <c r="C59" s="16">
        <f>C6*100/C48</f>
        <v>0</v>
      </c>
      <c r="D59" s="4" t="s">
        <v>57</v>
      </c>
      <c r="E59" s="83"/>
      <c r="F59" s="83"/>
      <c r="G59" s="9"/>
      <c r="H59" s="16"/>
      <c r="I59" s="16"/>
      <c r="J59" s="16"/>
      <c r="K59" s="7" t="s">
        <v>303</v>
      </c>
      <c r="L59" s="143" t="s">
        <v>262</v>
      </c>
      <c r="M59" s="143" t="s">
        <v>263</v>
      </c>
      <c r="N59" s="109" t="s">
        <v>264</v>
      </c>
      <c r="S59" t="s">
        <v>306</v>
      </c>
    </row>
    <row r="60" spans="1:22" ht="18.75">
      <c r="A60" s="9" t="s">
        <v>292</v>
      </c>
      <c r="B60" s="16" t="s">
        <v>4</v>
      </c>
      <c r="C60" s="16">
        <f>C9*100/C49</f>
        <v>0.8850890076213839</v>
      </c>
      <c r="D60" s="4" t="s">
        <v>57</v>
      </c>
      <c r="E60" s="83"/>
      <c r="F60" s="83"/>
      <c r="G60" s="9"/>
      <c r="H60" s="16"/>
      <c r="I60" s="16"/>
      <c r="J60" s="16"/>
      <c r="K60" s="7" t="s">
        <v>298</v>
      </c>
      <c r="L60" s="143">
        <v>37.4</v>
      </c>
      <c r="M60" s="143">
        <v>41.3</v>
      </c>
      <c r="N60" s="109">
        <f>M60</f>
        <v>41.3</v>
      </c>
      <c r="O60" s="109">
        <f>IF(G54&lt;=L60,1,0)</f>
        <v>1</v>
      </c>
      <c r="P60" s="109">
        <f>IF(G54&lt;=M60,1,0)</f>
        <v>1</v>
      </c>
      <c r="Q60" s="109">
        <f>IF(G54&lt;=N60,1,0)</f>
        <v>1</v>
      </c>
      <c r="S60" t="s">
        <v>307</v>
      </c>
      <c r="T60">
        <f>C20/C21</f>
        <v>23.225225225225227</v>
      </c>
      <c r="U60" t="s">
        <v>309</v>
      </c>
      <c r="V60">
        <f>C24/(2*C25)</f>
        <v>6.104651162790698</v>
      </c>
    </row>
    <row r="61" spans="1:22" ht="18.75">
      <c r="A61" s="9" t="s">
        <v>293</v>
      </c>
      <c r="B61" s="9" t="s">
        <v>4</v>
      </c>
      <c r="C61" s="27">
        <f>IF(OR(H65&gt;C31),P63,MIN(1.4,C68))</f>
        <v>1.536</v>
      </c>
      <c r="D61" s="4" t="s">
        <v>57</v>
      </c>
      <c r="E61" s="83"/>
      <c r="F61" s="83"/>
      <c r="G61" s="9"/>
      <c r="H61" s="16"/>
      <c r="I61" s="16"/>
      <c r="J61" s="16"/>
      <c r="K61" s="7" t="s">
        <v>297</v>
      </c>
      <c r="L61" s="143">
        <v>10.91</v>
      </c>
      <c r="M61" s="143">
        <v>14.8</v>
      </c>
      <c r="N61" s="109">
        <v>14.8</v>
      </c>
      <c r="O61" s="109">
        <f>IF(G55&lt;=L61,1,0)</f>
        <v>1</v>
      </c>
      <c r="P61" s="109">
        <f>IF(G55&lt;=M61,1,0)</f>
        <v>1</v>
      </c>
      <c r="Q61" s="109">
        <f>IF(G55&lt;=N61,1,0)</f>
        <v>1</v>
      </c>
      <c r="S61" t="s">
        <v>308</v>
      </c>
      <c r="T61">
        <f>C22/(C23+1E-25)</f>
        <v>23.225225225225227</v>
      </c>
      <c r="U61" t="s">
        <v>310</v>
      </c>
      <c r="V61">
        <f>C26/(2*(C27+1E-30))</f>
        <v>6.104651162790698</v>
      </c>
    </row>
    <row r="62" spans="1:17" ht="18.75">
      <c r="A62" s="9" t="s">
        <v>92</v>
      </c>
      <c r="B62" s="16" t="s">
        <v>4</v>
      </c>
      <c r="C62" s="16">
        <f>C7/C43</f>
        <v>0.22922403208993847</v>
      </c>
      <c r="D62" s="4" t="s">
        <v>57</v>
      </c>
      <c r="E62" s="4"/>
      <c r="F62" s="4"/>
      <c r="G62" s="89"/>
      <c r="H62" s="4"/>
      <c r="I62" s="7"/>
      <c r="J62" s="7"/>
      <c r="K62" s="7"/>
      <c r="L62" s="71"/>
      <c r="M62" s="71"/>
      <c r="O62" s="109">
        <f>O60+O61</f>
        <v>2</v>
      </c>
      <c r="P62" s="109">
        <f>P60+P61</f>
        <v>2</v>
      </c>
      <c r="Q62" s="109">
        <f>Q60+Q61</f>
        <v>2</v>
      </c>
    </row>
    <row r="63" spans="1:17" ht="18">
      <c r="A63" s="90" t="s">
        <v>45</v>
      </c>
      <c r="B63" s="16" t="s">
        <v>4</v>
      </c>
      <c r="C63" s="75">
        <f>-(MIN(C6,C8))/MAX(C6,C8)</f>
        <v>0</v>
      </c>
      <c r="D63" s="5"/>
      <c r="E63" s="5"/>
      <c r="F63" s="5"/>
      <c r="G63" s="5"/>
      <c r="H63" s="5"/>
      <c r="I63" s="7"/>
      <c r="J63" s="7"/>
      <c r="K63" s="7"/>
      <c r="L63" s="71"/>
      <c r="M63" s="71"/>
      <c r="O63" s="109" t="s">
        <v>300</v>
      </c>
      <c r="P63" s="146">
        <f>IF((F56="Compact"),1.536,1.4)</f>
        <v>1.536</v>
      </c>
      <c r="Q63" s="109"/>
    </row>
    <row r="64" spans="1:13" ht="16.5">
      <c r="A64" s="10" t="s">
        <v>96</v>
      </c>
      <c r="B64" s="16" t="s">
        <v>4</v>
      </c>
      <c r="C64" s="19">
        <f>MIN(1.75+1.05*C63+0.3*(C63)^2,2.3)</f>
        <v>1.75</v>
      </c>
      <c r="D64" s="5"/>
      <c r="E64" s="5"/>
      <c r="F64" s="5"/>
      <c r="G64" s="5"/>
      <c r="H64" s="5"/>
      <c r="I64" s="7"/>
      <c r="J64" s="7"/>
      <c r="K64" s="7"/>
      <c r="L64" s="71"/>
      <c r="M64" s="71"/>
    </row>
    <row r="65" spans="1:13" ht="16.5">
      <c r="A65" s="154" t="s">
        <v>54</v>
      </c>
      <c r="B65" s="155" t="s">
        <v>4</v>
      </c>
      <c r="C65" s="4" t="s">
        <v>256</v>
      </c>
      <c r="D65" s="4"/>
      <c r="F65" s="9">
        <f>(20*(C13/1000))/(2.4^0.5)</f>
        <v>2.8401877872187726</v>
      </c>
      <c r="G65" s="4" t="s">
        <v>0</v>
      </c>
      <c r="H65" s="153">
        <f>MIN(F65,F66)</f>
        <v>2.8401877872187726</v>
      </c>
      <c r="I65" s="153" t="s">
        <v>0</v>
      </c>
      <c r="J65" s="7"/>
      <c r="K65" s="7"/>
      <c r="L65" s="71"/>
      <c r="M65" s="71"/>
    </row>
    <row r="66" spans="1:18" ht="18.75">
      <c r="A66" s="154"/>
      <c r="B66" s="155"/>
      <c r="C66" s="4" t="s">
        <v>258</v>
      </c>
      <c r="D66" s="4"/>
      <c r="E66" s="4"/>
      <c r="F66" s="16">
        <f>(1380*C64*(C13*C14/100)/(2.4*10*C15))</f>
        <v>7.48420818505338</v>
      </c>
      <c r="G66" s="4" t="s">
        <v>0</v>
      </c>
      <c r="H66" s="153"/>
      <c r="I66" s="153"/>
      <c r="J66" s="7"/>
      <c r="K66" s="7"/>
      <c r="L66" s="9" t="s">
        <v>167</v>
      </c>
      <c r="M66" s="9" t="s">
        <v>4</v>
      </c>
      <c r="N66" s="10">
        <f>(C13*C14+C15*C16/6)/100</f>
        <v>53.04</v>
      </c>
      <c r="O66" s="4" t="s">
        <v>55</v>
      </c>
      <c r="P66" s="10" t="s">
        <v>171</v>
      </c>
      <c r="Q66" s="10" t="s">
        <v>4</v>
      </c>
      <c r="R66" s="5">
        <f>800*C64*N69/(C31*100*C15/10)</f>
        <v>10.412811387900355</v>
      </c>
    </row>
    <row r="67" spans="1:18" ht="18">
      <c r="A67" s="9"/>
      <c r="B67" s="4" t="s">
        <v>33</v>
      </c>
      <c r="C67" s="4"/>
      <c r="D67" s="4"/>
      <c r="E67" s="4"/>
      <c r="F67" s="28" t="str">
        <f>IF(AND(H65&gt;C31),"No Ltb","Ltb")</f>
        <v>No Ltb</v>
      </c>
      <c r="G67" s="36"/>
      <c r="H67" s="5"/>
      <c r="I67" s="5"/>
      <c r="J67" s="4"/>
      <c r="K67" s="4"/>
      <c r="L67" s="9" t="s">
        <v>168</v>
      </c>
      <c r="M67" s="9" t="s">
        <v>4</v>
      </c>
      <c r="N67" s="10">
        <f>(C14*C13^3/12+C15*C16^3/72)/10000</f>
        <v>1687.2821333333331</v>
      </c>
      <c r="O67" s="4" t="s">
        <v>76</v>
      </c>
      <c r="P67" s="10" t="s">
        <v>173</v>
      </c>
      <c r="Q67" s="10" t="s">
        <v>4</v>
      </c>
      <c r="R67" s="5">
        <f>IF(N70&lt;=(84*N71),1.4,0)</f>
        <v>0</v>
      </c>
    </row>
    <row r="68" spans="1:18" ht="18">
      <c r="A68" s="9" t="s">
        <v>175</v>
      </c>
      <c r="B68" s="9" t="s">
        <v>4</v>
      </c>
      <c r="C68" s="9">
        <f>IF(AND(H68="Yes"),P57,R71)</f>
        <v>1.4</v>
      </c>
      <c r="D68" s="4" t="s">
        <v>57</v>
      </c>
      <c r="E68" s="4"/>
      <c r="F68" s="156"/>
      <c r="G68" s="156"/>
      <c r="H68" s="115"/>
      <c r="I68" s="132"/>
      <c r="J68" s="4"/>
      <c r="K68" s="4"/>
      <c r="L68" s="9" t="s">
        <v>169</v>
      </c>
      <c r="M68" s="9" t="s">
        <v>4</v>
      </c>
      <c r="N68" s="10">
        <f>SQRT(N67/N66)</f>
        <v>5.640168726906479</v>
      </c>
      <c r="O68" s="5" t="s">
        <v>21</v>
      </c>
      <c r="P68" s="10" t="s">
        <v>173</v>
      </c>
      <c r="Q68" s="10" t="s">
        <v>4</v>
      </c>
      <c r="R68" s="5">
        <f>IF(AND(84*N71&lt;=N70,N70&lt;=188*N71),2.4*(0.64-2.4*N70^2/(1.176*100000*C64)),0)</f>
        <v>1.2192654633012918</v>
      </c>
    </row>
    <row r="69" spans="1:18" ht="18.75">
      <c r="A69" s="9" t="s">
        <v>274</v>
      </c>
      <c r="B69" s="9" t="s">
        <v>4</v>
      </c>
      <c r="C69" s="9">
        <f>IF(OR(H65&gt;C31),P57,MIN(1.4,C68))</f>
        <v>1.536</v>
      </c>
      <c r="D69" s="4" t="s">
        <v>57</v>
      </c>
      <c r="E69" s="4"/>
      <c r="F69" s="23"/>
      <c r="G69" s="36"/>
      <c r="H69" s="5"/>
      <c r="I69" s="5"/>
      <c r="J69" s="4"/>
      <c r="K69" s="4"/>
      <c r="L69" s="9" t="s">
        <v>170</v>
      </c>
      <c r="M69" s="9" t="s">
        <v>4</v>
      </c>
      <c r="N69" s="10">
        <f>(C13*C14)/100</f>
        <v>41.8</v>
      </c>
      <c r="O69" s="5" t="s">
        <v>21</v>
      </c>
      <c r="P69" s="10" t="s">
        <v>173</v>
      </c>
      <c r="Q69" s="10" t="s">
        <v>4</v>
      </c>
      <c r="R69" s="5">
        <f>IF(N70&gt;=188*N71,12000*C64/N70^2,0)</f>
        <v>0</v>
      </c>
    </row>
    <row r="70" spans="1:18" ht="16.5">
      <c r="A70" s="9" t="s">
        <v>94</v>
      </c>
      <c r="B70" s="9" t="s">
        <v>4</v>
      </c>
      <c r="C70" s="21">
        <v>1</v>
      </c>
      <c r="D70" s="5" t="s">
        <v>81</v>
      </c>
      <c r="E70" s="4"/>
      <c r="F70" s="5"/>
      <c r="G70" s="5"/>
      <c r="H70" s="5"/>
      <c r="I70" s="7"/>
      <c r="J70" s="7"/>
      <c r="K70" s="7"/>
      <c r="L70" s="9" t="s">
        <v>172</v>
      </c>
      <c r="M70" s="9" t="s">
        <v>4</v>
      </c>
      <c r="N70" s="10">
        <f>C34*100/(N68)</f>
        <v>106.37979625284865</v>
      </c>
      <c r="O70" s="5"/>
      <c r="P70" s="10" t="s">
        <v>174</v>
      </c>
      <c r="Q70" s="10" t="s">
        <v>4</v>
      </c>
      <c r="R70" s="141">
        <f>MAX(R67,R68,R69)</f>
        <v>1.2192654633012918</v>
      </c>
    </row>
    <row r="71" spans="1:18" ht="16.5">
      <c r="A71" s="9" t="s">
        <v>95</v>
      </c>
      <c r="B71" s="9" t="s">
        <v>4</v>
      </c>
      <c r="C71" s="16">
        <f>(C46/C30)/(C35/C34)</f>
        <v>2.462652691223242</v>
      </c>
      <c r="D71" s="5"/>
      <c r="E71" s="4"/>
      <c r="F71" s="5"/>
      <c r="G71" s="5"/>
      <c r="H71" s="5"/>
      <c r="I71" s="7"/>
      <c r="J71" s="7"/>
      <c r="K71" s="7"/>
      <c r="L71" s="9" t="s">
        <v>257</v>
      </c>
      <c r="M71" s="9" t="s">
        <v>4</v>
      </c>
      <c r="N71" s="10">
        <f>(C64/2.4)^0.5</f>
        <v>0.8539125638299666</v>
      </c>
      <c r="O71" s="5"/>
      <c r="P71" s="10" t="s">
        <v>175</v>
      </c>
      <c r="Q71" s="10" t="s">
        <v>4</v>
      </c>
      <c r="R71" s="5">
        <f>IF(R66&gt;1.4,1.4,SQRT((R66)^2+(R70)^2))</f>
        <v>1.4</v>
      </c>
    </row>
    <row r="72" spans="1:13" ht="15">
      <c r="A72" s="9" t="s">
        <v>82</v>
      </c>
      <c r="B72" s="9" t="s">
        <v>4</v>
      </c>
      <c r="C72" s="11">
        <v>2.1</v>
      </c>
      <c r="D72" s="5" t="s">
        <v>83</v>
      </c>
      <c r="E72" s="4"/>
      <c r="F72" s="5"/>
      <c r="G72" s="5"/>
      <c r="H72" s="5"/>
      <c r="I72" s="7"/>
      <c r="J72" s="7"/>
      <c r="K72" s="7"/>
      <c r="L72" s="71"/>
      <c r="M72" s="71"/>
    </row>
    <row r="73" spans="1:13" ht="16.5">
      <c r="A73" s="9" t="s">
        <v>93</v>
      </c>
      <c r="B73" s="16" t="s">
        <v>4</v>
      </c>
      <c r="C73" s="16">
        <f>C72*C32</f>
        <v>10.5</v>
      </c>
      <c r="D73" s="5" t="s">
        <v>0</v>
      </c>
      <c r="E73" s="5"/>
      <c r="F73" s="5"/>
      <c r="G73" s="87"/>
      <c r="H73" s="4"/>
      <c r="I73" s="7"/>
      <c r="J73" s="7"/>
      <c r="K73" s="7"/>
      <c r="L73" s="71"/>
      <c r="M73" s="71"/>
    </row>
    <row r="74" spans="1:13" ht="16.5">
      <c r="A74" s="12" t="s">
        <v>34</v>
      </c>
      <c r="B74" s="16" t="s">
        <v>4</v>
      </c>
      <c r="C74" s="20">
        <f>C33</f>
        <v>11</v>
      </c>
      <c r="D74" s="7" t="s">
        <v>0</v>
      </c>
      <c r="E74" s="7"/>
      <c r="F74" s="7"/>
      <c r="G74" s="7"/>
      <c r="H74" s="7"/>
      <c r="I74" s="7"/>
      <c r="J74" s="7"/>
      <c r="K74" s="7"/>
      <c r="L74" s="71"/>
      <c r="M74" s="71"/>
    </row>
    <row r="75" spans="1:16" ht="18">
      <c r="A75" s="69" t="s">
        <v>35</v>
      </c>
      <c r="B75" s="16" t="s">
        <v>4</v>
      </c>
      <c r="C75" s="20">
        <f>C73*100/C50</f>
        <v>58.30290448434357</v>
      </c>
      <c r="D75" s="7"/>
      <c r="E75" s="7"/>
      <c r="F75" s="7"/>
      <c r="G75" s="7"/>
      <c r="H75" s="7"/>
      <c r="I75" s="7"/>
      <c r="J75" s="7"/>
      <c r="K75" s="7"/>
      <c r="L75" s="71"/>
      <c r="M75" s="71"/>
      <c r="O75" t="s">
        <v>196</v>
      </c>
      <c r="P75">
        <f>IF(AND(C3="A"),1,1.2)</f>
        <v>1</v>
      </c>
    </row>
    <row r="76" spans="1:13" ht="18">
      <c r="A76" s="69" t="s">
        <v>36</v>
      </c>
      <c r="B76" s="16" t="s">
        <v>4</v>
      </c>
      <c r="C76" s="20">
        <f>C74*100/C51</f>
        <v>70.51624555998642</v>
      </c>
      <c r="D76" s="7"/>
      <c r="E76" s="7"/>
      <c r="F76" s="7"/>
      <c r="G76" s="7"/>
      <c r="H76" s="24"/>
      <c r="I76" s="7"/>
      <c r="J76" s="7"/>
      <c r="K76" s="7"/>
      <c r="L76" s="71"/>
      <c r="M76" s="71"/>
    </row>
    <row r="77" spans="1:13" ht="18">
      <c r="A77" s="4"/>
      <c r="B77" s="4"/>
      <c r="C77" s="4"/>
      <c r="D77" s="69" t="s">
        <v>37</v>
      </c>
      <c r="E77" s="12" t="s">
        <v>4</v>
      </c>
      <c r="F77" s="20">
        <f>MAX(C75,C76)</f>
        <v>70.51624555998642</v>
      </c>
      <c r="G77" s="7" t="s">
        <v>38</v>
      </c>
      <c r="H77" s="25" t="str">
        <f>IF(AND(F77&lt;180),"SAFE","Unsafe")</f>
        <v>SAFE</v>
      </c>
      <c r="I77" s="7"/>
      <c r="J77" s="7"/>
      <c r="K77" s="7"/>
      <c r="L77" s="71"/>
      <c r="M77" s="71"/>
    </row>
    <row r="78" spans="1:13" ht="18.75">
      <c r="A78" s="12" t="s">
        <v>294</v>
      </c>
      <c r="B78" s="16" t="s">
        <v>4</v>
      </c>
      <c r="C78" s="16">
        <f>IF(AND(F77&lt;100),(1.4-0.000065*(F77)^2),(7500/(F77)^2))</f>
        <v>1.0767848422880402</v>
      </c>
      <c r="D78" s="7" t="s">
        <v>32</v>
      </c>
      <c r="E78" s="7"/>
      <c r="F78" s="7"/>
      <c r="G78" s="7"/>
      <c r="H78" s="7"/>
      <c r="I78" s="7"/>
      <c r="J78" s="7"/>
      <c r="K78" s="7"/>
      <c r="L78" s="71"/>
      <c r="M78" s="71"/>
    </row>
    <row r="79" spans="1:13" ht="16.5">
      <c r="A79" s="12" t="s">
        <v>295</v>
      </c>
      <c r="B79" s="16" t="s">
        <v>4</v>
      </c>
      <c r="C79" s="20">
        <f>C62/C78</f>
        <v>0.2128782121439085</v>
      </c>
      <c r="D79" s="7"/>
      <c r="E79" s="22"/>
      <c r="F79" s="22"/>
      <c r="G79" s="22"/>
      <c r="H79" s="7"/>
      <c r="I79" s="76"/>
      <c r="J79" s="76"/>
      <c r="K79" s="76"/>
      <c r="L79" s="71"/>
      <c r="M79" s="71"/>
    </row>
    <row r="80" spans="1:13" ht="16.5">
      <c r="A80" s="12" t="s">
        <v>41</v>
      </c>
      <c r="B80" s="16" t="s">
        <v>4</v>
      </c>
      <c r="C80" s="20">
        <f>IF(AND(C79&lt;0.15),"1.00",MAX(((0.85/(1-C62/(7500/(C75)^2)))),1))</f>
        <v>1</v>
      </c>
      <c r="D80" s="4"/>
      <c r="E80" s="4"/>
      <c r="F80" s="4"/>
      <c r="G80" s="4"/>
      <c r="H80" s="4"/>
      <c r="I80" s="76"/>
      <c r="J80" s="76"/>
      <c r="K80" s="76"/>
      <c r="L80" s="71"/>
      <c r="M80" s="71"/>
    </row>
    <row r="81" spans="1:13" ht="16.5">
      <c r="A81" s="12" t="s">
        <v>178</v>
      </c>
      <c r="B81" s="16" t="s">
        <v>4</v>
      </c>
      <c r="C81" s="20">
        <f>IF(AND(C79&lt;0.15),"1.00",MAX(((0.85/(1-C62/(7500/(C76)^2)))),1))</f>
        <v>1.0023310481368644</v>
      </c>
      <c r="D81" s="7"/>
      <c r="E81" s="9"/>
      <c r="F81" s="16"/>
      <c r="G81" s="4"/>
      <c r="H81" s="7"/>
      <c r="I81" s="77"/>
      <c r="J81" s="77"/>
      <c r="K81" s="77"/>
      <c r="L81" s="71"/>
      <c r="M81" s="71"/>
    </row>
    <row r="82" spans="1:13" ht="15">
      <c r="A82" s="12"/>
      <c r="B82" s="11"/>
      <c r="C82" s="7"/>
      <c r="D82" s="7"/>
      <c r="E82" s="9"/>
      <c r="F82" s="16"/>
      <c r="G82" s="4"/>
      <c r="H82" s="7"/>
      <c r="I82" s="77"/>
      <c r="J82" s="77"/>
      <c r="K82" s="77"/>
      <c r="L82" s="71"/>
      <c r="M82" s="71"/>
    </row>
    <row r="83" spans="1:13" ht="15">
      <c r="A83" s="26" t="s">
        <v>84</v>
      </c>
      <c r="B83" s="5"/>
      <c r="C83" s="4"/>
      <c r="D83" s="4"/>
      <c r="E83" s="9"/>
      <c r="F83" s="16"/>
      <c r="G83" s="4"/>
      <c r="H83" s="7"/>
      <c r="I83" s="77"/>
      <c r="J83" s="77"/>
      <c r="K83" s="77"/>
      <c r="L83" s="71"/>
      <c r="M83" s="71"/>
    </row>
    <row r="84" spans="1:8" ht="15">
      <c r="A84" s="12"/>
      <c r="B84" s="11"/>
      <c r="C84" s="7"/>
      <c r="D84" s="7"/>
      <c r="E84" s="9"/>
      <c r="F84" s="16"/>
      <c r="G84" s="4"/>
      <c r="H84" s="7"/>
    </row>
    <row r="85" spans="1:13" ht="16.5">
      <c r="A85" s="12"/>
      <c r="B85" s="7" t="s">
        <v>296</v>
      </c>
      <c r="D85" s="7"/>
      <c r="E85" s="9"/>
      <c r="F85" s="27">
        <f>C79+(C59/C69)*C80+(C60/C61)*C81</f>
        <v>0.7904512542686213</v>
      </c>
      <c r="G85" s="16" t="s">
        <v>78</v>
      </c>
      <c r="H85" s="129">
        <f>P75</f>
        <v>1</v>
      </c>
      <c r="I85" s="128" t="str">
        <f>IF(AND(F85&lt;P75),"SAFE","Unsafe")</f>
        <v>SAFE</v>
      </c>
      <c r="J85" s="128"/>
      <c r="K85" s="128"/>
      <c r="L85" s="130"/>
      <c r="M85" s="131"/>
    </row>
  </sheetData>
  <sheetProtection/>
  <mergeCells count="5">
    <mergeCell ref="I65:I66"/>
    <mergeCell ref="F68:G68"/>
    <mergeCell ref="A65:A66"/>
    <mergeCell ref="B65:B66"/>
    <mergeCell ref="H65:H66"/>
  </mergeCells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AutoCAD.Drawing.14" shapeId="821589" r:id="rId1"/>
    <oleObject progId="AutoCAD.Drawing.14" shapeId="82159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4"/>
  <sheetViews>
    <sheetView zoomScalePageLayoutView="0" workbookViewId="0" topLeftCell="A1">
      <selection activeCell="C47" sqref="C47:D47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8.57421875" style="0" customWidth="1"/>
    <col min="4" max="4" width="13.28125" style="0" customWidth="1"/>
    <col min="5" max="5" width="10.28125" style="0" customWidth="1"/>
    <col min="6" max="6" width="9.7109375" style="0" customWidth="1"/>
    <col min="7" max="7" width="10.7109375" style="0" customWidth="1"/>
    <col min="19" max="19" width="17.28125" style="0" bestFit="1" customWidth="1"/>
    <col min="20" max="20" width="10.421875" style="0" customWidth="1"/>
    <col min="24" max="24" width="11.7109375" style="0" customWidth="1"/>
  </cols>
  <sheetData>
    <row r="1" spans="1:21" ht="20.25">
      <c r="A1" s="2" t="s">
        <v>85</v>
      </c>
      <c r="B1" s="3"/>
      <c r="C1" s="54"/>
      <c r="D1" s="3" t="s">
        <v>59</v>
      </c>
      <c r="E1" s="78"/>
      <c r="F1" s="78"/>
      <c r="G1" s="79"/>
      <c r="H1" s="53"/>
      <c r="I1" s="53"/>
      <c r="J1" s="53"/>
      <c r="K1" s="5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.75">
      <c r="A2" s="53"/>
      <c r="B2" s="53"/>
      <c r="C2" s="53"/>
      <c r="D2" s="53"/>
      <c r="E2" s="80"/>
      <c r="F2" s="80"/>
      <c r="G2" s="80"/>
      <c r="H2" s="80"/>
      <c r="I2" s="80"/>
      <c r="J2" s="53"/>
      <c r="K2" s="5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5.75">
      <c r="A3" s="52" t="s">
        <v>61</v>
      </c>
      <c r="B3" s="53"/>
      <c r="C3" s="53"/>
      <c r="D3" s="53"/>
      <c r="E3" s="80" t="s">
        <v>336</v>
      </c>
      <c r="F3" s="80"/>
      <c r="G3" s="80"/>
      <c r="H3" s="80"/>
      <c r="I3" s="80"/>
      <c r="K3" s="5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>
      <c r="A4" s="55" t="s">
        <v>7</v>
      </c>
      <c r="B4" s="55" t="s">
        <v>4</v>
      </c>
      <c r="C4" s="56">
        <v>20</v>
      </c>
      <c r="D4" s="53" t="s">
        <v>15</v>
      </c>
      <c r="E4" s="151" t="s">
        <v>45</v>
      </c>
      <c r="I4" s="80"/>
      <c r="K4" s="5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5.75">
      <c r="A5" s="55" t="s">
        <v>17</v>
      </c>
      <c r="B5" s="55" t="s">
        <v>4</v>
      </c>
      <c r="C5" s="56">
        <v>6</v>
      </c>
      <c r="D5" s="53" t="s">
        <v>6</v>
      </c>
      <c r="E5" s="48"/>
      <c r="F5" s="80"/>
      <c r="G5" s="81"/>
      <c r="H5" s="80"/>
      <c r="I5" s="80"/>
      <c r="K5" s="5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5.75">
      <c r="A6" s="55" t="s">
        <v>368</v>
      </c>
      <c r="B6" s="55" t="s">
        <v>4</v>
      </c>
      <c r="C6" s="56">
        <v>0</v>
      </c>
      <c r="D6" s="53" t="s">
        <v>6</v>
      </c>
      <c r="E6" s="81"/>
      <c r="F6" s="80"/>
      <c r="G6" s="80"/>
      <c r="H6" s="80"/>
      <c r="I6" s="80"/>
      <c r="K6" s="5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5.75">
      <c r="A7" s="53"/>
      <c r="B7" s="53"/>
      <c r="C7" s="53"/>
      <c r="D7" s="53"/>
      <c r="E7" s="81"/>
      <c r="H7" s="80"/>
      <c r="I7" s="80"/>
      <c r="K7" s="5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.75">
      <c r="A8" s="52" t="s">
        <v>72</v>
      </c>
      <c r="B8" s="53"/>
      <c r="C8" s="53"/>
      <c r="D8" s="53"/>
      <c r="E8" s="81"/>
      <c r="F8" s="80"/>
      <c r="G8" s="81"/>
      <c r="H8" s="80"/>
      <c r="I8" s="80"/>
      <c r="K8" s="5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20.25">
      <c r="A9" s="57" t="s">
        <v>7</v>
      </c>
      <c r="B9" s="58">
        <v>24</v>
      </c>
      <c r="C9" s="57" t="s">
        <v>17</v>
      </c>
      <c r="D9" s="59">
        <v>10.9</v>
      </c>
      <c r="E9" s="81"/>
      <c r="F9" s="80"/>
      <c r="G9" s="80"/>
      <c r="H9" s="80"/>
      <c r="I9" s="80"/>
      <c r="K9" s="5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8">
      <c r="A10" s="55" t="s">
        <v>63</v>
      </c>
      <c r="B10" s="55" t="s">
        <v>4</v>
      </c>
      <c r="C10" s="60">
        <v>2.45</v>
      </c>
      <c r="D10" s="53" t="s">
        <v>55</v>
      </c>
      <c r="E10" s="81"/>
      <c r="F10" s="80"/>
      <c r="G10" s="80"/>
      <c r="H10" s="80"/>
      <c r="I10" s="80"/>
      <c r="K10" s="5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6.5">
      <c r="A11" s="55" t="s">
        <v>64</v>
      </c>
      <c r="B11" s="55" t="s">
        <v>4</v>
      </c>
      <c r="C11" s="60">
        <v>7.11</v>
      </c>
      <c r="D11" s="53" t="s">
        <v>6</v>
      </c>
      <c r="E11" s="81"/>
      <c r="F11" s="80"/>
      <c r="G11" s="80"/>
      <c r="H11" s="80"/>
      <c r="I11" s="80"/>
      <c r="K11" s="5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5.75">
      <c r="A12" s="55" t="s">
        <v>62</v>
      </c>
      <c r="B12" s="55" t="s">
        <v>4</v>
      </c>
      <c r="C12" s="60">
        <v>22.23</v>
      </c>
      <c r="D12" s="53" t="s">
        <v>6</v>
      </c>
      <c r="E12" s="81"/>
      <c r="F12" s="81"/>
      <c r="G12" s="80"/>
      <c r="H12" s="80"/>
      <c r="I12" s="80"/>
      <c r="K12" s="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5.75">
      <c r="A13" s="53"/>
      <c r="B13" s="53"/>
      <c r="C13" s="53"/>
      <c r="D13" s="53"/>
      <c r="E13" s="80"/>
      <c r="F13" s="80"/>
      <c r="G13" s="80"/>
      <c r="H13" s="80"/>
      <c r="I13" s="80"/>
      <c r="K13" s="5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15.75">
      <c r="A14" s="52" t="s">
        <v>73</v>
      </c>
      <c r="B14" s="53"/>
      <c r="C14" s="53"/>
      <c r="D14" s="53"/>
      <c r="K14" s="5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5.75">
      <c r="A15" s="55" t="s">
        <v>1</v>
      </c>
      <c r="B15" s="55" t="s">
        <v>4</v>
      </c>
      <c r="C15" s="61">
        <v>76</v>
      </c>
      <c r="D15" s="53" t="s">
        <v>21</v>
      </c>
      <c r="F15" s="80"/>
      <c r="G15" s="80"/>
      <c r="H15" s="80"/>
      <c r="K15" s="5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4" ht="15.75">
      <c r="A16" s="55" t="s">
        <v>164</v>
      </c>
      <c r="B16" s="55" t="s">
        <v>4</v>
      </c>
      <c r="C16" s="61">
        <v>17</v>
      </c>
      <c r="D16" s="53" t="s">
        <v>21</v>
      </c>
      <c r="E16" s="53"/>
      <c r="F16" s="53"/>
      <c r="G16" s="53"/>
      <c r="H16" s="53"/>
      <c r="I16" s="53"/>
      <c r="K16" s="5"/>
      <c r="L16" s="48"/>
      <c r="M16" s="48"/>
      <c r="N16" s="48"/>
      <c r="O16" s="48"/>
      <c r="P16" s="48"/>
      <c r="Q16" s="48"/>
      <c r="R16" s="148">
        <v>1</v>
      </c>
      <c r="S16" s="48" t="s">
        <v>4</v>
      </c>
      <c r="T16" s="48">
        <f>T21+T22/2</f>
        <v>11.27</v>
      </c>
      <c r="U16" s="48"/>
      <c r="V16" s="148">
        <v>4</v>
      </c>
      <c r="W16" s="48" t="s">
        <v>4</v>
      </c>
      <c r="X16">
        <f>IF(G25&gt;0,X21/2+X22/2,C15/2-T16-T17-T18)</f>
        <v>0</v>
      </c>
    </row>
    <row r="17" spans="1:24" ht="16.5">
      <c r="A17" s="117" t="s">
        <v>350</v>
      </c>
      <c r="B17" s="55" t="s">
        <v>4</v>
      </c>
      <c r="C17" s="61">
        <v>20</v>
      </c>
      <c r="D17" s="53" t="s">
        <v>8</v>
      </c>
      <c r="E17" s="53"/>
      <c r="F17" s="53"/>
      <c r="G17" s="53"/>
      <c r="H17" s="53"/>
      <c r="I17" s="53"/>
      <c r="K17" s="5"/>
      <c r="L17" s="48"/>
      <c r="M17" s="48"/>
      <c r="N17" s="48"/>
      <c r="O17" s="48"/>
      <c r="P17" s="48"/>
      <c r="Q17" s="48"/>
      <c r="R17" s="148">
        <v>2</v>
      </c>
      <c r="S17" s="48" t="s">
        <v>4</v>
      </c>
      <c r="T17" s="48">
        <f>IF(C26&gt;0,(T22+T23)/2,C15/2-T16)</f>
        <v>26.73</v>
      </c>
      <c r="U17" s="48"/>
      <c r="V17" s="148">
        <v>5</v>
      </c>
      <c r="W17" s="48" t="s">
        <v>4</v>
      </c>
      <c r="X17">
        <f>IF(G26&gt;0,(X22+X23)/2,C15/2-T16-T17-T18-X16)</f>
        <v>0</v>
      </c>
    </row>
    <row r="18" spans="1:24" ht="15.75">
      <c r="A18" s="53"/>
      <c r="B18" s="53"/>
      <c r="C18" s="53"/>
      <c r="D18" s="53"/>
      <c r="E18" s="55"/>
      <c r="F18" s="53"/>
      <c r="G18" s="53"/>
      <c r="H18" s="53"/>
      <c r="I18" s="53"/>
      <c r="J18" s="53"/>
      <c r="K18" s="5"/>
      <c r="L18" s="48"/>
      <c r="M18" s="48"/>
      <c r="N18" s="48"/>
      <c r="O18" s="48"/>
      <c r="P18" s="48"/>
      <c r="Q18" s="48"/>
      <c r="R18" s="148">
        <v>3</v>
      </c>
      <c r="S18" s="48" t="s">
        <v>4</v>
      </c>
      <c r="T18" s="48">
        <f>IF(G24&gt;0,(T23+X21)/2,C15/2-T16-T17)</f>
        <v>0</v>
      </c>
      <c r="U18" s="48"/>
      <c r="V18" s="148">
        <v>6</v>
      </c>
      <c r="W18" s="48" t="s">
        <v>4</v>
      </c>
      <c r="X18">
        <f>IF(G26&gt;0,X23/2+AB21,0)</f>
        <v>0</v>
      </c>
    </row>
    <row r="19" spans="1:23" ht="15.75">
      <c r="A19" s="52" t="s">
        <v>74</v>
      </c>
      <c r="B19" s="53"/>
      <c r="C19" s="53"/>
      <c r="D19" s="53"/>
      <c r="E19" s="53"/>
      <c r="F19" s="53"/>
      <c r="G19" s="53"/>
      <c r="H19" s="53"/>
      <c r="I19" s="53"/>
      <c r="J19" s="53"/>
      <c r="K19" s="5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1" ht="15.75">
      <c r="A20" s="55"/>
      <c r="B20" s="55"/>
      <c r="C20" s="147"/>
      <c r="D20" s="55"/>
      <c r="E20" s="55"/>
      <c r="F20" s="53"/>
      <c r="G20" s="53"/>
      <c r="H20" s="53"/>
      <c r="I20" s="53"/>
      <c r="J20" s="53"/>
      <c r="K20" s="5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8" ht="16.5" thickBot="1">
      <c r="A21" s="55" t="s">
        <v>65</v>
      </c>
      <c r="B21" s="55" t="s">
        <v>4</v>
      </c>
      <c r="C21" s="55">
        <f>(C4*100/(0.8*C15)+C6)/(0.6*C12)</f>
        <v>2.466242078430444</v>
      </c>
      <c r="D21" s="53" t="s">
        <v>66</v>
      </c>
      <c r="E21" s="53"/>
      <c r="F21" s="53"/>
      <c r="G21" s="53"/>
      <c r="H21" s="53"/>
      <c r="I21" s="53"/>
      <c r="J21" s="53"/>
      <c r="K21" s="5"/>
      <c r="L21" s="48"/>
      <c r="M21" s="48"/>
      <c r="N21" s="48"/>
      <c r="O21" s="48"/>
      <c r="P21" s="48"/>
      <c r="Q21" s="48"/>
      <c r="R21" s="48" t="s">
        <v>312</v>
      </c>
      <c r="S21" s="48" t="s">
        <v>4</v>
      </c>
      <c r="T21" s="48">
        <f>C15-C24</f>
        <v>7.269999999999996</v>
      </c>
      <c r="U21" s="48"/>
      <c r="V21" s="48" t="s">
        <v>315</v>
      </c>
      <c r="W21" s="48" t="s">
        <v>4</v>
      </c>
      <c r="X21" s="48">
        <f>C26-G24</f>
        <v>0</v>
      </c>
      <c r="Z21" t="s">
        <v>319</v>
      </c>
      <c r="AA21" s="48" t="s">
        <v>4</v>
      </c>
      <c r="AB21">
        <f>G26-C15/2</f>
        <v>-38</v>
      </c>
    </row>
    <row r="22" spans="1:24" ht="18" thickBot="1">
      <c r="A22" s="53"/>
      <c r="B22" s="53"/>
      <c r="C22" s="53"/>
      <c r="D22" s="53"/>
      <c r="E22" s="49" t="s">
        <v>311</v>
      </c>
      <c r="F22" s="50">
        <v>6</v>
      </c>
      <c r="G22" s="51" t="s">
        <v>66</v>
      </c>
      <c r="H22" s="53"/>
      <c r="I22" s="53"/>
      <c r="J22" s="53"/>
      <c r="K22" s="5"/>
      <c r="L22" s="48"/>
      <c r="M22" s="48"/>
      <c r="N22" s="48"/>
      <c r="O22" s="48"/>
      <c r="P22" s="48"/>
      <c r="Q22" s="48"/>
      <c r="R22" s="48" t="s">
        <v>313</v>
      </c>
      <c r="S22" s="48" t="s">
        <v>4</v>
      </c>
      <c r="T22" s="48">
        <f>C24-C25</f>
        <v>8.000000000000007</v>
      </c>
      <c r="U22" s="48"/>
      <c r="V22" s="48" t="s">
        <v>316</v>
      </c>
      <c r="W22" s="48" t="s">
        <v>4</v>
      </c>
      <c r="X22" s="48">
        <f>G24-G25</f>
        <v>0</v>
      </c>
    </row>
    <row r="23" spans="1:24" ht="15.75">
      <c r="A23" s="52" t="s">
        <v>75</v>
      </c>
      <c r="B23" s="53"/>
      <c r="C23" s="53"/>
      <c r="D23" s="53"/>
      <c r="E23" s="53"/>
      <c r="F23" s="53"/>
      <c r="G23" s="53"/>
      <c r="H23" s="53"/>
      <c r="I23" s="53"/>
      <c r="J23" s="53"/>
      <c r="K23" s="5"/>
      <c r="L23" s="48"/>
      <c r="M23" s="48"/>
      <c r="N23" s="48"/>
      <c r="O23" s="48"/>
      <c r="P23" s="48"/>
      <c r="Q23" s="48"/>
      <c r="R23" s="48" t="s">
        <v>314</v>
      </c>
      <c r="S23" s="48" t="s">
        <v>4</v>
      </c>
      <c r="T23" s="48">
        <f>C25-C26</f>
        <v>60.73</v>
      </c>
      <c r="U23" s="48"/>
      <c r="V23" s="48" t="s">
        <v>317</v>
      </c>
      <c r="W23" s="48" t="s">
        <v>4</v>
      </c>
      <c r="X23" s="48">
        <f>G25-G26</f>
        <v>0</v>
      </c>
    </row>
    <row r="24" spans="1:21" ht="16.5">
      <c r="A24" s="55" t="s">
        <v>67</v>
      </c>
      <c r="B24" s="55" t="s">
        <v>4</v>
      </c>
      <c r="C24" s="62">
        <v>68.73</v>
      </c>
      <c r="D24" s="53" t="s">
        <v>21</v>
      </c>
      <c r="E24" s="55" t="s">
        <v>70</v>
      </c>
      <c r="F24" s="55" t="s">
        <v>4</v>
      </c>
      <c r="G24" s="62">
        <v>0</v>
      </c>
      <c r="H24" s="53" t="s">
        <v>21</v>
      </c>
      <c r="I24" s="53"/>
      <c r="J24" s="53"/>
      <c r="K24" s="5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4" ht="16.5">
      <c r="A25" s="55" t="s">
        <v>68</v>
      </c>
      <c r="B25" s="55" t="s">
        <v>4</v>
      </c>
      <c r="C25" s="62">
        <v>60.73</v>
      </c>
      <c r="D25" s="53" t="s">
        <v>21</v>
      </c>
      <c r="E25" s="55" t="s">
        <v>71</v>
      </c>
      <c r="F25" s="55" t="s">
        <v>4</v>
      </c>
      <c r="G25" s="62">
        <v>0</v>
      </c>
      <c r="H25" s="53" t="s">
        <v>21</v>
      </c>
      <c r="I25" s="53"/>
      <c r="J25" s="53"/>
      <c r="K25" s="5"/>
      <c r="L25" s="48"/>
      <c r="M25" s="48"/>
      <c r="N25" s="48"/>
      <c r="O25" s="48"/>
      <c r="P25" s="48"/>
      <c r="Q25" s="48"/>
      <c r="R25" s="48" t="s">
        <v>326</v>
      </c>
      <c r="S25" s="48" t="s">
        <v>4</v>
      </c>
      <c r="T25" s="48">
        <f>C4*100*C15/(2*S29)</f>
        <v>0.12220954863940037</v>
      </c>
      <c r="U25" s="48"/>
      <c r="V25" s="48" t="s">
        <v>245</v>
      </c>
      <c r="W25" s="48" t="s">
        <v>4</v>
      </c>
      <c r="X25">
        <f>(X16+X17+X18)*T25/(C15/2)</f>
        <v>0</v>
      </c>
    </row>
    <row r="26" spans="1:24" ht="16.5">
      <c r="A26" s="55" t="s">
        <v>69</v>
      </c>
      <c r="B26" s="55" t="s">
        <v>4</v>
      </c>
      <c r="C26" s="62">
        <v>0</v>
      </c>
      <c r="D26" s="53" t="s">
        <v>21</v>
      </c>
      <c r="E26" s="55" t="s">
        <v>318</v>
      </c>
      <c r="F26" s="55" t="s">
        <v>4</v>
      </c>
      <c r="G26" s="62">
        <v>0</v>
      </c>
      <c r="H26" s="53" t="s">
        <v>21</v>
      </c>
      <c r="I26" s="53"/>
      <c r="J26" s="53"/>
      <c r="K26" s="5"/>
      <c r="L26" s="48"/>
      <c r="M26" s="48"/>
      <c r="N26" s="48"/>
      <c r="O26" s="48"/>
      <c r="P26" s="48"/>
      <c r="Q26" s="48"/>
      <c r="R26" s="48" t="s">
        <v>243</v>
      </c>
      <c r="S26" s="48" t="s">
        <v>4</v>
      </c>
      <c r="T26" s="48">
        <f>(T17+T18+X16+X17+X18)*T25/(C15/2)</f>
        <v>0.08596476934555715</v>
      </c>
      <c r="U26" s="48"/>
      <c r="V26" s="48" t="s">
        <v>327</v>
      </c>
      <c r="W26" s="48" t="s">
        <v>4</v>
      </c>
      <c r="X26">
        <f>(X17+X18)*T25/(C15/2)</f>
        <v>0</v>
      </c>
    </row>
    <row r="27" spans="3:24" ht="15.75">
      <c r="C27" s="62"/>
      <c r="E27" s="53"/>
      <c r="F27" s="53"/>
      <c r="G27" s="53"/>
      <c r="H27" s="53"/>
      <c r="I27" s="53"/>
      <c r="J27" s="53"/>
      <c r="K27" s="5"/>
      <c r="L27" s="48"/>
      <c r="M27" s="48"/>
      <c r="N27" s="48"/>
      <c r="O27" s="48"/>
      <c r="P27" s="48"/>
      <c r="Q27" s="48"/>
      <c r="R27" s="48" t="s">
        <v>244</v>
      </c>
      <c r="S27" s="48" t="s">
        <v>4</v>
      </c>
      <c r="T27" s="48">
        <f>(T18+X16+X17+X18)*T25/(C15/2)</f>
        <v>0</v>
      </c>
      <c r="U27" s="48"/>
      <c r="V27" s="48" t="s">
        <v>328</v>
      </c>
      <c r="W27" s="48" t="s">
        <v>4</v>
      </c>
      <c r="X27">
        <f>(X18)*T25/(C15/2)</f>
        <v>0</v>
      </c>
    </row>
    <row r="28" spans="1:24" ht="15.75">
      <c r="A28" s="63" t="s">
        <v>338</v>
      </c>
      <c r="B28" s="64"/>
      <c r="C28" s="64"/>
      <c r="D28" s="64"/>
      <c r="E28" s="64"/>
      <c r="F28" s="64"/>
      <c r="G28" s="64"/>
      <c r="H28" s="64"/>
      <c r="I28" s="64"/>
      <c r="J28" s="53"/>
      <c r="K28" s="10"/>
      <c r="L28" s="10"/>
      <c r="M28" s="10"/>
      <c r="N28" s="5"/>
      <c r="O28" s="5"/>
      <c r="P28" s="5"/>
      <c r="Q28" s="5"/>
      <c r="R28" s="48"/>
      <c r="S28" s="48"/>
      <c r="T28" s="48"/>
      <c r="U28" s="48"/>
      <c r="V28" s="48" t="s">
        <v>329</v>
      </c>
      <c r="W28" s="48" t="s">
        <v>4</v>
      </c>
      <c r="X28">
        <v>0</v>
      </c>
    </row>
    <row r="29" spans="1:21" ht="16.5">
      <c r="A29" s="65" t="s">
        <v>320</v>
      </c>
      <c r="B29" s="65" t="s">
        <v>4</v>
      </c>
      <c r="C29" s="157" t="s">
        <v>345</v>
      </c>
      <c r="D29" s="157"/>
      <c r="E29" s="157"/>
      <c r="F29" s="65">
        <f>(T25+T26)*T16*C16/4</f>
        <v>9.971029395684502</v>
      </c>
      <c r="G29" s="64" t="s">
        <v>77</v>
      </c>
      <c r="H29" s="64" t="s">
        <v>333</v>
      </c>
      <c r="I29" s="66" t="str">
        <f>IF(AND(F29&lt;S31*0.8*C12),"SAFE","UNSAFE")</f>
        <v>SAFE</v>
      </c>
      <c r="J29" s="64"/>
      <c r="K29" s="10"/>
      <c r="L29" s="10"/>
      <c r="M29" s="10"/>
      <c r="N29" s="5"/>
      <c r="O29" s="5"/>
      <c r="P29" s="5"/>
      <c r="Q29" s="5"/>
      <c r="R29" s="48" t="s">
        <v>330</v>
      </c>
      <c r="S29" s="48">
        <f>C16*C15^3/12</f>
        <v>621882.6666666666</v>
      </c>
      <c r="T29" s="48"/>
      <c r="U29" s="48"/>
    </row>
    <row r="30" spans="1:21" ht="16.5">
      <c r="A30" s="65" t="s">
        <v>321</v>
      </c>
      <c r="B30" s="65" t="s">
        <v>4</v>
      </c>
      <c r="C30" s="157" t="s">
        <v>346</v>
      </c>
      <c r="D30" s="157"/>
      <c r="E30" s="157"/>
      <c r="F30" s="65">
        <f>(T26+T27)*T17*C16/4</f>
        <v>9.765812709578656</v>
      </c>
      <c r="G30" s="64" t="s">
        <v>77</v>
      </c>
      <c r="H30" s="64" t="s">
        <v>333</v>
      </c>
      <c r="I30" s="66" t="str">
        <f>IF(AND(F30&lt;S31*0.8*C12),"SAFE","UNSAFE")</f>
        <v>SAFE</v>
      </c>
      <c r="K30" s="9"/>
      <c r="L30" s="9"/>
      <c r="M30" s="9"/>
      <c r="N30" s="4"/>
      <c r="O30" s="4"/>
      <c r="P30" s="5"/>
      <c r="Q30" s="5"/>
      <c r="R30" s="48"/>
      <c r="S30" s="48"/>
      <c r="T30" s="48"/>
      <c r="U30" s="48"/>
    </row>
    <row r="31" spans="1:21" ht="16.5">
      <c r="A31" s="65" t="s">
        <v>322</v>
      </c>
      <c r="B31" s="65" t="s">
        <v>4</v>
      </c>
      <c r="C31" s="157" t="s">
        <v>347</v>
      </c>
      <c r="D31" s="157"/>
      <c r="E31" s="157"/>
      <c r="F31" s="65">
        <f>(T27+X25)*T18*C16/4</f>
        <v>0</v>
      </c>
      <c r="G31" s="64" t="s">
        <v>77</v>
      </c>
      <c r="H31" s="64" t="s">
        <v>333</v>
      </c>
      <c r="I31" s="66" t="str">
        <f>IF(AND(F31&lt;S31*0.8*C12),"SAFE","UNSAFE")</f>
        <v>SAFE</v>
      </c>
      <c r="K31" s="4"/>
      <c r="L31" s="9"/>
      <c r="M31" s="9"/>
      <c r="N31" s="9"/>
      <c r="O31" s="4"/>
      <c r="P31" s="5"/>
      <c r="Q31" s="5"/>
      <c r="R31" s="48" t="s">
        <v>196</v>
      </c>
      <c r="S31" s="48">
        <f>IF(E4="a",1,1.2)</f>
        <v>1</v>
      </c>
      <c r="T31" s="48"/>
      <c r="U31" s="48"/>
    </row>
    <row r="32" spans="1:21" ht="16.5">
      <c r="A32" s="65" t="s">
        <v>323</v>
      </c>
      <c r="B32" s="65" t="s">
        <v>4</v>
      </c>
      <c r="C32" s="157" t="s">
        <v>348</v>
      </c>
      <c r="D32" s="157"/>
      <c r="E32" s="157"/>
      <c r="F32" s="65">
        <f>(X25+X26)*X16*C16/4</f>
        <v>0</v>
      </c>
      <c r="G32" s="64" t="s">
        <v>77</v>
      </c>
      <c r="H32" s="64" t="s">
        <v>333</v>
      </c>
      <c r="I32" s="66" t="str">
        <f>IF(AND(F32&lt;S31*0.8*C12),"SAFE","UNSAFE")</f>
        <v>SAFE</v>
      </c>
      <c r="K32" s="4"/>
      <c r="L32" s="9"/>
      <c r="M32" s="9"/>
      <c r="N32" s="9"/>
      <c r="O32" s="4"/>
      <c r="P32" s="5"/>
      <c r="Q32" s="5"/>
      <c r="R32" s="48"/>
      <c r="S32" s="48"/>
      <c r="T32" s="48"/>
      <c r="U32" s="48"/>
    </row>
    <row r="33" spans="1:21" ht="16.5">
      <c r="A33" s="65" t="s">
        <v>324</v>
      </c>
      <c r="B33" s="65" t="s">
        <v>4</v>
      </c>
      <c r="C33" s="157" t="s">
        <v>344</v>
      </c>
      <c r="D33" s="157"/>
      <c r="E33" s="157"/>
      <c r="F33" s="65">
        <f>(X26+X27)*X17*C16/4</f>
        <v>0</v>
      </c>
      <c r="G33" s="64" t="s">
        <v>77</v>
      </c>
      <c r="H33" s="64" t="s">
        <v>333</v>
      </c>
      <c r="I33" s="66" t="str">
        <f>IF(AND(F33&lt;S31*0.8*C12),"SAFE","UNSAFE")</f>
        <v>SAFE</v>
      </c>
      <c r="K33" s="4"/>
      <c r="L33" s="4"/>
      <c r="M33" s="4"/>
      <c r="N33" s="4"/>
      <c r="O33" s="4"/>
      <c r="P33" s="5"/>
      <c r="Q33" s="5"/>
      <c r="R33" s="48"/>
      <c r="S33" s="48"/>
      <c r="T33" s="48"/>
      <c r="U33" s="48"/>
    </row>
    <row r="34" spans="1:21" ht="16.5">
      <c r="A34" s="65" t="s">
        <v>325</v>
      </c>
      <c r="B34" s="65" t="s">
        <v>4</v>
      </c>
      <c r="C34" s="157" t="s">
        <v>343</v>
      </c>
      <c r="D34" s="157"/>
      <c r="E34" s="157"/>
      <c r="F34" s="65">
        <f>(X27+X28)*X18*C16/4</f>
        <v>0</v>
      </c>
      <c r="G34" s="64" t="s">
        <v>77</v>
      </c>
      <c r="H34" s="64" t="s">
        <v>333</v>
      </c>
      <c r="I34" s="66" t="str">
        <f>IF(AND(F34&lt;S31*0.8*C17),"SAFE","UNSAFE")</f>
        <v>SAFE</v>
      </c>
      <c r="K34" s="4"/>
      <c r="L34" s="4"/>
      <c r="M34" s="4"/>
      <c r="N34" s="4"/>
      <c r="O34" s="4"/>
      <c r="P34" s="5"/>
      <c r="Q34" s="5"/>
      <c r="R34" s="48"/>
      <c r="S34" s="48"/>
      <c r="T34" s="48"/>
      <c r="U34" s="48"/>
    </row>
    <row r="35" spans="1:21" ht="16.5">
      <c r="A35" s="65" t="s">
        <v>331</v>
      </c>
      <c r="B35" s="65" t="s">
        <v>4</v>
      </c>
      <c r="C35" s="64" t="s">
        <v>332</v>
      </c>
      <c r="D35" s="158" t="s">
        <v>4</v>
      </c>
      <c r="E35" s="158"/>
      <c r="F35" s="65">
        <f>C6/F22</f>
        <v>0</v>
      </c>
      <c r="G35" s="64" t="s">
        <v>77</v>
      </c>
      <c r="H35" s="64" t="s">
        <v>334</v>
      </c>
      <c r="I35" s="66" t="str">
        <f>IF(AND(F35&lt;S31*0.6*C12),"SAFE","UNSAFE")</f>
        <v>SAFE</v>
      </c>
      <c r="K35" s="5"/>
      <c r="L35" s="5"/>
      <c r="M35" s="5"/>
      <c r="N35" s="5"/>
      <c r="O35" s="5"/>
      <c r="P35" s="5"/>
      <c r="Q35" s="5"/>
      <c r="R35" s="48"/>
      <c r="S35" s="48"/>
      <c r="T35" s="48"/>
      <c r="U35" s="48"/>
    </row>
    <row r="36" spans="1:21" ht="15.75">
      <c r="A36" s="65"/>
      <c r="B36" s="65"/>
      <c r="C36" s="64"/>
      <c r="D36" s="64"/>
      <c r="E36" s="64"/>
      <c r="F36" s="65"/>
      <c r="G36" s="64"/>
      <c r="H36" s="64"/>
      <c r="I36" s="66"/>
      <c r="K36" s="5"/>
      <c r="L36" s="5"/>
      <c r="M36" s="5"/>
      <c r="N36" s="5"/>
      <c r="O36" s="5"/>
      <c r="P36" s="5"/>
      <c r="Q36" s="5"/>
      <c r="R36" s="48"/>
      <c r="S36" s="48"/>
      <c r="T36" s="48"/>
      <c r="U36" s="48"/>
    </row>
    <row r="37" spans="1:21" ht="16.5">
      <c r="A37" s="67" t="s">
        <v>335</v>
      </c>
      <c r="B37" s="65"/>
      <c r="C37" s="64"/>
      <c r="D37" s="65" t="s">
        <v>4</v>
      </c>
      <c r="E37" s="65">
        <f>F35/(0.6*C12)+(MAX(F29:F34))/(0.8*C12)</f>
        <v>0.5606741675486111</v>
      </c>
      <c r="F37" s="65" t="s">
        <v>78</v>
      </c>
      <c r="G37" s="68">
        <f>S31</f>
        <v>1</v>
      </c>
      <c r="H37" s="66"/>
      <c r="I37" s="66" t="str">
        <f>IF(AND(E37&lt;G37),"SAFE","UNSAFE")</f>
        <v>SAFE</v>
      </c>
      <c r="K37" s="5"/>
      <c r="L37" s="5"/>
      <c r="M37" s="5"/>
      <c r="N37" s="5"/>
      <c r="O37" s="5"/>
      <c r="P37" s="5"/>
      <c r="Q37" s="5"/>
      <c r="R37" s="48"/>
      <c r="S37" s="48"/>
      <c r="T37" s="48"/>
      <c r="U37" s="48"/>
    </row>
    <row r="38" spans="1:21" ht="15.75">
      <c r="A38" s="65"/>
      <c r="B38" s="65"/>
      <c r="C38" s="64"/>
      <c r="D38" s="65"/>
      <c r="E38" s="65"/>
      <c r="F38" s="64"/>
      <c r="G38" s="68"/>
      <c r="H38" s="66"/>
      <c r="I38" s="66"/>
      <c r="K38" s="5"/>
      <c r="L38" s="5"/>
      <c r="M38" s="5"/>
      <c r="N38" s="5"/>
      <c r="O38" s="5"/>
      <c r="P38" s="5"/>
      <c r="Q38" s="5"/>
      <c r="R38" s="48"/>
      <c r="S38" s="48"/>
      <c r="T38" s="48"/>
      <c r="U38" s="48"/>
    </row>
    <row r="39" spans="1:21" ht="16.5">
      <c r="A39" s="65" t="s">
        <v>79</v>
      </c>
      <c r="B39" s="65" t="s">
        <v>4</v>
      </c>
      <c r="C39" s="65">
        <f>C5/(F22)</f>
        <v>1</v>
      </c>
      <c r="D39" s="65" t="s">
        <v>78</v>
      </c>
      <c r="E39" s="64" t="s">
        <v>337</v>
      </c>
      <c r="F39" s="64"/>
      <c r="G39" s="65" t="s">
        <v>4</v>
      </c>
      <c r="H39" s="65">
        <f>C11*S31*(1-(F35/C12))</f>
        <v>7.11</v>
      </c>
      <c r="I39" s="66" t="str">
        <f>IF(AND(C39&lt;H39),"SAFE","UNSAFE")</f>
        <v>SAFE</v>
      </c>
      <c r="K39" s="5"/>
      <c r="L39" s="5"/>
      <c r="M39" s="5"/>
      <c r="N39" s="5"/>
      <c r="O39" s="5"/>
      <c r="P39" s="5"/>
      <c r="Q39" s="5"/>
      <c r="R39" s="48"/>
      <c r="S39" s="48"/>
      <c r="T39" s="48"/>
      <c r="U39" s="48"/>
    </row>
    <row r="40" spans="11:21" ht="15.75">
      <c r="K40" s="5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18">
      <c r="A41" s="149" t="s">
        <v>340</v>
      </c>
      <c r="K41" s="5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1:21" ht="15.75">
      <c r="K42" s="5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1:21" ht="15.75">
      <c r="K43" s="5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15.75">
      <c r="A44" s="63" t="s">
        <v>339</v>
      </c>
      <c r="K44" s="5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5.75">
      <c r="A45" s="63"/>
      <c r="K45" s="5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15.75">
      <c r="A46" s="117" t="s">
        <v>165</v>
      </c>
      <c r="B46" s="117" t="s">
        <v>4</v>
      </c>
      <c r="C46" s="62">
        <v>40</v>
      </c>
      <c r="D46" s="119" t="s">
        <v>8</v>
      </c>
      <c r="K46" s="5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16.5">
      <c r="A47" s="117" t="s">
        <v>341</v>
      </c>
      <c r="B47" s="117" t="s">
        <v>4</v>
      </c>
      <c r="C47" s="157" t="s">
        <v>342</v>
      </c>
      <c r="D47" s="157"/>
      <c r="E47" s="117">
        <f>F29*C46/10</f>
        <v>39.88411758273801</v>
      </c>
      <c r="F47" s="116" t="s">
        <v>349</v>
      </c>
      <c r="G47" s="116"/>
      <c r="H47" s="116"/>
      <c r="I47" s="116"/>
      <c r="J47" s="116"/>
      <c r="K47" s="116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5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16.5">
      <c r="A49" s="117" t="s">
        <v>350</v>
      </c>
      <c r="B49" s="117" t="s">
        <v>4</v>
      </c>
      <c r="C49" s="150" t="s">
        <v>351</v>
      </c>
      <c r="D49" s="116"/>
      <c r="E49" s="117">
        <f>SQRT((6*E47)/(0.864*C16))</f>
        <v>4.036400833947854</v>
      </c>
      <c r="F49" s="116" t="s">
        <v>21</v>
      </c>
      <c r="G49" s="123">
        <f>(EVEN(E49*10))</f>
        <v>42</v>
      </c>
      <c r="H49" s="116" t="s">
        <v>8</v>
      </c>
      <c r="I49" s="66" t="str">
        <f>IF(AND(G49&lt;C17),"SAFE","UNSAFE")</f>
        <v>UNSAFE</v>
      </c>
      <c r="J49" s="116"/>
      <c r="K49" s="116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5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5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15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5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15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5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5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1" ht="15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ht="15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ht="15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ht="15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ht="15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:21" ht="15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ht="15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ht="15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ht="15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ht="15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ht="15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15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ht="15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ht="15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ht="15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ht="15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ht="15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ht="15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ht="15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15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15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15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15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5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15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5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15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ht="15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ht="15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ht="15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ht="15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ht="15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ht="15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ht="15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ht="15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ht="15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ht="15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ht="15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ht="15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ht="15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ht="15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ht="15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ht="15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ht="15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ht="15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ht="15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ht="15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ht="15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ht="15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ht="15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</sheetData>
  <sheetProtection/>
  <mergeCells count="8">
    <mergeCell ref="C29:E29"/>
    <mergeCell ref="C30:E30"/>
    <mergeCell ref="C31:E31"/>
    <mergeCell ref="C32:E32"/>
    <mergeCell ref="D35:E35"/>
    <mergeCell ref="C47:D47"/>
    <mergeCell ref="C33:E33"/>
    <mergeCell ref="C34:E34"/>
  </mergeCells>
  <printOptions/>
  <pageMargins left="1.1811023622047245" right="0.11811023622047245" top="0.708661417322834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8.57421875" style="0" customWidth="1"/>
    <col min="4" max="4" width="13.28125" style="0" customWidth="1"/>
    <col min="5" max="5" width="10.28125" style="0" customWidth="1"/>
    <col min="6" max="6" width="9.7109375" style="0" customWidth="1"/>
    <col min="7" max="7" width="10.7109375" style="0" customWidth="1"/>
    <col min="19" max="19" width="17.28125" style="0" bestFit="1" customWidth="1"/>
    <col min="20" max="20" width="10.421875" style="0" customWidth="1"/>
    <col min="24" max="24" width="11.7109375" style="0" customWidth="1"/>
  </cols>
  <sheetData>
    <row r="1" spans="1:21" ht="20.25">
      <c r="A1" s="2" t="s">
        <v>85</v>
      </c>
      <c r="B1" s="3"/>
      <c r="C1" s="54"/>
      <c r="D1" s="3" t="s">
        <v>59</v>
      </c>
      <c r="E1" s="78"/>
      <c r="F1" s="78"/>
      <c r="G1" s="79"/>
      <c r="H1" s="53"/>
      <c r="I1" s="53"/>
      <c r="J1" s="53"/>
      <c r="K1" s="5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.75">
      <c r="A2" s="53"/>
      <c r="B2" s="53"/>
      <c r="C2" s="53"/>
      <c r="D2" s="53"/>
      <c r="E2" s="80"/>
      <c r="F2" s="80"/>
      <c r="G2" s="80"/>
      <c r="H2" s="80"/>
      <c r="I2" s="80"/>
      <c r="J2" s="53"/>
      <c r="K2" s="5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5.75">
      <c r="A3" s="52" t="s">
        <v>61</v>
      </c>
      <c r="B3" s="53"/>
      <c r="C3" s="53"/>
      <c r="D3" s="53"/>
      <c r="E3" s="80" t="s">
        <v>336</v>
      </c>
      <c r="F3" s="80"/>
      <c r="G3" s="80"/>
      <c r="H3" s="80"/>
      <c r="I3" s="80"/>
      <c r="K3" s="5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>
      <c r="A4" s="55" t="s">
        <v>7</v>
      </c>
      <c r="B4" s="55" t="s">
        <v>4</v>
      </c>
      <c r="C4" s="56">
        <v>10</v>
      </c>
      <c r="D4" s="53" t="s">
        <v>15</v>
      </c>
      <c r="E4" s="151" t="s">
        <v>45</v>
      </c>
      <c r="I4" s="80"/>
      <c r="K4" s="5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5.75">
      <c r="A5" s="55" t="s">
        <v>17</v>
      </c>
      <c r="B5" s="55" t="s">
        <v>4</v>
      </c>
      <c r="C5" s="56">
        <v>5</v>
      </c>
      <c r="D5" s="53" t="s">
        <v>6</v>
      </c>
      <c r="E5" s="48"/>
      <c r="F5" s="80"/>
      <c r="G5" s="81"/>
      <c r="H5" s="80"/>
      <c r="I5" s="80"/>
      <c r="K5" s="5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5.75">
      <c r="A6" s="55" t="s">
        <v>368</v>
      </c>
      <c r="B6" s="55" t="s">
        <v>4</v>
      </c>
      <c r="C6" s="56">
        <v>5</v>
      </c>
      <c r="D6" s="53" t="s">
        <v>6</v>
      </c>
      <c r="E6" s="81"/>
      <c r="F6" s="80"/>
      <c r="G6" s="80"/>
      <c r="H6" s="80"/>
      <c r="I6" s="80"/>
      <c r="K6" s="5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5.75">
      <c r="A7" s="53"/>
      <c r="B7" s="53"/>
      <c r="C7" s="53"/>
      <c r="D7" s="53"/>
      <c r="E7" s="81"/>
      <c r="H7" s="80"/>
      <c r="I7" s="80"/>
      <c r="K7" s="5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.75">
      <c r="A8" s="52" t="s">
        <v>72</v>
      </c>
      <c r="B8" s="53"/>
      <c r="C8" s="53"/>
      <c r="D8" s="53"/>
      <c r="E8" s="81"/>
      <c r="F8" s="80"/>
      <c r="G8" s="81"/>
      <c r="H8" s="80"/>
      <c r="I8" s="80"/>
      <c r="K8" s="5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20.25">
      <c r="A9" s="57" t="s">
        <v>7</v>
      </c>
      <c r="B9" s="58">
        <v>20</v>
      </c>
      <c r="C9" s="57" t="s">
        <v>17</v>
      </c>
      <c r="D9" s="59">
        <v>10.9</v>
      </c>
      <c r="E9" s="81"/>
      <c r="F9" s="80"/>
      <c r="G9" s="80"/>
      <c r="H9" s="80"/>
      <c r="I9" s="80"/>
      <c r="K9" s="5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8.75">
      <c r="A10" s="55" t="s">
        <v>63</v>
      </c>
      <c r="B10" s="55" t="s">
        <v>4</v>
      </c>
      <c r="C10" s="60">
        <v>2.45</v>
      </c>
      <c r="D10" s="53" t="s">
        <v>55</v>
      </c>
      <c r="E10" s="81"/>
      <c r="F10" s="80"/>
      <c r="G10" s="80"/>
      <c r="H10" s="80"/>
      <c r="I10" s="80"/>
      <c r="K10" s="5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6.5">
      <c r="A11" s="55" t="s">
        <v>64</v>
      </c>
      <c r="B11" s="55" t="s">
        <v>4</v>
      </c>
      <c r="C11" s="60">
        <v>4.93</v>
      </c>
      <c r="D11" s="53" t="s">
        <v>6</v>
      </c>
      <c r="E11" s="81"/>
      <c r="F11" s="80"/>
      <c r="G11" s="80"/>
      <c r="H11" s="80"/>
      <c r="I11" s="80"/>
      <c r="K11" s="5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5.75">
      <c r="A12" s="55" t="s">
        <v>62</v>
      </c>
      <c r="B12" s="55" t="s">
        <v>4</v>
      </c>
      <c r="C12" s="60">
        <v>15.43</v>
      </c>
      <c r="D12" s="53" t="s">
        <v>6</v>
      </c>
      <c r="E12" s="81"/>
      <c r="F12" s="81"/>
      <c r="G12" s="80"/>
      <c r="H12" s="80"/>
      <c r="I12" s="80"/>
      <c r="K12" s="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5.75">
      <c r="A13" s="53"/>
      <c r="B13" s="53"/>
      <c r="C13" s="53"/>
      <c r="D13" s="53"/>
      <c r="E13" s="80"/>
      <c r="F13" s="80"/>
      <c r="G13" s="80"/>
      <c r="H13" s="80"/>
      <c r="I13" s="80"/>
      <c r="K13" s="5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15.75">
      <c r="A14" s="52" t="s">
        <v>73</v>
      </c>
      <c r="B14" s="53"/>
      <c r="C14" s="53"/>
      <c r="D14" s="53"/>
      <c r="K14" s="5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5.75">
      <c r="A15" s="55" t="s">
        <v>1</v>
      </c>
      <c r="B15" s="55" t="s">
        <v>4</v>
      </c>
      <c r="C15" s="61">
        <v>54</v>
      </c>
      <c r="D15" s="53" t="s">
        <v>21</v>
      </c>
      <c r="F15" s="80"/>
      <c r="G15" s="80"/>
      <c r="H15" s="80"/>
      <c r="K15" s="5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4" ht="15.75">
      <c r="A16" s="55" t="s">
        <v>164</v>
      </c>
      <c r="B16" s="55" t="s">
        <v>4</v>
      </c>
      <c r="C16" s="61">
        <v>20</v>
      </c>
      <c r="D16" s="53" t="s">
        <v>21</v>
      </c>
      <c r="E16" s="53"/>
      <c r="F16" s="53"/>
      <c r="G16" s="53"/>
      <c r="H16" s="53"/>
      <c r="I16" s="53"/>
      <c r="K16" s="5"/>
      <c r="L16" s="48"/>
      <c r="M16" s="48"/>
      <c r="N16" s="48"/>
      <c r="O16" s="48"/>
      <c r="P16" s="48"/>
      <c r="Q16" s="48"/>
      <c r="R16" s="148">
        <v>1</v>
      </c>
      <c r="S16" s="48" t="s">
        <v>4</v>
      </c>
      <c r="T16" s="48">
        <f>T21+T22/2</f>
        <v>11.600000000000001</v>
      </c>
      <c r="U16" s="48"/>
      <c r="V16" s="148">
        <v>4</v>
      </c>
      <c r="W16" s="48" t="s">
        <v>4</v>
      </c>
      <c r="X16">
        <f>IF(G25&gt;0,X21/2+X22/2,C15/2-T16-T17-T18)</f>
        <v>0</v>
      </c>
    </row>
    <row r="17" spans="1:24" ht="16.5">
      <c r="A17" s="117" t="s">
        <v>350</v>
      </c>
      <c r="B17" s="55" t="s">
        <v>4</v>
      </c>
      <c r="C17" s="61">
        <v>20</v>
      </c>
      <c r="D17" s="53" t="s">
        <v>8</v>
      </c>
      <c r="E17" s="53"/>
      <c r="F17" s="53"/>
      <c r="G17" s="53"/>
      <c r="H17" s="53"/>
      <c r="I17" s="53"/>
      <c r="K17" s="5"/>
      <c r="L17" s="48"/>
      <c r="M17" s="48"/>
      <c r="N17" s="48"/>
      <c r="O17" s="48"/>
      <c r="P17" s="48"/>
      <c r="Q17" s="48"/>
      <c r="R17" s="148">
        <v>2</v>
      </c>
      <c r="S17" s="48" t="s">
        <v>4</v>
      </c>
      <c r="T17" s="48">
        <f>IF(C26&gt;0,(T22+T23)/2,C15/2-T16)</f>
        <v>15.399999999999999</v>
      </c>
      <c r="U17" s="48"/>
      <c r="V17" s="148">
        <v>5</v>
      </c>
      <c r="W17" s="48" t="s">
        <v>4</v>
      </c>
      <c r="X17">
        <f>IF(G26&gt;0,(X22+X23)/2,C15/2-T16-T17-T18-X16)</f>
        <v>0</v>
      </c>
    </row>
    <row r="18" spans="1:24" ht="15.75">
      <c r="A18" s="53"/>
      <c r="B18" s="53"/>
      <c r="C18" s="53"/>
      <c r="D18" s="53"/>
      <c r="E18" s="55"/>
      <c r="F18" s="53"/>
      <c r="G18" s="53"/>
      <c r="H18" s="53"/>
      <c r="I18" s="53"/>
      <c r="J18" s="53"/>
      <c r="K18" s="5"/>
      <c r="L18" s="48"/>
      <c r="M18" s="48"/>
      <c r="N18" s="48"/>
      <c r="O18" s="48"/>
      <c r="P18" s="48"/>
      <c r="Q18" s="48"/>
      <c r="R18" s="148">
        <v>3</v>
      </c>
      <c r="S18" s="48" t="s">
        <v>4</v>
      </c>
      <c r="T18" s="48">
        <f>IF(G24&gt;0,(T23+X21)/2,C15/2-T16-T17)</f>
        <v>0</v>
      </c>
      <c r="U18" s="48"/>
      <c r="V18" s="148">
        <v>6</v>
      </c>
      <c r="W18" s="48" t="s">
        <v>4</v>
      </c>
      <c r="X18">
        <f>IF(G26&gt;0,X23/2+AB21,0)</f>
        <v>0</v>
      </c>
    </row>
    <row r="19" spans="1:23" ht="15.75">
      <c r="A19" s="52" t="s">
        <v>74</v>
      </c>
      <c r="B19" s="53"/>
      <c r="C19" s="53"/>
      <c r="D19" s="53"/>
      <c r="E19" s="53"/>
      <c r="F19" s="53"/>
      <c r="G19" s="53"/>
      <c r="H19" s="53"/>
      <c r="I19" s="53"/>
      <c r="J19" s="53"/>
      <c r="K19" s="5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1" ht="15.75">
      <c r="A20" s="55"/>
      <c r="B20" s="55"/>
      <c r="C20" s="147"/>
      <c r="D20" s="55"/>
      <c r="E20" s="55"/>
      <c r="F20" s="53"/>
      <c r="G20" s="53"/>
      <c r="H20" s="53"/>
      <c r="I20" s="53"/>
      <c r="J20" s="53"/>
      <c r="K20" s="5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8" ht="16.5" thickBot="1">
      <c r="A21" s="55" t="s">
        <v>65</v>
      </c>
      <c r="B21" s="55" t="s">
        <v>4</v>
      </c>
      <c r="C21" s="55">
        <f>(C4*100/(0.8*C15)+C6)/(0.6*C12)</f>
        <v>3.040413496235488</v>
      </c>
      <c r="D21" s="53" t="s">
        <v>66</v>
      </c>
      <c r="E21" s="53"/>
      <c r="F21" s="53"/>
      <c r="G21" s="53"/>
      <c r="H21" s="53"/>
      <c r="I21" s="53"/>
      <c r="J21" s="53"/>
      <c r="K21" s="5"/>
      <c r="L21" s="48"/>
      <c r="M21" s="48"/>
      <c r="N21" s="48"/>
      <c r="O21" s="48"/>
      <c r="P21" s="48"/>
      <c r="Q21" s="48"/>
      <c r="R21" s="48" t="s">
        <v>312</v>
      </c>
      <c r="S21" s="48" t="s">
        <v>4</v>
      </c>
      <c r="T21" s="48">
        <f>C15-C24</f>
        <v>7.600000000000001</v>
      </c>
      <c r="U21" s="48"/>
      <c r="V21" s="48" t="s">
        <v>315</v>
      </c>
      <c r="W21" s="48" t="s">
        <v>4</v>
      </c>
      <c r="X21" s="48">
        <f>C26-G24</f>
        <v>0</v>
      </c>
      <c r="Z21" t="s">
        <v>319</v>
      </c>
      <c r="AA21" s="48" t="s">
        <v>4</v>
      </c>
      <c r="AB21">
        <f>G26-C15/2</f>
        <v>-27</v>
      </c>
    </row>
    <row r="22" spans="1:24" ht="18" thickBot="1">
      <c r="A22" s="53"/>
      <c r="B22" s="53"/>
      <c r="C22" s="53"/>
      <c r="D22" s="53"/>
      <c r="E22" s="49" t="s">
        <v>311</v>
      </c>
      <c r="F22" s="50">
        <v>6</v>
      </c>
      <c r="G22" s="51" t="s">
        <v>66</v>
      </c>
      <c r="H22" s="53"/>
      <c r="I22" s="53"/>
      <c r="J22" s="53"/>
      <c r="K22" s="5"/>
      <c r="L22" s="48"/>
      <c r="M22" s="48"/>
      <c r="N22" s="48"/>
      <c r="O22" s="48"/>
      <c r="P22" s="48"/>
      <c r="Q22" s="48"/>
      <c r="R22" s="48" t="s">
        <v>313</v>
      </c>
      <c r="S22" s="48" t="s">
        <v>4</v>
      </c>
      <c r="T22" s="48">
        <f>C24-C25</f>
        <v>8</v>
      </c>
      <c r="U22" s="48"/>
      <c r="V22" s="48" t="s">
        <v>316</v>
      </c>
      <c r="W22" s="48" t="s">
        <v>4</v>
      </c>
      <c r="X22" s="48">
        <f>G24-G25</f>
        <v>0</v>
      </c>
    </row>
    <row r="23" spans="1:24" ht="15.75">
      <c r="A23" s="52" t="s">
        <v>75</v>
      </c>
      <c r="B23" s="53"/>
      <c r="C23" s="53"/>
      <c r="D23" s="53"/>
      <c r="E23" s="53"/>
      <c r="F23" s="53"/>
      <c r="G23" s="53"/>
      <c r="H23" s="53"/>
      <c r="I23" s="53"/>
      <c r="J23" s="53"/>
      <c r="K23" s="5"/>
      <c r="L23" s="48"/>
      <c r="M23" s="48"/>
      <c r="N23" s="48"/>
      <c r="O23" s="48"/>
      <c r="P23" s="48"/>
      <c r="Q23" s="48"/>
      <c r="R23" s="48" t="s">
        <v>314</v>
      </c>
      <c r="S23" s="48" t="s">
        <v>4</v>
      </c>
      <c r="T23" s="48">
        <f>C25-C26</f>
        <v>38.4</v>
      </c>
      <c r="U23" s="48"/>
      <c r="V23" s="48" t="s">
        <v>317</v>
      </c>
      <c r="W23" s="48" t="s">
        <v>4</v>
      </c>
      <c r="X23" s="48">
        <f>G25-G26</f>
        <v>0</v>
      </c>
    </row>
    <row r="24" spans="1:21" ht="16.5">
      <c r="A24" s="55" t="s">
        <v>67</v>
      </c>
      <c r="B24" s="55" t="s">
        <v>4</v>
      </c>
      <c r="C24" s="62">
        <v>46.4</v>
      </c>
      <c r="D24" s="53" t="s">
        <v>21</v>
      </c>
      <c r="E24" s="55" t="s">
        <v>70</v>
      </c>
      <c r="F24" s="55" t="s">
        <v>4</v>
      </c>
      <c r="G24" s="62">
        <v>0</v>
      </c>
      <c r="H24" s="53" t="s">
        <v>21</v>
      </c>
      <c r="I24" s="53"/>
      <c r="J24" s="53"/>
      <c r="K24" s="5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4" ht="16.5">
      <c r="A25" s="55" t="s">
        <v>68</v>
      </c>
      <c r="B25" s="55" t="s">
        <v>4</v>
      </c>
      <c r="C25" s="62">
        <v>38.4</v>
      </c>
      <c r="D25" s="53" t="s">
        <v>21</v>
      </c>
      <c r="E25" s="55" t="s">
        <v>71</v>
      </c>
      <c r="F25" s="55" t="s">
        <v>4</v>
      </c>
      <c r="G25" s="62">
        <v>0</v>
      </c>
      <c r="H25" s="53" t="s">
        <v>21</v>
      </c>
      <c r="I25" s="53"/>
      <c r="J25" s="53"/>
      <c r="K25" s="5"/>
      <c r="L25" s="48"/>
      <c r="M25" s="48"/>
      <c r="N25" s="48"/>
      <c r="O25" s="48"/>
      <c r="P25" s="48"/>
      <c r="Q25" s="48"/>
      <c r="R25" s="48" t="s">
        <v>326</v>
      </c>
      <c r="S25" s="48" t="s">
        <v>4</v>
      </c>
      <c r="T25" s="48">
        <f>C4*100*C15/(2*S29)</f>
        <v>0.102880658436214</v>
      </c>
      <c r="U25" s="48"/>
      <c r="V25" s="48" t="s">
        <v>245</v>
      </c>
      <c r="W25" s="48" t="s">
        <v>4</v>
      </c>
      <c r="X25">
        <f>(X16+X17+X18)*T25/(C15/2)</f>
        <v>0</v>
      </c>
    </row>
    <row r="26" spans="1:24" ht="16.5">
      <c r="A26" s="55" t="s">
        <v>69</v>
      </c>
      <c r="B26" s="55" t="s">
        <v>4</v>
      </c>
      <c r="C26" s="62">
        <v>0</v>
      </c>
      <c r="D26" s="53" t="s">
        <v>21</v>
      </c>
      <c r="E26" s="55" t="s">
        <v>318</v>
      </c>
      <c r="F26" s="55" t="s">
        <v>4</v>
      </c>
      <c r="G26" s="62">
        <v>0</v>
      </c>
      <c r="H26" s="53" t="s">
        <v>21</v>
      </c>
      <c r="I26" s="53"/>
      <c r="J26" s="53"/>
      <c r="K26" s="5"/>
      <c r="L26" s="48"/>
      <c r="M26" s="48"/>
      <c r="N26" s="48"/>
      <c r="O26" s="48"/>
      <c r="P26" s="48"/>
      <c r="Q26" s="48"/>
      <c r="R26" s="48" t="s">
        <v>243</v>
      </c>
      <c r="S26" s="48" t="s">
        <v>4</v>
      </c>
      <c r="T26" s="48">
        <f>(T17+T18+X16+X17+X18)*T25/(C15/2)</f>
        <v>0.058680079256210944</v>
      </c>
      <c r="U26" s="48"/>
      <c r="V26" s="48" t="s">
        <v>327</v>
      </c>
      <c r="W26" s="48" t="s">
        <v>4</v>
      </c>
      <c r="X26">
        <f>(X17+X18)*T25/(C15/2)</f>
        <v>0</v>
      </c>
    </row>
    <row r="27" spans="3:24" ht="15.75">
      <c r="C27" s="62"/>
      <c r="E27" s="53"/>
      <c r="F27" s="53"/>
      <c r="G27" s="53"/>
      <c r="H27" s="53"/>
      <c r="I27" s="53"/>
      <c r="J27" s="53"/>
      <c r="K27" s="5"/>
      <c r="L27" s="48"/>
      <c r="M27" s="48"/>
      <c r="N27" s="48"/>
      <c r="O27" s="48"/>
      <c r="P27" s="48"/>
      <c r="Q27" s="48"/>
      <c r="R27" s="48" t="s">
        <v>244</v>
      </c>
      <c r="S27" s="48" t="s">
        <v>4</v>
      </c>
      <c r="T27" s="48">
        <f>(T18+X16+X17+X18)*T25/(C15/2)</f>
        <v>0</v>
      </c>
      <c r="U27" s="48"/>
      <c r="V27" s="48" t="s">
        <v>328</v>
      </c>
      <c r="W27" s="48" t="s">
        <v>4</v>
      </c>
      <c r="X27">
        <f>(X18)*T25/(C15/2)</f>
        <v>0</v>
      </c>
    </row>
    <row r="28" spans="1:24" ht="15.75">
      <c r="A28" s="63" t="s">
        <v>338</v>
      </c>
      <c r="B28" s="64"/>
      <c r="C28" s="64"/>
      <c r="D28" s="64"/>
      <c r="E28" s="64"/>
      <c r="F28" s="64"/>
      <c r="G28" s="64"/>
      <c r="H28" s="64"/>
      <c r="I28" s="64"/>
      <c r="J28" s="53"/>
      <c r="K28" s="10"/>
      <c r="L28" s="10"/>
      <c r="M28" s="10"/>
      <c r="N28" s="5"/>
      <c r="O28" s="5"/>
      <c r="P28" s="5"/>
      <c r="Q28" s="5"/>
      <c r="R28" s="48"/>
      <c r="S28" s="48"/>
      <c r="T28" s="48"/>
      <c r="U28" s="48"/>
      <c r="V28" s="48" t="s">
        <v>329</v>
      </c>
      <c r="W28" s="48" t="s">
        <v>4</v>
      </c>
      <c r="X28">
        <v>0</v>
      </c>
    </row>
    <row r="29" spans="1:21" ht="16.5">
      <c r="A29" s="65" t="s">
        <v>320</v>
      </c>
      <c r="B29" s="65" t="s">
        <v>4</v>
      </c>
      <c r="C29" s="157" t="s">
        <v>345</v>
      </c>
      <c r="D29" s="157"/>
      <c r="E29" s="157"/>
      <c r="F29" s="65">
        <f>(T25+T26)*T16*C16/4</f>
        <v>9.370522786160647</v>
      </c>
      <c r="G29" s="64" t="s">
        <v>77</v>
      </c>
      <c r="H29" s="64" t="s">
        <v>333</v>
      </c>
      <c r="I29" s="66" t="str">
        <f>IF(AND(F29&lt;S31*0.8*C12),"SAFE","UNSAFE")</f>
        <v>SAFE</v>
      </c>
      <c r="J29" s="64"/>
      <c r="K29" s="10"/>
      <c r="L29" s="10"/>
      <c r="M29" s="10"/>
      <c r="N29" s="5"/>
      <c r="O29" s="5"/>
      <c r="P29" s="5"/>
      <c r="Q29" s="5"/>
      <c r="R29" s="48" t="s">
        <v>330</v>
      </c>
      <c r="S29" s="48">
        <f>C16*C15^3/12</f>
        <v>262440</v>
      </c>
      <c r="T29" s="48"/>
      <c r="U29" s="48"/>
    </row>
    <row r="30" spans="1:21" ht="16.5">
      <c r="A30" s="65" t="s">
        <v>321</v>
      </c>
      <c r="B30" s="65" t="s">
        <v>4</v>
      </c>
      <c r="C30" s="157" t="s">
        <v>346</v>
      </c>
      <c r="D30" s="157"/>
      <c r="E30" s="157"/>
      <c r="F30" s="65">
        <f>(T26+T27)*T17*C16/4</f>
        <v>4.518366102728242</v>
      </c>
      <c r="G30" s="64" t="s">
        <v>77</v>
      </c>
      <c r="H30" s="64" t="s">
        <v>333</v>
      </c>
      <c r="I30" s="66" t="str">
        <f>IF(AND(F30&lt;S31*0.8*C12),"SAFE","UNSAFE")</f>
        <v>SAFE</v>
      </c>
      <c r="K30" s="9"/>
      <c r="L30" s="9"/>
      <c r="M30" s="9"/>
      <c r="N30" s="4"/>
      <c r="O30" s="4"/>
      <c r="P30" s="5"/>
      <c r="Q30" s="5"/>
      <c r="R30" s="48"/>
      <c r="S30" s="48"/>
      <c r="T30" s="48"/>
      <c r="U30" s="48"/>
    </row>
    <row r="31" spans="1:21" ht="16.5">
      <c r="A31" s="65" t="s">
        <v>322</v>
      </c>
      <c r="B31" s="65" t="s">
        <v>4</v>
      </c>
      <c r="C31" s="157" t="s">
        <v>347</v>
      </c>
      <c r="D31" s="157"/>
      <c r="E31" s="157"/>
      <c r="F31" s="65">
        <f>(T27+X25)*T18*C16/4</f>
        <v>0</v>
      </c>
      <c r="G31" s="64" t="s">
        <v>77</v>
      </c>
      <c r="H31" s="64" t="s">
        <v>333</v>
      </c>
      <c r="I31" s="66" t="str">
        <f>IF(AND(F31&lt;S31*0.8*C12),"SAFE","UNSAFE")</f>
        <v>SAFE</v>
      </c>
      <c r="K31" s="4"/>
      <c r="L31" s="9"/>
      <c r="M31" s="9"/>
      <c r="N31" s="9"/>
      <c r="O31" s="4"/>
      <c r="P31" s="5"/>
      <c r="Q31" s="5"/>
      <c r="R31" s="48" t="s">
        <v>196</v>
      </c>
      <c r="S31" s="48">
        <f>IF(E4="a",1,1.2)</f>
        <v>1</v>
      </c>
      <c r="T31" s="48"/>
      <c r="U31" s="48"/>
    </row>
    <row r="32" spans="1:21" ht="16.5">
      <c r="A32" s="65" t="s">
        <v>323</v>
      </c>
      <c r="B32" s="65" t="s">
        <v>4</v>
      </c>
      <c r="C32" s="157" t="s">
        <v>348</v>
      </c>
      <c r="D32" s="157"/>
      <c r="E32" s="157"/>
      <c r="F32" s="65">
        <f>(X25+X26)*X16*C16/4</f>
        <v>0</v>
      </c>
      <c r="G32" s="64" t="s">
        <v>77</v>
      </c>
      <c r="H32" s="64" t="s">
        <v>333</v>
      </c>
      <c r="I32" s="66" t="str">
        <f>IF(AND(F32&lt;S31*0.8*C12),"SAFE","UNSAFE")</f>
        <v>SAFE</v>
      </c>
      <c r="K32" s="4"/>
      <c r="L32" s="9"/>
      <c r="M32" s="9"/>
      <c r="N32" s="9"/>
      <c r="O32" s="4"/>
      <c r="P32" s="5"/>
      <c r="Q32" s="5"/>
      <c r="R32" s="48"/>
      <c r="S32" s="48"/>
      <c r="T32" s="48"/>
      <c r="U32" s="48"/>
    </row>
    <row r="33" spans="1:21" ht="16.5">
      <c r="A33" s="65" t="s">
        <v>324</v>
      </c>
      <c r="B33" s="65" t="s">
        <v>4</v>
      </c>
      <c r="C33" s="157" t="s">
        <v>344</v>
      </c>
      <c r="D33" s="157"/>
      <c r="E33" s="157"/>
      <c r="F33" s="65">
        <f>(X26+X27)*X17*C16/4</f>
        <v>0</v>
      </c>
      <c r="G33" s="64" t="s">
        <v>77</v>
      </c>
      <c r="H33" s="64" t="s">
        <v>333</v>
      </c>
      <c r="I33" s="66" t="str">
        <f>IF(AND(F33&lt;S31*0.8*C12),"SAFE","UNSAFE")</f>
        <v>SAFE</v>
      </c>
      <c r="K33" s="4"/>
      <c r="L33" s="4"/>
      <c r="M33" s="4"/>
      <c r="N33" s="4"/>
      <c r="O33" s="4"/>
      <c r="P33" s="5"/>
      <c r="Q33" s="5"/>
      <c r="R33" s="48"/>
      <c r="S33" s="48"/>
      <c r="T33" s="48"/>
      <c r="U33" s="48"/>
    </row>
    <row r="34" spans="1:21" ht="16.5">
      <c r="A34" s="65" t="s">
        <v>325</v>
      </c>
      <c r="B34" s="65" t="s">
        <v>4</v>
      </c>
      <c r="C34" s="157" t="s">
        <v>343</v>
      </c>
      <c r="D34" s="157"/>
      <c r="E34" s="157"/>
      <c r="F34" s="65">
        <f>(X27+X28)*X18*C16/4</f>
        <v>0</v>
      </c>
      <c r="G34" s="64" t="s">
        <v>77</v>
      </c>
      <c r="H34" s="64" t="s">
        <v>333</v>
      </c>
      <c r="I34" s="66" t="str">
        <f>IF(AND(F34&lt;S31*0.8*C17),"SAFE","UNSAFE")</f>
        <v>SAFE</v>
      </c>
      <c r="K34" s="4"/>
      <c r="L34" s="4"/>
      <c r="M34" s="4"/>
      <c r="N34" s="4"/>
      <c r="O34" s="4"/>
      <c r="P34" s="5"/>
      <c r="Q34" s="5"/>
      <c r="R34" s="48"/>
      <c r="S34" s="48"/>
      <c r="T34" s="48"/>
      <c r="U34" s="48"/>
    </row>
    <row r="35" spans="1:21" ht="16.5">
      <c r="A35" s="65" t="s">
        <v>331</v>
      </c>
      <c r="B35" s="65" t="s">
        <v>4</v>
      </c>
      <c r="C35" s="64" t="s">
        <v>332</v>
      </c>
      <c r="D35" s="158" t="s">
        <v>4</v>
      </c>
      <c r="E35" s="158"/>
      <c r="F35" s="65">
        <f>C6/F22</f>
        <v>0.8333333333333334</v>
      </c>
      <c r="G35" s="64" t="s">
        <v>77</v>
      </c>
      <c r="H35" s="64" t="s">
        <v>334</v>
      </c>
      <c r="I35" s="66" t="str">
        <f>IF(AND(F35&lt;S31*0.6*C12),"SAFE","UNSAFE")</f>
        <v>SAFE</v>
      </c>
      <c r="K35" s="5"/>
      <c r="L35" s="5"/>
      <c r="M35" s="5"/>
      <c r="N35" s="5"/>
      <c r="O35" s="5"/>
      <c r="P35" s="5"/>
      <c r="Q35" s="5"/>
      <c r="R35" s="48"/>
      <c r="S35" s="48"/>
      <c r="T35" s="48"/>
      <c r="U35" s="48"/>
    </row>
    <row r="36" spans="1:21" ht="15.75">
      <c r="A36" s="65"/>
      <c r="B36" s="65"/>
      <c r="C36" s="64"/>
      <c r="D36" s="64"/>
      <c r="E36" s="64"/>
      <c r="F36" s="65"/>
      <c r="G36" s="64"/>
      <c r="H36" s="64"/>
      <c r="I36" s="66"/>
      <c r="K36" s="5"/>
      <c r="L36" s="5"/>
      <c r="M36" s="5"/>
      <c r="N36" s="5"/>
      <c r="O36" s="5"/>
      <c r="P36" s="5"/>
      <c r="Q36" s="5"/>
      <c r="R36" s="48"/>
      <c r="S36" s="48"/>
      <c r="T36" s="48"/>
      <c r="U36" s="48"/>
    </row>
    <row r="37" spans="1:21" ht="16.5">
      <c r="A37" s="67" t="s">
        <v>335</v>
      </c>
      <c r="B37" s="65"/>
      <c r="C37" s="64"/>
      <c r="D37" s="65" t="s">
        <v>4</v>
      </c>
      <c r="E37" s="65">
        <f>F35/(0.6*C12)+(MAX(F29:F34))/(0.8*C12)</f>
        <v>0.849127827063493</v>
      </c>
      <c r="F37" s="65" t="s">
        <v>78</v>
      </c>
      <c r="G37" s="68">
        <f>S31</f>
        <v>1</v>
      </c>
      <c r="H37" s="66"/>
      <c r="I37" s="66" t="str">
        <f>IF(AND(E37&lt;G37),"SAFE","UNSAFE")</f>
        <v>SAFE</v>
      </c>
      <c r="K37" s="5"/>
      <c r="L37" s="5"/>
      <c r="M37" s="5"/>
      <c r="N37" s="5"/>
      <c r="O37" s="5"/>
      <c r="P37" s="5"/>
      <c r="Q37" s="5"/>
      <c r="R37" s="48"/>
      <c r="S37" s="48"/>
      <c r="T37" s="48"/>
      <c r="U37" s="48"/>
    </row>
    <row r="38" spans="1:21" ht="15.75">
      <c r="A38" s="65"/>
      <c r="B38" s="65"/>
      <c r="C38" s="64"/>
      <c r="D38" s="65"/>
      <c r="E38" s="65"/>
      <c r="F38" s="64"/>
      <c r="G38" s="68"/>
      <c r="H38" s="66"/>
      <c r="I38" s="66"/>
      <c r="K38" s="5"/>
      <c r="L38" s="5"/>
      <c r="M38" s="5"/>
      <c r="N38" s="5"/>
      <c r="O38" s="5"/>
      <c r="P38" s="5"/>
      <c r="Q38" s="5"/>
      <c r="R38" s="48"/>
      <c r="S38" s="48"/>
      <c r="T38" s="48"/>
      <c r="U38" s="48"/>
    </row>
    <row r="39" spans="1:21" ht="16.5">
      <c r="A39" s="65" t="s">
        <v>79</v>
      </c>
      <c r="B39" s="65" t="s">
        <v>4</v>
      </c>
      <c r="C39" s="65">
        <f>C5/(F22)</f>
        <v>0.8333333333333334</v>
      </c>
      <c r="D39" s="65" t="s">
        <v>78</v>
      </c>
      <c r="E39" s="64" t="s">
        <v>337</v>
      </c>
      <c r="F39" s="64"/>
      <c r="G39" s="65" t="s">
        <v>4</v>
      </c>
      <c r="H39" s="65">
        <f>C11*S31*(1-(F35/C12))</f>
        <v>4.663743789155324</v>
      </c>
      <c r="I39" s="66" t="str">
        <f>IF(AND(C39&lt;H39),"SAFE","UNSAFE")</f>
        <v>SAFE</v>
      </c>
      <c r="K39" s="5"/>
      <c r="L39" s="5"/>
      <c r="M39" s="5"/>
      <c r="N39" s="5"/>
      <c r="O39" s="5"/>
      <c r="P39" s="5"/>
      <c r="Q39" s="5"/>
      <c r="R39" s="48"/>
      <c r="S39" s="48"/>
      <c r="T39" s="48"/>
      <c r="U39" s="48"/>
    </row>
    <row r="40" spans="11:21" ht="15.75">
      <c r="K40" s="5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18">
      <c r="A41" s="149" t="s">
        <v>340</v>
      </c>
      <c r="K41" s="5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1:21" ht="15.75">
      <c r="K42" s="5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1:21" ht="15.75">
      <c r="K43" s="5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15.75">
      <c r="A44" s="63" t="s">
        <v>339</v>
      </c>
      <c r="K44" s="5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5.75">
      <c r="A45" s="63"/>
      <c r="K45" s="5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15.75">
      <c r="A46" s="117" t="s">
        <v>165</v>
      </c>
      <c r="B46" s="117" t="s">
        <v>4</v>
      </c>
      <c r="C46" s="62">
        <v>45</v>
      </c>
      <c r="D46" s="119" t="s">
        <v>8</v>
      </c>
      <c r="K46" s="5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16.5">
      <c r="A47" s="117" t="s">
        <v>341</v>
      </c>
      <c r="B47" s="117" t="s">
        <v>4</v>
      </c>
      <c r="C47" s="157" t="s">
        <v>342</v>
      </c>
      <c r="D47" s="157"/>
      <c r="E47" s="117">
        <f>F29*C46/10</f>
        <v>42.16735253772291</v>
      </c>
      <c r="F47" s="116" t="s">
        <v>349</v>
      </c>
      <c r="G47" s="116"/>
      <c r="H47" s="116"/>
      <c r="I47" s="116"/>
      <c r="J47" s="116"/>
      <c r="K47" s="116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5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16.5">
      <c r="A49" s="117" t="s">
        <v>350</v>
      </c>
      <c r="B49" s="117" t="s">
        <v>4</v>
      </c>
      <c r="C49" s="150" t="s">
        <v>351</v>
      </c>
      <c r="D49" s="116"/>
      <c r="E49" s="117">
        <f>SQRT((6*E47)/(0.864*C16))</f>
        <v>3.8264137065110995</v>
      </c>
      <c r="F49" s="116" t="s">
        <v>21</v>
      </c>
      <c r="G49" s="123">
        <f>(EVEN(E49*10))</f>
        <v>40</v>
      </c>
      <c r="H49" s="116" t="s">
        <v>8</v>
      </c>
      <c r="I49" s="66" t="str">
        <f>IF(AND(G49&lt;C17),"SAFE","UNSAFE")</f>
        <v>UNSAFE</v>
      </c>
      <c r="J49" s="116"/>
      <c r="K49" s="116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5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5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15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5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15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5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5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1" ht="15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ht="15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ht="15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ht="15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ht="15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:21" ht="15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ht="15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ht="15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ht="15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ht="15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ht="15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15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ht="15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ht="15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ht="15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ht="15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ht="15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ht="15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ht="15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15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15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15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15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5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15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5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15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ht="15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ht="15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ht="15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ht="15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ht="15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ht="15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ht="15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ht="15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ht="15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ht="15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ht="15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ht="15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ht="15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ht="15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ht="15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ht="15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ht="15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ht="15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ht="15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ht="15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ht="15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ht="15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ht="15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</sheetData>
  <sheetProtection/>
  <mergeCells count="8">
    <mergeCell ref="D35:E35"/>
    <mergeCell ref="C47:D47"/>
    <mergeCell ref="C29:E29"/>
    <mergeCell ref="C30:E30"/>
    <mergeCell ref="C31:E31"/>
    <mergeCell ref="C32:E32"/>
    <mergeCell ref="C33:E33"/>
    <mergeCell ref="C34:E3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8.57421875" style="0" customWidth="1"/>
    <col min="4" max="4" width="13.28125" style="0" customWidth="1"/>
    <col min="5" max="5" width="10.28125" style="0" customWidth="1"/>
    <col min="6" max="6" width="9.7109375" style="0" customWidth="1"/>
    <col min="7" max="7" width="10.7109375" style="0" customWidth="1"/>
    <col min="19" max="19" width="17.28125" style="0" bestFit="1" customWidth="1"/>
    <col min="20" max="20" width="10.421875" style="0" customWidth="1"/>
    <col min="24" max="24" width="11.7109375" style="0" customWidth="1"/>
  </cols>
  <sheetData>
    <row r="1" spans="1:21" ht="20.25">
      <c r="A1" s="2" t="s">
        <v>85</v>
      </c>
      <c r="B1" s="3"/>
      <c r="C1" s="54"/>
      <c r="D1" s="3" t="s">
        <v>59</v>
      </c>
      <c r="E1" s="78"/>
      <c r="F1" s="78"/>
      <c r="G1" s="79"/>
      <c r="H1" s="53"/>
      <c r="I1" s="53"/>
      <c r="J1" s="53"/>
      <c r="K1" s="5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.75">
      <c r="A2" s="53"/>
      <c r="B2" s="53"/>
      <c r="C2" s="53"/>
      <c r="D2" s="53"/>
      <c r="E2" s="80"/>
      <c r="F2" s="80"/>
      <c r="G2" s="80"/>
      <c r="H2" s="80"/>
      <c r="I2" s="80"/>
      <c r="J2" s="53"/>
      <c r="K2" s="5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5.75">
      <c r="A3" s="52" t="s">
        <v>61</v>
      </c>
      <c r="B3" s="53"/>
      <c r="C3" s="53"/>
      <c r="D3" s="53"/>
      <c r="E3" s="80" t="s">
        <v>336</v>
      </c>
      <c r="F3" s="80"/>
      <c r="G3" s="80"/>
      <c r="H3" s="80"/>
      <c r="I3" s="80"/>
      <c r="K3" s="5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>
      <c r="A4" s="55" t="s">
        <v>7</v>
      </c>
      <c r="B4" s="55" t="s">
        <v>4</v>
      </c>
      <c r="C4" s="56">
        <v>4.17</v>
      </c>
      <c r="D4" s="53" t="s">
        <v>15</v>
      </c>
      <c r="E4" s="151" t="s">
        <v>45</v>
      </c>
      <c r="I4" s="80"/>
      <c r="K4" s="5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5.75">
      <c r="A5" s="55" t="s">
        <v>17</v>
      </c>
      <c r="B5" s="55" t="s">
        <v>4</v>
      </c>
      <c r="C5" s="56">
        <v>10</v>
      </c>
      <c r="D5" s="53" t="s">
        <v>6</v>
      </c>
      <c r="E5" s="48"/>
      <c r="F5" s="80"/>
      <c r="G5" s="81"/>
      <c r="H5" s="80"/>
      <c r="I5" s="80"/>
      <c r="K5" s="5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5.75">
      <c r="A6" s="55" t="s">
        <v>368</v>
      </c>
      <c r="B6" s="55" t="s">
        <v>4</v>
      </c>
      <c r="C6" s="56">
        <v>1</v>
      </c>
      <c r="D6" s="53" t="s">
        <v>6</v>
      </c>
      <c r="E6" s="81"/>
      <c r="F6" s="80"/>
      <c r="G6" s="80"/>
      <c r="H6" s="80"/>
      <c r="I6" s="80"/>
      <c r="K6" s="5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5.75">
      <c r="A7" s="53"/>
      <c r="B7" s="53"/>
      <c r="C7" s="53"/>
      <c r="D7" s="53"/>
      <c r="E7" s="81"/>
      <c r="H7" s="80"/>
      <c r="I7" s="80"/>
      <c r="K7" s="5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.75">
      <c r="A8" s="52" t="s">
        <v>72</v>
      </c>
      <c r="B8" s="53"/>
      <c r="C8" s="53"/>
      <c r="D8" s="53"/>
      <c r="E8" s="81"/>
      <c r="F8" s="80"/>
      <c r="G8" s="81"/>
      <c r="H8" s="80"/>
      <c r="I8" s="80"/>
      <c r="K8" s="5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20.25">
      <c r="A9" s="57" t="s">
        <v>7</v>
      </c>
      <c r="B9" s="58">
        <v>20</v>
      </c>
      <c r="C9" s="57" t="s">
        <v>17</v>
      </c>
      <c r="D9" s="59">
        <v>8.8</v>
      </c>
      <c r="E9" s="81"/>
      <c r="F9" s="80"/>
      <c r="G9" s="80"/>
      <c r="H9" s="80"/>
      <c r="I9" s="80"/>
      <c r="K9" s="5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8.75">
      <c r="A10" s="55" t="s">
        <v>63</v>
      </c>
      <c r="B10" s="55" t="s">
        <v>4</v>
      </c>
      <c r="C10" s="60">
        <v>2.45</v>
      </c>
      <c r="D10" s="53" t="s">
        <v>55</v>
      </c>
      <c r="E10" s="81"/>
      <c r="F10" s="80"/>
      <c r="G10" s="80"/>
      <c r="H10" s="80"/>
      <c r="I10" s="80"/>
      <c r="K10" s="5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6.5">
      <c r="A11" s="55" t="s">
        <v>64</v>
      </c>
      <c r="B11" s="55" t="s">
        <v>4</v>
      </c>
      <c r="C11" s="60">
        <v>3.45</v>
      </c>
      <c r="D11" s="53" t="s">
        <v>6</v>
      </c>
      <c r="E11" s="81"/>
      <c r="F11" s="80"/>
      <c r="G11" s="80"/>
      <c r="H11" s="80"/>
      <c r="I11" s="80"/>
      <c r="K11" s="5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5.75">
      <c r="A12" s="55" t="s">
        <v>62</v>
      </c>
      <c r="B12" s="55" t="s">
        <v>4</v>
      </c>
      <c r="C12" s="60">
        <v>10.81</v>
      </c>
      <c r="D12" s="53" t="s">
        <v>6</v>
      </c>
      <c r="E12" s="81"/>
      <c r="F12" s="81"/>
      <c r="G12" s="80"/>
      <c r="H12" s="80"/>
      <c r="I12" s="80"/>
      <c r="K12" s="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5.75">
      <c r="A13" s="53"/>
      <c r="B13" s="53"/>
      <c r="C13" s="53"/>
      <c r="D13" s="53"/>
      <c r="E13" s="80"/>
      <c r="F13" s="80"/>
      <c r="G13" s="80"/>
      <c r="H13" s="80"/>
      <c r="I13" s="80"/>
      <c r="K13" s="5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15.75">
      <c r="A14" s="52" t="s">
        <v>73</v>
      </c>
      <c r="B14" s="53"/>
      <c r="C14" s="53"/>
      <c r="D14" s="53"/>
      <c r="K14" s="5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5.75">
      <c r="A15" s="55" t="s">
        <v>1</v>
      </c>
      <c r="B15" s="55" t="s">
        <v>4</v>
      </c>
      <c r="C15" s="61">
        <v>40</v>
      </c>
      <c r="D15" s="53" t="s">
        <v>21</v>
      </c>
      <c r="F15" s="80"/>
      <c r="G15" s="80"/>
      <c r="H15" s="80"/>
      <c r="K15" s="5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4" ht="15.75">
      <c r="A16" s="55" t="s">
        <v>164</v>
      </c>
      <c r="B16" s="55" t="s">
        <v>4</v>
      </c>
      <c r="C16" s="61">
        <v>15</v>
      </c>
      <c r="D16" s="53" t="s">
        <v>21</v>
      </c>
      <c r="E16" s="53"/>
      <c r="F16" s="53"/>
      <c r="G16" s="53"/>
      <c r="H16" s="53"/>
      <c r="I16" s="53"/>
      <c r="K16" s="5"/>
      <c r="L16" s="48"/>
      <c r="M16" s="48"/>
      <c r="N16" s="48"/>
      <c r="O16" s="48"/>
      <c r="P16" s="48"/>
      <c r="Q16" s="48"/>
      <c r="R16" s="148">
        <v>1</v>
      </c>
      <c r="S16" s="48" t="s">
        <v>4</v>
      </c>
      <c r="T16" s="48">
        <f>T21+T22/2</f>
        <v>8.2675</v>
      </c>
      <c r="U16" s="48"/>
      <c r="V16" s="148">
        <v>4</v>
      </c>
      <c r="W16" s="48" t="s">
        <v>4</v>
      </c>
      <c r="X16">
        <f>IF(G25&gt;0,X21/2+X22/2,C15/2-T16-T17-T18)</f>
        <v>0</v>
      </c>
    </row>
    <row r="17" spans="1:24" ht="16.5">
      <c r="A17" s="117" t="s">
        <v>350</v>
      </c>
      <c r="B17" s="55" t="s">
        <v>4</v>
      </c>
      <c r="C17" s="61">
        <v>22</v>
      </c>
      <c r="D17" s="53" t="s">
        <v>8</v>
      </c>
      <c r="E17" s="53"/>
      <c r="F17" s="53"/>
      <c r="G17" s="53"/>
      <c r="H17" s="53"/>
      <c r="I17" s="53"/>
      <c r="K17" s="5"/>
      <c r="L17" s="48"/>
      <c r="M17" s="48"/>
      <c r="N17" s="48"/>
      <c r="O17" s="48"/>
      <c r="P17" s="48"/>
      <c r="Q17" s="48"/>
      <c r="R17" s="148">
        <v>2</v>
      </c>
      <c r="S17" s="48" t="s">
        <v>4</v>
      </c>
      <c r="T17" s="48">
        <f>IF(C26&gt;0,(T22+T23)/2,C15/2-T16)</f>
        <v>11.7325</v>
      </c>
      <c r="U17" s="48"/>
      <c r="V17" s="148">
        <v>5</v>
      </c>
      <c r="W17" s="48" t="s">
        <v>4</v>
      </c>
      <c r="X17">
        <f>IF(G26&gt;0,(X22+X23)/2,C15/2-T16-T17-T18-X16)</f>
        <v>0</v>
      </c>
    </row>
    <row r="18" spans="1:24" ht="15.75">
      <c r="A18" s="53"/>
      <c r="B18" s="53"/>
      <c r="C18" s="53"/>
      <c r="D18" s="53"/>
      <c r="E18" s="55"/>
      <c r="F18" s="53"/>
      <c r="G18" s="53"/>
      <c r="H18" s="53"/>
      <c r="I18" s="53"/>
      <c r="J18" s="53"/>
      <c r="K18" s="5"/>
      <c r="L18" s="48"/>
      <c r="M18" s="48"/>
      <c r="N18" s="48"/>
      <c r="O18" s="48"/>
      <c r="P18" s="48"/>
      <c r="Q18" s="48"/>
      <c r="R18" s="148">
        <v>3</v>
      </c>
      <c r="S18" s="48" t="s">
        <v>4</v>
      </c>
      <c r="T18" s="48">
        <f>IF(G24&gt;0,(T23+X21)/2,C15/2-T16-T17)</f>
        <v>0</v>
      </c>
      <c r="U18" s="48"/>
      <c r="V18" s="148">
        <v>6</v>
      </c>
      <c r="W18" s="48" t="s">
        <v>4</v>
      </c>
      <c r="X18">
        <f>IF(G26&gt;0,X23/2+AB21,0)</f>
        <v>0</v>
      </c>
    </row>
    <row r="19" spans="1:23" ht="15.75">
      <c r="A19" s="52" t="s">
        <v>74</v>
      </c>
      <c r="B19" s="53"/>
      <c r="C19" s="53"/>
      <c r="D19" s="53"/>
      <c r="E19" s="53"/>
      <c r="F19" s="53"/>
      <c r="G19" s="53"/>
      <c r="H19" s="53"/>
      <c r="I19" s="53"/>
      <c r="J19" s="53"/>
      <c r="K19" s="5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1" ht="15.75">
      <c r="A20" s="55"/>
      <c r="B20" s="55"/>
      <c r="C20" s="147"/>
      <c r="D20" s="55"/>
      <c r="E20" s="55"/>
      <c r="F20" s="53"/>
      <c r="G20" s="53"/>
      <c r="H20" s="53"/>
      <c r="I20" s="53"/>
      <c r="J20" s="53"/>
      <c r="K20" s="5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8" ht="16.5" thickBot="1">
      <c r="A21" s="55" t="s">
        <v>65</v>
      </c>
      <c r="B21" s="55" t="s">
        <v>4</v>
      </c>
      <c r="C21" s="55">
        <f>(C4*100/(0.8*C15)+C6)/(0.6*C12)</f>
        <v>2.163313290163429</v>
      </c>
      <c r="D21" s="53" t="s">
        <v>66</v>
      </c>
      <c r="E21" s="53"/>
      <c r="F21" s="53"/>
      <c r="G21" s="53"/>
      <c r="H21" s="53"/>
      <c r="I21" s="53"/>
      <c r="J21" s="53"/>
      <c r="K21" s="5"/>
      <c r="L21" s="48"/>
      <c r="M21" s="48"/>
      <c r="N21" s="48"/>
      <c r="O21" s="48"/>
      <c r="P21" s="48"/>
      <c r="Q21" s="48"/>
      <c r="R21" s="48" t="s">
        <v>312</v>
      </c>
      <c r="S21" s="48" t="s">
        <v>4</v>
      </c>
      <c r="T21" s="48">
        <f>C15-C24</f>
        <v>4</v>
      </c>
      <c r="U21" s="48"/>
      <c r="V21" s="48" t="s">
        <v>315</v>
      </c>
      <c r="W21" s="48" t="s">
        <v>4</v>
      </c>
      <c r="X21" s="48">
        <f>C26-G24</f>
        <v>0</v>
      </c>
      <c r="Z21" t="s">
        <v>319</v>
      </c>
      <c r="AA21" s="48" t="s">
        <v>4</v>
      </c>
      <c r="AB21">
        <f>G26-C15/2</f>
        <v>-20</v>
      </c>
    </row>
    <row r="22" spans="1:24" ht="18" thickBot="1">
      <c r="A22" s="53"/>
      <c r="B22" s="53"/>
      <c r="C22" s="53"/>
      <c r="D22" s="53"/>
      <c r="E22" s="49" t="s">
        <v>311</v>
      </c>
      <c r="F22" s="50">
        <v>6</v>
      </c>
      <c r="G22" s="51" t="s">
        <v>66</v>
      </c>
      <c r="H22" s="53"/>
      <c r="I22" s="53"/>
      <c r="J22" s="53"/>
      <c r="K22" s="5"/>
      <c r="L22" s="48"/>
      <c r="M22" s="48"/>
      <c r="N22" s="48"/>
      <c r="O22" s="48"/>
      <c r="P22" s="48"/>
      <c r="Q22" s="48"/>
      <c r="R22" s="48" t="s">
        <v>313</v>
      </c>
      <c r="S22" s="48" t="s">
        <v>4</v>
      </c>
      <c r="T22" s="48">
        <f>C24-C25</f>
        <v>8.535</v>
      </c>
      <c r="U22" s="48"/>
      <c r="V22" s="48" t="s">
        <v>316</v>
      </c>
      <c r="W22" s="48" t="s">
        <v>4</v>
      </c>
      <c r="X22" s="48">
        <f>G24-G25</f>
        <v>0</v>
      </c>
    </row>
    <row r="23" spans="1:24" ht="15.75">
      <c r="A23" s="52" t="s">
        <v>75</v>
      </c>
      <c r="B23" s="53"/>
      <c r="C23" s="53"/>
      <c r="D23" s="53"/>
      <c r="E23" s="53"/>
      <c r="F23" s="53"/>
      <c r="G23" s="53"/>
      <c r="H23" s="53"/>
      <c r="I23" s="53"/>
      <c r="J23" s="53"/>
      <c r="K23" s="5"/>
      <c r="L23" s="48"/>
      <c r="M23" s="48"/>
      <c r="N23" s="48"/>
      <c r="O23" s="48"/>
      <c r="P23" s="48"/>
      <c r="Q23" s="48"/>
      <c r="R23" s="48" t="s">
        <v>314</v>
      </c>
      <c r="S23" s="48" t="s">
        <v>4</v>
      </c>
      <c r="T23" s="48">
        <f>C25-C26</f>
        <v>27.465</v>
      </c>
      <c r="U23" s="48"/>
      <c r="V23" s="48" t="s">
        <v>317</v>
      </c>
      <c r="W23" s="48" t="s">
        <v>4</v>
      </c>
      <c r="X23" s="48">
        <f>G25-G26</f>
        <v>0</v>
      </c>
    </row>
    <row r="24" spans="1:21" ht="16.5">
      <c r="A24" s="55" t="s">
        <v>67</v>
      </c>
      <c r="B24" s="55" t="s">
        <v>4</v>
      </c>
      <c r="C24" s="62">
        <v>36</v>
      </c>
      <c r="D24" s="53" t="s">
        <v>21</v>
      </c>
      <c r="E24" s="55" t="s">
        <v>70</v>
      </c>
      <c r="F24" s="55" t="s">
        <v>4</v>
      </c>
      <c r="G24" s="62">
        <v>0</v>
      </c>
      <c r="H24" s="53" t="s">
        <v>21</v>
      </c>
      <c r="I24" s="53"/>
      <c r="J24" s="53"/>
      <c r="K24" s="5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4" ht="16.5">
      <c r="A25" s="55" t="s">
        <v>68</v>
      </c>
      <c r="B25" s="55" t="s">
        <v>4</v>
      </c>
      <c r="C25" s="62">
        <v>27.465</v>
      </c>
      <c r="D25" s="53" t="s">
        <v>21</v>
      </c>
      <c r="E25" s="55" t="s">
        <v>71</v>
      </c>
      <c r="F25" s="55" t="s">
        <v>4</v>
      </c>
      <c r="G25" s="62">
        <v>0</v>
      </c>
      <c r="H25" s="53" t="s">
        <v>21</v>
      </c>
      <c r="I25" s="53"/>
      <c r="J25" s="53"/>
      <c r="K25" s="5"/>
      <c r="L25" s="48"/>
      <c r="M25" s="48"/>
      <c r="N25" s="48"/>
      <c r="O25" s="48"/>
      <c r="P25" s="48"/>
      <c r="Q25" s="48"/>
      <c r="R25" s="48" t="s">
        <v>326</v>
      </c>
      <c r="S25" s="48" t="s">
        <v>4</v>
      </c>
      <c r="T25" s="48">
        <f>C4*100*C15/(2*S29)</f>
        <v>0.10425</v>
      </c>
      <c r="U25" s="48"/>
      <c r="V25" s="48" t="s">
        <v>245</v>
      </c>
      <c r="W25" s="48" t="s">
        <v>4</v>
      </c>
      <c r="X25">
        <f>(X16+X17+X18)*T25/(C15/2)</f>
        <v>0</v>
      </c>
    </row>
    <row r="26" spans="1:24" ht="16.5">
      <c r="A26" s="55" t="s">
        <v>69</v>
      </c>
      <c r="B26" s="55" t="s">
        <v>4</v>
      </c>
      <c r="C26" s="62">
        <v>0</v>
      </c>
      <c r="D26" s="53" t="s">
        <v>21</v>
      </c>
      <c r="E26" s="55" t="s">
        <v>318</v>
      </c>
      <c r="F26" s="55" t="s">
        <v>4</v>
      </c>
      <c r="G26" s="62">
        <v>0</v>
      </c>
      <c r="H26" s="53" t="s">
        <v>21</v>
      </c>
      <c r="I26" s="53"/>
      <c r="J26" s="53"/>
      <c r="K26" s="5"/>
      <c r="L26" s="48"/>
      <c r="M26" s="48"/>
      <c r="N26" s="48"/>
      <c r="O26" s="48"/>
      <c r="P26" s="48"/>
      <c r="Q26" s="48"/>
      <c r="R26" s="48" t="s">
        <v>243</v>
      </c>
      <c r="S26" s="48" t="s">
        <v>4</v>
      </c>
      <c r="T26" s="48">
        <f>(T17+T18+X16+X17+X18)*T25/(C15/2)</f>
        <v>0.06115565625</v>
      </c>
      <c r="U26" s="48"/>
      <c r="V26" s="48" t="s">
        <v>327</v>
      </c>
      <c r="W26" s="48" t="s">
        <v>4</v>
      </c>
      <c r="X26">
        <f>(X17+X18)*T25/(C15/2)</f>
        <v>0</v>
      </c>
    </row>
    <row r="27" spans="3:24" ht="15.75">
      <c r="C27" s="62"/>
      <c r="E27" s="53"/>
      <c r="F27" s="53"/>
      <c r="G27" s="53"/>
      <c r="H27" s="53"/>
      <c r="I27" s="53"/>
      <c r="J27" s="53"/>
      <c r="K27" s="5"/>
      <c r="L27" s="48"/>
      <c r="M27" s="48"/>
      <c r="N27" s="48"/>
      <c r="O27" s="48"/>
      <c r="P27" s="48"/>
      <c r="Q27" s="48"/>
      <c r="R27" s="48" t="s">
        <v>244</v>
      </c>
      <c r="S27" s="48" t="s">
        <v>4</v>
      </c>
      <c r="T27" s="48">
        <f>(T18+X16+X17+X18)*T25/(C15/2)</f>
        <v>0</v>
      </c>
      <c r="U27" s="48"/>
      <c r="V27" s="48" t="s">
        <v>328</v>
      </c>
      <c r="W27" s="48" t="s">
        <v>4</v>
      </c>
      <c r="X27">
        <f>(X18)*T25/(C15/2)</f>
        <v>0</v>
      </c>
    </row>
    <row r="28" spans="1:24" ht="15.75">
      <c r="A28" s="63" t="s">
        <v>338</v>
      </c>
      <c r="B28" s="64"/>
      <c r="C28" s="64"/>
      <c r="D28" s="64"/>
      <c r="E28" s="64"/>
      <c r="F28" s="64"/>
      <c r="G28" s="64"/>
      <c r="H28" s="64"/>
      <c r="I28" s="64"/>
      <c r="J28" s="53"/>
      <c r="K28" s="10"/>
      <c r="L28" s="10"/>
      <c r="M28" s="10"/>
      <c r="N28" s="5"/>
      <c r="O28" s="5"/>
      <c r="P28" s="5"/>
      <c r="Q28" s="5"/>
      <c r="R28" s="48"/>
      <c r="S28" s="48"/>
      <c r="T28" s="48"/>
      <c r="U28" s="48"/>
      <c r="V28" s="48" t="s">
        <v>329</v>
      </c>
      <c r="W28" s="48" t="s">
        <v>4</v>
      </c>
      <c r="X28">
        <v>0</v>
      </c>
    </row>
    <row r="29" spans="1:21" ht="16.5">
      <c r="A29" s="65" t="s">
        <v>320</v>
      </c>
      <c r="B29" s="65" t="s">
        <v>4</v>
      </c>
      <c r="C29" s="157" t="s">
        <v>345</v>
      </c>
      <c r="D29" s="157"/>
      <c r="E29" s="157"/>
      <c r="F29" s="65">
        <f>(T25+T26)*T16*C16/4</f>
        <v>5.128092236425781</v>
      </c>
      <c r="G29" s="64" t="s">
        <v>77</v>
      </c>
      <c r="H29" s="64" t="s">
        <v>333</v>
      </c>
      <c r="I29" s="66" t="str">
        <f>IF(AND(F29&lt;S31*0.8*C12),"SAFE","UNSAFE")</f>
        <v>SAFE</v>
      </c>
      <c r="J29" s="64"/>
      <c r="K29" s="10"/>
      <c r="L29" s="10"/>
      <c r="M29" s="10"/>
      <c r="N29" s="5"/>
      <c r="O29" s="5"/>
      <c r="P29" s="5"/>
      <c r="Q29" s="5"/>
      <c r="R29" s="48" t="s">
        <v>330</v>
      </c>
      <c r="S29" s="48">
        <f>C16*C15^3/12</f>
        <v>80000</v>
      </c>
      <c r="T29" s="48"/>
      <c r="U29" s="48"/>
    </row>
    <row r="30" spans="1:21" ht="16.5">
      <c r="A30" s="65" t="s">
        <v>321</v>
      </c>
      <c r="B30" s="65" t="s">
        <v>4</v>
      </c>
      <c r="C30" s="157" t="s">
        <v>346</v>
      </c>
      <c r="D30" s="157"/>
      <c r="E30" s="157"/>
      <c r="F30" s="65">
        <f>(T26+T27)*T17*C16/4</f>
        <v>2.690657763574219</v>
      </c>
      <c r="G30" s="64" t="s">
        <v>77</v>
      </c>
      <c r="H30" s="64" t="s">
        <v>333</v>
      </c>
      <c r="I30" s="66" t="str">
        <f>IF(AND(F30&lt;S31*0.8*C12),"SAFE","UNSAFE")</f>
        <v>SAFE</v>
      </c>
      <c r="K30" s="9"/>
      <c r="L30" s="9"/>
      <c r="M30" s="9"/>
      <c r="N30" s="4"/>
      <c r="O30" s="4"/>
      <c r="P30" s="5"/>
      <c r="Q30" s="5"/>
      <c r="R30" s="48"/>
      <c r="S30" s="48"/>
      <c r="T30" s="48"/>
      <c r="U30" s="48"/>
    </row>
    <row r="31" spans="1:21" ht="16.5">
      <c r="A31" s="65" t="s">
        <v>322</v>
      </c>
      <c r="B31" s="65" t="s">
        <v>4</v>
      </c>
      <c r="C31" s="157" t="s">
        <v>347</v>
      </c>
      <c r="D31" s="157"/>
      <c r="E31" s="157"/>
      <c r="F31" s="65">
        <f>(T27+X25)*T18*C16/4</f>
        <v>0</v>
      </c>
      <c r="G31" s="64" t="s">
        <v>77</v>
      </c>
      <c r="H31" s="64" t="s">
        <v>333</v>
      </c>
      <c r="I31" s="66" t="str">
        <f>IF(AND(F31&lt;S31*0.8*C12),"SAFE","UNSAFE")</f>
        <v>SAFE</v>
      </c>
      <c r="K31" s="4"/>
      <c r="L31" s="9"/>
      <c r="M31" s="9"/>
      <c r="N31" s="9"/>
      <c r="O31" s="4"/>
      <c r="P31" s="5"/>
      <c r="Q31" s="5"/>
      <c r="R31" s="48" t="s">
        <v>196</v>
      </c>
      <c r="S31" s="48">
        <f>IF(E4="a",1,1.2)</f>
        <v>1</v>
      </c>
      <c r="T31" s="48"/>
      <c r="U31" s="48"/>
    </row>
    <row r="32" spans="1:21" ht="16.5">
      <c r="A32" s="65" t="s">
        <v>323</v>
      </c>
      <c r="B32" s="65" t="s">
        <v>4</v>
      </c>
      <c r="C32" s="157" t="s">
        <v>348</v>
      </c>
      <c r="D32" s="157"/>
      <c r="E32" s="157"/>
      <c r="F32" s="65">
        <f>(X25+X26)*X16*C16/4</f>
        <v>0</v>
      </c>
      <c r="G32" s="64" t="s">
        <v>77</v>
      </c>
      <c r="H32" s="64" t="s">
        <v>333</v>
      </c>
      <c r="I32" s="66" t="str">
        <f>IF(AND(F32&lt;S31*0.8*C12),"SAFE","UNSAFE")</f>
        <v>SAFE</v>
      </c>
      <c r="K32" s="4"/>
      <c r="L32" s="9"/>
      <c r="M32" s="9"/>
      <c r="N32" s="9"/>
      <c r="O32" s="4"/>
      <c r="P32" s="5"/>
      <c r="Q32" s="5"/>
      <c r="R32" s="48"/>
      <c r="S32" s="48"/>
      <c r="T32" s="48"/>
      <c r="U32" s="48"/>
    </row>
    <row r="33" spans="1:21" ht="16.5">
      <c r="A33" s="65" t="s">
        <v>324</v>
      </c>
      <c r="B33" s="65" t="s">
        <v>4</v>
      </c>
      <c r="C33" s="157" t="s">
        <v>344</v>
      </c>
      <c r="D33" s="157"/>
      <c r="E33" s="157"/>
      <c r="F33" s="65">
        <f>(X26+X27)*X17*C16/4</f>
        <v>0</v>
      </c>
      <c r="G33" s="64" t="s">
        <v>77</v>
      </c>
      <c r="H33" s="64" t="s">
        <v>333</v>
      </c>
      <c r="I33" s="66" t="str">
        <f>IF(AND(F33&lt;S31*0.8*C12),"SAFE","UNSAFE")</f>
        <v>SAFE</v>
      </c>
      <c r="K33" s="4"/>
      <c r="L33" s="4"/>
      <c r="M33" s="4"/>
      <c r="N33" s="4"/>
      <c r="O33" s="4"/>
      <c r="P33" s="5"/>
      <c r="Q33" s="5"/>
      <c r="R33" s="48"/>
      <c r="S33" s="48"/>
      <c r="T33" s="48"/>
      <c r="U33" s="48"/>
    </row>
    <row r="34" spans="1:21" ht="16.5">
      <c r="A34" s="65" t="s">
        <v>325</v>
      </c>
      <c r="B34" s="65" t="s">
        <v>4</v>
      </c>
      <c r="C34" s="157" t="s">
        <v>343</v>
      </c>
      <c r="D34" s="157"/>
      <c r="E34" s="157"/>
      <c r="F34" s="65">
        <f>(X27+X28)*X18*C16/4</f>
        <v>0</v>
      </c>
      <c r="G34" s="64" t="s">
        <v>77</v>
      </c>
      <c r="H34" s="64" t="s">
        <v>333</v>
      </c>
      <c r="I34" s="66" t="str">
        <f>IF(AND(F34&lt;S31*0.8*C17),"SAFE","UNSAFE")</f>
        <v>SAFE</v>
      </c>
      <c r="K34" s="4"/>
      <c r="L34" s="4"/>
      <c r="M34" s="4"/>
      <c r="N34" s="4"/>
      <c r="O34" s="4"/>
      <c r="P34" s="5"/>
      <c r="Q34" s="5"/>
      <c r="R34" s="48"/>
      <c r="S34" s="48"/>
      <c r="T34" s="48"/>
      <c r="U34" s="48"/>
    </row>
    <row r="35" spans="1:21" ht="16.5">
      <c r="A35" s="65" t="s">
        <v>331</v>
      </c>
      <c r="B35" s="65" t="s">
        <v>4</v>
      </c>
      <c r="C35" s="64" t="s">
        <v>332</v>
      </c>
      <c r="D35" s="158" t="s">
        <v>4</v>
      </c>
      <c r="E35" s="158"/>
      <c r="F35" s="65">
        <f>C6/F22</f>
        <v>0.16666666666666666</v>
      </c>
      <c r="G35" s="64" t="s">
        <v>77</v>
      </c>
      <c r="H35" s="64" t="s">
        <v>334</v>
      </c>
      <c r="I35" s="66" t="str">
        <f>IF(AND(F35&lt;S31*0.6*C12),"SAFE","UNSAFE")</f>
        <v>SAFE</v>
      </c>
      <c r="K35" s="5"/>
      <c r="L35" s="5"/>
      <c r="M35" s="5"/>
      <c r="N35" s="5"/>
      <c r="O35" s="5"/>
      <c r="P35" s="5"/>
      <c r="Q35" s="5"/>
      <c r="R35" s="48"/>
      <c r="S35" s="48"/>
      <c r="T35" s="48"/>
      <c r="U35" s="48"/>
    </row>
    <row r="36" spans="1:21" ht="15.75">
      <c r="A36" s="65"/>
      <c r="B36" s="65"/>
      <c r="C36" s="64"/>
      <c r="D36" s="64"/>
      <c r="E36" s="64"/>
      <c r="F36" s="65"/>
      <c r="G36" s="64"/>
      <c r="H36" s="64"/>
      <c r="I36" s="66"/>
      <c r="K36" s="5"/>
      <c r="L36" s="5"/>
      <c r="M36" s="5"/>
      <c r="N36" s="5"/>
      <c r="O36" s="5"/>
      <c r="P36" s="5"/>
      <c r="Q36" s="5"/>
      <c r="R36" s="48"/>
      <c r="S36" s="48"/>
      <c r="T36" s="48"/>
      <c r="U36" s="48"/>
    </row>
    <row r="37" spans="1:21" ht="16.5">
      <c r="A37" s="67" t="s">
        <v>335</v>
      </c>
      <c r="B37" s="65"/>
      <c r="C37" s="64"/>
      <c r="D37" s="65" t="s">
        <v>4</v>
      </c>
      <c r="E37" s="65">
        <f>F35/(0.6*C12)+(MAX(F29:F34))/(0.8*C12)</f>
        <v>0.6186765100194267</v>
      </c>
      <c r="F37" s="65" t="s">
        <v>78</v>
      </c>
      <c r="G37" s="68">
        <f>S31</f>
        <v>1</v>
      </c>
      <c r="H37" s="66"/>
      <c r="I37" s="66" t="str">
        <f>IF(AND(E37&lt;G37),"SAFE","UNSAFE")</f>
        <v>SAFE</v>
      </c>
      <c r="K37" s="5"/>
      <c r="L37" s="5"/>
      <c r="M37" s="5"/>
      <c r="N37" s="5"/>
      <c r="O37" s="5"/>
      <c r="P37" s="5"/>
      <c r="Q37" s="5"/>
      <c r="R37" s="48"/>
      <c r="S37" s="48"/>
      <c r="T37" s="48"/>
      <c r="U37" s="48"/>
    </row>
    <row r="38" spans="1:21" ht="15.75">
      <c r="A38" s="65"/>
      <c r="B38" s="65"/>
      <c r="C38" s="64"/>
      <c r="D38" s="65"/>
      <c r="E38" s="65"/>
      <c r="F38" s="64"/>
      <c r="G38" s="68"/>
      <c r="H38" s="66"/>
      <c r="I38" s="66"/>
      <c r="K38" s="5"/>
      <c r="L38" s="5"/>
      <c r="M38" s="5"/>
      <c r="N38" s="5"/>
      <c r="O38" s="5"/>
      <c r="P38" s="5"/>
      <c r="Q38" s="5"/>
      <c r="R38" s="48"/>
      <c r="S38" s="48"/>
      <c r="T38" s="48"/>
      <c r="U38" s="48"/>
    </row>
    <row r="39" spans="1:21" ht="16.5">
      <c r="A39" s="65" t="s">
        <v>79</v>
      </c>
      <c r="B39" s="65" t="s">
        <v>4</v>
      </c>
      <c r="C39" s="65">
        <f>C5/(F22)</f>
        <v>1.6666666666666667</v>
      </c>
      <c r="D39" s="65" t="s">
        <v>78</v>
      </c>
      <c r="E39" s="64" t="s">
        <v>337</v>
      </c>
      <c r="F39" s="64"/>
      <c r="G39" s="65" t="s">
        <v>4</v>
      </c>
      <c r="H39" s="65">
        <f>C11*S31*(1-(F35/C12))</f>
        <v>3.396808510638298</v>
      </c>
      <c r="I39" s="66" t="str">
        <f>IF(AND(C39&lt;H39),"SAFE","UNSAFE")</f>
        <v>SAFE</v>
      </c>
      <c r="K39" s="5"/>
      <c r="L39" s="5"/>
      <c r="M39" s="5"/>
      <c r="N39" s="5"/>
      <c r="O39" s="5"/>
      <c r="P39" s="5"/>
      <c r="Q39" s="5"/>
      <c r="R39" s="48"/>
      <c r="S39" s="48"/>
      <c r="T39" s="48"/>
      <c r="U39" s="48"/>
    </row>
    <row r="40" spans="11:21" ht="15.75">
      <c r="K40" s="5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15.75">
      <c r="A41" s="63" t="s">
        <v>352</v>
      </c>
      <c r="K41" s="5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1:21" ht="15.75">
      <c r="K42" s="5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ht="16.5">
      <c r="A43" s="117" t="s">
        <v>45</v>
      </c>
      <c r="B43" s="117" t="s">
        <v>4</v>
      </c>
      <c r="C43" s="123">
        <f>T21</f>
        <v>4</v>
      </c>
      <c r="D43" s="116" t="s">
        <v>21</v>
      </c>
      <c r="F43" s="117" t="s">
        <v>354</v>
      </c>
      <c r="G43" s="117" t="s">
        <v>4</v>
      </c>
      <c r="H43" s="122">
        <v>1</v>
      </c>
      <c r="I43" s="116" t="s">
        <v>21</v>
      </c>
      <c r="K43" s="5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15.75">
      <c r="A44" s="117" t="s">
        <v>46</v>
      </c>
      <c r="B44" s="117" t="s">
        <v>4</v>
      </c>
      <c r="C44" s="123">
        <f>C43-H43</f>
        <v>3</v>
      </c>
      <c r="D44" s="116" t="s">
        <v>21</v>
      </c>
      <c r="F44" s="116"/>
      <c r="G44" s="116"/>
      <c r="H44" s="116"/>
      <c r="I44" s="116"/>
      <c r="K44" s="5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5.75">
      <c r="A45" s="117" t="s">
        <v>353</v>
      </c>
      <c r="B45" s="117" t="s">
        <v>4</v>
      </c>
      <c r="C45" s="123">
        <f>C16/2</f>
        <v>7.5</v>
      </c>
      <c r="D45" s="116" t="s">
        <v>21</v>
      </c>
      <c r="F45" s="117" t="s">
        <v>355</v>
      </c>
      <c r="G45" s="117" t="s">
        <v>4</v>
      </c>
      <c r="H45" s="117">
        <f>((0.5-(C45*(C17/10)^4)/(30*C43*C10*C44^2))/((3*C43/(4*C44))*((C43/(4*C44))+1)+(C45*(C17/10)^4)/(30*C43*C10*C44^2)))*(F35+MAX(F29:F34))</f>
        <v>1.6401793798159214</v>
      </c>
      <c r="I45" s="116" t="s">
        <v>6</v>
      </c>
      <c r="K45" s="5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1:21" ht="15.75">
      <c r="K46" s="5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16.5">
      <c r="A47" s="67" t="s">
        <v>356</v>
      </c>
      <c r="C47" s="117" t="s">
        <v>4</v>
      </c>
      <c r="D47">
        <f>F35+MAX(F29:F34)+H45</f>
        <v>6.9349382829083694</v>
      </c>
      <c r="E47" s="64" t="s">
        <v>77</v>
      </c>
      <c r="F47" s="68" t="s">
        <v>333</v>
      </c>
      <c r="G47" s="66"/>
      <c r="I47" s="66" t="str">
        <f>IF(AND(D47&lt;0.8*S31*C12),"SAFE","UNSAFE")</f>
        <v>SAFE</v>
      </c>
      <c r="K47" s="5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1:21" ht="15.75">
      <c r="K48" s="5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15.75">
      <c r="A49" s="63" t="s">
        <v>339</v>
      </c>
      <c r="K49" s="5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5.75">
      <c r="A50" s="63"/>
      <c r="K50" s="5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5.75">
      <c r="A51" s="117"/>
      <c r="B51" s="117"/>
      <c r="C51" s="62"/>
      <c r="D51" s="119"/>
      <c r="K51" s="5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16.5">
      <c r="A52" s="117" t="s">
        <v>357</v>
      </c>
      <c r="B52" s="117" t="s">
        <v>4</v>
      </c>
      <c r="C52" s="157" t="s">
        <v>360</v>
      </c>
      <c r="D52" s="157"/>
      <c r="E52" s="117">
        <f>H45*C43</f>
        <v>6.560717519263686</v>
      </c>
      <c r="F52" s="116" t="s">
        <v>349</v>
      </c>
      <c r="G52" s="116"/>
      <c r="H52" s="116"/>
      <c r="I52" s="116"/>
      <c r="J52" s="116"/>
      <c r="K52" s="116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6.5">
      <c r="A53" s="117" t="s">
        <v>358</v>
      </c>
      <c r="B53" s="117" t="s">
        <v>4</v>
      </c>
      <c r="C53" s="157" t="s">
        <v>359</v>
      </c>
      <c r="D53" s="157"/>
      <c r="E53" s="117">
        <f>E52-(F29+F35)*C44</f>
        <v>-9.323559190013658</v>
      </c>
      <c r="F53" s="116" t="s">
        <v>349</v>
      </c>
      <c r="G53" s="116"/>
      <c r="H53" s="116"/>
      <c r="I53" s="116"/>
      <c r="J53" s="116"/>
      <c r="K53" s="116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16.5">
      <c r="A54" s="117" t="s">
        <v>361</v>
      </c>
      <c r="B54" s="117" t="s">
        <v>4</v>
      </c>
      <c r="C54" s="67" t="s">
        <v>362</v>
      </c>
      <c r="D54" s="67"/>
      <c r="E54" s="117">
        <f>MAX(E52,ABS(E53))</f>
        <v>9.323559190013658</v>
      </c>
      <c r="F54" s="116"/>
      <c r="G54" s="116"/>
      <c r="H54" s="116"/>
      <c r="I54" s="116"/>
      <c r="J54" s="116"/>
      <c r="K54" s="116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5.75">
      <c r="A55" s="117"/>
      <c r="B55" s="117"/>
      <c r="C55" s="67"/>
      <c r="D55" s="67"/>
      <c r="E55" s="117"/>
      <c r="F55" s="116"/>
      <c r="G55" s="116"/>
      <c r="H55" s="116"/>
      <c r="I55" s="116"/>
      <c r="J55" s="116"/>
      <c r="K55" s="116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6.5">
      <c r="A56" s="117" t="s">
        <v>350</v>
      </c>
      <c r="B56" s="117" t="s">
        <v>4</v>
      </c>
      <c r="C56" s="150" t="s">
        <v>351</v>
      </c>
      <c r="D56" s="116"/>
      <c r="E56" s="117">
        <f>SQRT((6*E54)/(0.864*C16))</f>
        <v>2.0776098257298665</v>
      </c>
      <c r="F56" s="116" t="s">
        <v>21</v>
      </c>
      <c r="G56" s="123">
        <f>(EVEN(E56*10))</f>
        <v>22</v>
      </c>
      <c r="H56" s="116" t="s">
        <v>8</v>
      </c>
      <c r="I56" s="66" t="str">
        <f>IF(AND(G56&lt;=C17),"SAFE","UNSAFE")</f>
        <v>SAFE</v>
      </c>
      <c r="J56" s="116"/>
      <c r="K56" s="116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5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5.7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5.7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5.7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5.7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5.7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15.7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1" ht="15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ht="15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ht="15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ht="15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ht="15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:21" ht="15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ht="15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ht="15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ht="15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ht="15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ht="15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15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ht="15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ht="15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ht="15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ht="15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ht="15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ht="15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ht="15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15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15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15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15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5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15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5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15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ht="15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ht="15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ht="15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ht="15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ht="15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ht="15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ht="15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ht="15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ht="15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ht="15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ht="15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ht="15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ht="15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ht="15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ht="15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ht="15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ht="15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ht="15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ht="15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ht="15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ht="15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ht="15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ht="15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ht="15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ht="15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ht="15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ht="15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ht="15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ht="15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ht="15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</sheetData>
  <sheetProtection/>
  <mergeCells count="9">
    <mergeCell ref="C29:E29"/>
    <mergeCell ref="C30:E30"/>
    <mergeCell ref="C31:E31"/>
    <mergeCell ref="C32:E32"/>
    <mergeCell ref="C53:D53"/>
    <mergeCell ref="C33:E33"/>
    <mergeCell ref="C34:E34"/>
    <mergeCell ref="D35:E35"/>
    <mergeCell ref="C52:D5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25">
      <selection activeCell="H33" sqref="H33"/>
    </sheetView>
  </sheetViews>
  <sheetFormatPr defaultColWidth="9.140625" defaultRowHeight="12.75"/>
  <cols>
    <col min="2" max="3" width="10.57421875" style="0" customWidth="1"/>
    <col min="4" max="4" width="9.7109375" style="0" customWidth="1"/>
    <col min="6" max="6" width="9.57421875" style="0" bestFit="1" customWidth="1"/>
    <col min="8" max="8" width="11.140625" style="0" customWidth="1"/>
  </cols>
  <sheetData>
    <row r="1" spans="1:3" ht="15" customHeight="1">
      <c r="A1" s="2" t="s">
        <v>157</v>
      </c>
      <c r="B1" s="103"/>
      <c r="C1" s="3" t="s">
        <v>200</v>
      </c>
    </row>
    <row r="2" spans="1:4" ht="15">
      <c r="A2" s="53"/>
      <c r="B2" s="53"/>
      <c r="C2" s="53"/>
      <c r="D2" s="53"/>
    </row>
    <row r="3" spans="1:4" ht="15">
      <c r="A3" s="52" t="s">
        <v>13</v>
      </c>
      <c r="B3" s="53"/>
      <c r="C3" s="53"/>
      <c r="D3" s="53"/>
    </row>
    <row r="4" spans="1:4" ht="15">
      <c r="A4" s="55" t="s">
        <v>7</v>
      </c>
      <c r="B4" s="55" t="s">
        <v>4</v>
      </c>
      <c r="C4" s="56">
        <v>10.5</v>
      </c>
      <c r="D4" s="53" t="s">
        <v>15</v>
      </c>
    </row>
    <row r="5" spans="1:4" ht="15">
      <c r="A5" s="55" t="s">
        <v>17</v>
      </c>
      <c r="B5" s="55" t="s">
        <v>4</v>
      </c>
      <c r="C5" s="56">
        <v>5.7</v>
      </c>
      <c r="D5" s="53" t="s">
        <v>6</v>
      </c>
    </row>
    <row r="6" spans="1:8" ht="15">
      <c r="A6" s="55" t="s">
        <v>62</v>
      </c>
      <c r="B6" s="55" t="s">
        <v>4</v>
      </c>
      <c r="C6" s="56">
        <v>0</v>
      </c>
      <c r="D6" s="53" t="s">
        <v>6</v>
      </c>
      <c r="F6" s="5"/>
      <c r="G6" s="5"/>
      <c r="H6" s="5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5">
      <c r="A8" s="47" t="s">
        <v>129</v>
      </c>
      <c r="B8" s="16"/>
      <c r="C8" s="4"/>
      <c r="D8" s="4"/>
      <c r="E8" s="5"/>
      <c r="F8" s="5"/>
      <c r="G8" s="5"/>
      <c r="H8" s="5"/>
      <c r="I8" s="5"/>
    </row>
    <row r="9" spans="1:9" ht="15">
      <c r="A9" s="113" t="s">
        <v>156</v>
      </c>
      <c r="B9" s="5"/>
      <c r="C9" s="112" t="s">
        <v>199</v>
      </c>
      <c r="E9" s="5"/>
      <c r="F9" s="5"/>
      <c r="G9" s="5"/>
      <c r="H9" s="5"/>
      <c r="I9" s="5"/>
    </row>
    <row r="10" spans="1:9" ht="16.5">
      <c r="A10" s="9" t="s">
        <v>86</v>
      </c>
      <c r="B10" s="10" t="s">
        <v>4</v>
      </c>
      <c r="C10" s="15">
        <v>375</v>
      </c>
      <c r="D10" s="4" t="s">
        <v>8</v>
      </c>
      <c r="E10" s="5"/>
      <c r="F10" s="5"/>
      <c r="G10" s="5"/>
      <c r="H10" s="5"/>
      <c r="I10" s="5"/>
    </row>
    <row r="11" spans="1:9" ht="16.5">
      <c r="A11" s="9" t="s">
        <v>87</v>
      </c>
      <c r="B11" s="10" t="s">
        <v>4</v>
      </c>
      <c r="C11" s="15">
        <v>20</v>
      </c>
      <c r="D11" s="4" t="s">
        <v>8</v>
      </c>
      <c r="E11" s="5"/>
      <c r="F11" s="5"/>
      <c r="G11" s="5"/>
      <c r="H11" s="5"/>
      <c r="I11" s="5"/>
    </row>
    <row r="12" spans="1:9" ht="16.5">
      <c r="A12" s="9" t="s">
        <v>88</v>
      </c>
      <c r="B12" s="10" t="s">
        <v>4</v>
      </c>
      <c r="C12" s="15">
        <v>500</v>
      </c>
      <c r="D12" s="4" t="s">
        <v>8</v>
      </c>
      <c r="E12" s="5"/>
      <c r="F12" s="5"/>
      <c r="G12" s="5"/>
      <c r="H12" s="5"/>
      <c r="I12" s="5"/>
    </row>
    <row r="13" spans="1:9" ht="16.5">
      <c r="A13" s="9" t="s">
        <v>89</v>
      </c>
      <c r="B13" s="10" t="s">
        <v>4</v>
      </c>
      <c r="C13" s="15">
        <v>8</v>
      </c>
      <c r="D13" s="4" t="s">
        <v>8</v>
      </c>
      <c r="E13" s="5"/>
      <c r="F13" s="5"/>
      <c r="G13" s="5"/>
      <c r="H13" s="5"/>
      <c r="I13" s="5"/>
    </row>
    <row r="14" spans="1:9" ht="16.5">
      <c r="A14" s="9" t="s">
        <v>90</v>
      </c>
      <c r="B14" s="10" t="s">
        <v>4</v>
      </c>
      <c r="C14" s="15">
        <v>375</v>
      </c>
      <c r="D14" s="4" t="s">
        <v>8</v>
      </c>
      <c r="E14" s="5"/>
      <c r="F14" s="5"/>
      <c r="G14" s="5"/>
      <c r="H14" s="5"/>
      <c r="I14" s="5"/>
    </row>
    <row r="15" spans="1:9" ht="16.5">
      <c r="A15" s="9" t="s">
        <v>91</v>
      </c>
      <c r="B15" s="10" t="s">
        <v>4</v>
      </c>
      <c r="C15" s="15">
        <v>20</v>
      </c>
      <c r="D15" s="4" t="s">
        <v>8</v>
      </c>
      <c r="E15" s="5"/>
      <c r="F15" s="5"/>
      <c r="G15" s="5"/>
      <c r="H15" s="5"/>
      <c r="I15" s="5"/>
    </row>
    <row r="16" spans="1:9" ht="15">
      <c r="A16" s="9"/>
      <c r="B16" s="10"/>
      <c r="C16" s="15"/>
      <c r="D16" s="4"/>
      <c r="E16" s="5"/>
      <c r="F16" s="5"/>
      <c r="G16" s="5"/>
      <c r="H16" s="5"/>
      <c r="I16" s="5"/>
    </row>
    <row r="17" spans="1:9" ht="15">
      <c r="A17" s="87" t="s">
        <v>126</v>
      </c>
      <c r="B17" s="104"/>
      <c r="C17" s="105"/>
      <c r="D17" s="84"/>
      <c r="E17" s="5"/>
      <c r="F17" s="5"/>
      <c r="G17" s="5"/>
      <c r="H17" s="5"/>
      <c r="I17" s="5"/>
    </row>
    <row r="18" spans="1:9" ht="16.5">
      <c r="A18" s="9" t="s">
        <v>88</v>
      </c>
      <c r="B18" s="10" t="s">
        <v>4</v>
      </c>
      <c r="C18" s="15">
        <v>0</v>
      </c>
      <c r="D18" s="4" t="s">
        <v>8</v>
      </c>
      <c r="E18" s="5"/>
      <c r="F18" s="5"/>
      <c r="G18" s="5"/>
      <c r="H18" s="5"/>
      <c r="I18" s="5"/>
    </row>
    <row r="19" spans="1:10" ht="16.5">
      <c r="A19" s="9" t="s">
        <v>89</v>
      </c>
      <c r="B19" s="10" t="s">
        <v>4</v>
      </c>
      <c r="C19" s="15">
        <v>0</v>
      </c>
      <c r="D19" s="4" t="s">
        <v>8</v>
      </c>
      <c r="E19" s="5"/>
      <c r="F19" s="5"/>
      <c r="G19" s="5"/>
      <c r="H19" s="5"/>
      <c r="I19" s="5"/>
      <c r="J19" t="s">
        <v>389</v>
      </c>
    </row>
    <row r="20" spans="1:9" ht="16.5">
      <c r="A20" s="9" t="s">
        <v>90</v>
      </c>
      <c r="B20" s="10" t="s">
        <v>4</v>
      </c>
      <c r="C20" s="15">
        <v>0</v>
      </c>
      <c r="D20" s="4" t="s">
        <v>8</v>
      </c>
      <c r="F20" s="5"/>
      <c r="G20" s="5"/>
      <c r="H20" s="5"/>
      <c r="I20" s="5"/>
    </row>
    <row r="21" spans="1:9" ht="16.5">
      <c r="A21" s="9" t="s">
        <v>91</v>
      </c>
      <c r="B21" s="10" t="s">
        <v>4</v>
      </c>
      <c r="C21" s="15">
        <v>0</v>
      </c>
      <c r="D21" s="4" t="s">
        <v>8</v>
      </c>
      <c r="E21" s="5"/>
      <c r="I21" s="5"/>
    </row>
    <row r="23" spans="1:9" ht="15">
      <c r="A23" s="52" t="s">
        <v>127</v>
      </c>
      <c r="B23" s="5"/>
      <c r="C23" s="5"/>
      <c r="D23" s="5"/>
      <c r="E23" s="5"/>
      <c r="F23" s="5"/>
      <c r="G23" s="5"/>
      <c r="H23" s="5"/>
      <c r="I23" s="5"/>
    </row>
    <row r="24" spans="1:9" ht="16.5">
      <c r="A24" s="10" t="s">
        <v>121</v>
      </c>
      <c r="B24" s="10" t="s">
        <v>4</v>
      </c>
      <c r="C24" s="106">
        <v>375</v>
      </c>
      <c r="D24" s="107" t="s">
        <v>8</v>
      </c>
      <c r="E24" s="108" t="s">
        <v>135</v>
      </c>
      <c r="F24" s="108" t="s">
        <v>4</v>
      </c>
      <c r="G24" s="106">
        <v>6</v>
      </c>
      <c r="H24" s="5" t="s">
        <v>8</v>
      </c>
      <c r="I24" s="5"/>
    </row>
    <row r="25" spans="1:9" ht="16.5">
      <c r="A25" s="10" t="s">
        <v>122</v>
      </c>
      <c r="B25" s="10" t="s">
        <v>4</v>
      </c>
      <c r="C25" s="106">
        <v>150</v>
      </c>
      <c r="D25" s="107" t="s">
        <v>8</v>
      </c>
      <c r="E25" s="108" t="s">
        <v>136</v>
      </c>
      <c r="F25" s="108" t="s">
        <v>4</v>
      </c>
      <c r="G25" s="106">
        <v>6</v>
      </c>
      <c r="H25" s="5" t="s">
        <v>8</v>
      </c>
      <c r="I25" s="5"/>
    </row>
    <row r="26" spans="1:9" ht="16.5">
      <c r="A26" s="10" t="s">
        <v>123</v>
      </c>
      <c r="B26" s="10" t="s">
        <v>4</v>
      </c>
      <c r="C26" s="106">
        <v>400</v>
      </c>
      <c r="D26" s="107" t="s">
        <v>8</v>
      </c>
      <c r="E26" s="108" t="s">
        <v>137</v>
      </c>
      <c r="F26" s="108" t="s">
        <v>4</v>
      </c>
      <c r="G26" s="106">
        <v>6</v>
      </c>
      <c r="H26" s="5" t="s">
        <v>8</v>
      </c>
      <c r="I26" s="5"/>
    </row>
    <row r="27" spans="1:9" ht="16.5">
      <c r="A27" s="10" t="s">
        <v>124</v>
      </c>
      <c r="B27" s="10" t="s">
        <v>4</v>
      </c>
      <c r="C27" s="106">
        <v>0</v>
      </c>
      <c r="D27" s="107" t="s">
        <v>8</v>
      </c>
      <c r="E27" s="108" t="s">
        <v>138</v>
      </c>
      <c r="F27" s="108" t="s">
        <v>4</v>
      </c>
      <c r="G27" s="106">
        <v>0</v>
      </c>
      <c r="H27" s="5" t="s">
        <v>8</v>
      </c>
      <c r="I27" s="5"/>
    </row>
    <row r="28" spans="1:9" ht="16.5">
      <c r="A28" s="10" t="s">
        <v>125</v>
      </c>
      <c r="B28" s="10" t="s">
        <v>4</v>
      </c>
      <c r="C28" s="106">
        <v>0</v>
      </c>
      <c r="D28" s="107" t="s">
        <v>8</v>
      </c>
      <c r="E28" s="108" t="s">
        <v>139</v>
      </c>
      <c r="F28" s="108" t="s">
        <v>4</v>
      </c>
      <c r="G28" s="106">
        <v>0</v>
      </c>
      <c r="H28" s="5" t="s">
        <v>8</v>
      </c>
      <c r="I28" s="5"/>
    </row>
    <row r="29" spans="1:9" ht="16.5">
      <c r="A29" s="10" t="s">
        <v>128</v>
      </c>
      <c r="B29" s="10" t="s">
        <v>4</v>
      </c>
      <c r="C29" s="106">
        <v>90</v>
      </c>
      <c r="D29" s="107" t="s">
        <v>8</v>
      </c>
      <c r="E29" s="108" t="s">
        <v>140</v>
      </c>
      <c r="F29" s="108" t="s">
        <v>4</v>
      </c>
      <c r="G29" s="106">
        <v>6</v>
      </c>
      <c r="H29" s="5" t="s">
        <v>8</v>
      </c>
      <c r="I29" s="5"/>
    </row>
    <row r="30" spans="1:9" ht="16.5">
      <c r="A30" s="10" t="s">
        <v>144</v>
      </c>
      <c r="B30" s="10" t="s">
        <v>4</v>
      </c>
      <c r="C30" s="106">
        <v>90</v>
      </c>
      <c r="D30" s="107" t="s">
        <v>8</v>
      </c>
      <c r="E30" s="108" t="s">
        <v>145</v>
      </c>
      <c r="F30" s="108" t="s">
        <v>4</v>
      </c>
      <c r="G30" s="106">
        <v>6</v>
      </c>
      <c r="H30" s="5" t="s">
        <v>8</v>
      </c>
      <c r="I30" s="5"/>
    </row>
    <row r="31" spans="1:4" ht="16.5">
      <c r="A31" s="10" t="s">
        <v>146</v>
      </c>
      <c r="B31" s="10" t="s">
        <v>4</v>
      </c>
      <c r="C31" s="106">
        <v>10</v>
      </c>
      <c r="D31" s="107" t="s">
        <v>8</v>
      </c>
    </row>
    <row r="32" spans="1:4" ht="16.5">
      <c r="A32" s="10" t="s">
        <v>147</v>
      </c>
      <c r="B32" s="10" t="s">
        <v>4</v>
      </c>
      <c r="C32" s="106">
        <v>10</v>
      </c>
      <c r="D32" s="107" t="s">
        <v>8</v>
      </c>
    </row>
    <row r="33" ht="12.75">
      <c r="C33" t="s">
        <v>389</v>
      </c>
    </row>
    <row r="34" spans="1:9" ht="15">
      <c r="A34" s="52" t="s">
        <v>130</v>
      </c>
      <c r="B34" s="5"/>
      <c r="C34" s="5"/>
      <c r="D34" s="5"/>
      <c r="E34" s="5"/>
      <c r="F34" s="5"/>
      <c r="G34" s="5"/>
      <c r="H34" s="5"/>
      <c r="I34" s="5"/>
    </row>
    <row r="35" spans="1:9" ht="18.75">
      <c r="A35" s="10" t="s">
        <v>131</v>
      </c>
      <c r="B35" s="10" t="s">
        <v>4</v>
      </c>
      <c r="C35" s="19">
        <f>2*(C26*G26+C28*G28+C29*G29+C30*G30)/100</f>
        <v>69.6</v>
      </c>
      <c r="D35" s="5" t="s">
        <v>55</v>
      </c>
      <c r="E35" s="10" t="s">
        <v>152</v>
      </c>
      <c r="F35" s="10" t="s">
        <v>4</v>
      </c>
      <c r="G35" s="19">
        <f>(G24+C21+C18+C15+C12+C11+G24)/10-C38</f>
        <v>27.6</v>
      </c>
      <c r="H35" s="5" t="s">
        <v>21</v>
      </c>
      <c r="I35" s="5"/>
    </row>
    <row r="36" spans="1:10" ht="18.75">
      <c r="A36" s="10" t="s">
        <v>132</v>
      </c>
      <c r="B36" s="10" t="s">
        <v>4</v>
      </c>
      <c r="C36" s="19">
        <f>(2*C24*G24+4*C25*G25+4*C27*G27)/100</f>
        <v>81</v>
      </c>
      <c r="D36" s="5" t="s">
        <v>55</v>
      </c>
      <c r="E36" s="10" t="s">
        <v>153</v>
      </c>
      <c r="F36" s="10" t="s">
        <v>4</v>
      </c>
      <c r="G36" s="19">
        <f>(G24+C21+C18+C15+C12+C11+G24+C31+C29)/10-C38</f>
        <v>37.6</v>
      </c>
      <c r="H36" s="5" t="s">
        <v>21</v>
      </c>
      <c r="I36" s="5"/>
      <c r="J36" s="109"/>
    </row>
    <row r="37" spans="1:12" ht="18.75">
      <c r="A37" s="10" t="s">
        <v>133</v>
      </c>
      <c r="B37" s="10" t="s">
        <v>4</v>
      </c>
      <c r="C37" s="19">
        <f>C35+C36</f>
        <v>150.6</v>
      </c>
      <c r="D37" s="5" t="s">
        <v>55</v>
      </c>
      <c r="E37" s="10" t="s">
        <v>154</v>
      </c>
      <c r="F37" s="10" t="s">
        <v>4</v>
      </c>
      <c r="G37" s="19">
        <f>(G24+C21+C18+C15+C12-(C12-C26)/2)/10-C38</f>
        <v>20</v>
      </c>
      <c r="H37" s="5" t="s">
        <v>21</v>
      </c>
      <c r="I37" s="5"/>
      <c r="J37" s="10"/>
      <c r="K37" s="19"/>
      <c r="L37" s="5"/>
    </row>
    <row r="38" spans="1:8" ht="16.5">
      <c r="A38" s="10" t="s">
        <v>5</v>
      </c>
      <c r="B38" s="109" t="s">
        <v>4</v>
      </c>
      <c r="C38" s="19">
        <f>((C24*G24^2/2)+(2*(C25*G25*(G24+C15+G25/2)))+(2*(C28*G28*(G24+C15+C18/2)))+(2*(C27*G27*(G24+C15+C18-G27/2)))+(2*(C27*G27*(G24+C15+C18+C15+G27/2)))+(2*(C26*G26*(G24+C21+C18+C15+C12/2)))+(2*(C25*G25*(G24+C21+C18+C15+C12-G25/2)))+(C24*G24*(G24+C21+C18+C15+C12+C11+G24/2))+(2*(C29*G29*(G24+C21+C18+C15+C12+C11+G24+C29/2+C31)))-(2*(C30*G30*(C32+C30/2))))/(1000*C37)</f>
        <v>27.6</v>
      </c>
      <c r="D38" s="5" t="s">
        <v>21</v>
      </c>
      <c r="E38" s="10" t="s">
        <v>155</v>
      </c>
      <c r="F38" s="10" t="s">
        <v>4</v>
      </c>
      <c r="G38" s="19">
        <f>IF(AND(C29&gt;0),(G36),(G37))</f>
        <v>37.6</v>
      </c>
      <c r="H38" s="5" t="s">
        <v>21</v>
      </c>
    </row>
    <row r="39" spans="1:5" ht="18.75">
      <c r="A39" s="10" t="s">
        <v>134</v>
      </c>
      <c r="B39" s="10" t="s">
        <v>4</v>
      </c>
      <c r="C39" s="19">
        <f>(C24*G24*(C38*10-G24/2)^2+2*C25*G25*(C38*10-G24-C15-G25/2)^2+2*(G28*C28^3/12+G28*C28*(C38*10-G24-C15-C12/2)^2)+2*(C27*G27*(C38*10-G24-C15-C12+G27/2)^2)+2*(C27*G27*(C38*10-G24-C15-C12-C15-G27/2)^2)+2*(G26*C26^3/12+C26*G26*(C38*10-G24-C21-C18-C15-C12/2)^2)+2*C25*G25*(C38*10-G24-C21-C18-C15-C12+G25/2)^2+C24*G24*(C38*10-G24-C21-C18-C15-C12-C11-G24/2)^2+2*(G29*C29^3/12+C29*G29*(C38*10-G24-C21-C18-C15-C12-C11-C29/2-10)^2)+2*(G30*C30^3/12+C30*G30*(C38*10+C32+C30/2)^2))/10000</f>
        <v>85287.178</v>
      </c>
      <c r="D39" s="5" t="s">
        <v>76</v>
      </c>
      <c r="E39" s="5"/>
    </row>
    <row r="40" ht="15">
      <c r="E40" s="5"/>
    </row>
    <row r="41" spans="1:5" ht="15">
      <c r="A41" s="52" t="s">
        <v>31</v>
      </c>
      <c r="B41" s="5"/>
      <c r="C41" s="5"/>
      <c r="D41" s="5"/>
      <c r="E41" s="5"/>
    </row>
    <row r="42" spans="1:9" ht="18.75">
      <c r="A42" s="10" t="s">
        <v>148</v>
      </c>
      <c r="B42" s="10" t="s">
        <v>4</v>
      </c>
      <c r="C42" s="5" t="s">
        <v>141</v>
      </c>
      <c r="D42" s="5"/>
      <c r="E42" s="10" t="s">
        <v>4</v>
      </c>
      <c r="F42" s="110">
        <f>C6/C37+C4*100/C39*MAX(C38,G35)</f>
        <v>0.33979316328182413</v>
      </c>
      <c r="G42" s="5" t="s">
        <v>57</v>
      </c>
      <c r="H42" s="5" t="s">
        <v>363</v>
      </c>
      <c r="I42" s="111" t="str">
        <f>IF(AND(F42&lt;0.72),"SAFE","UNSAFE")</f>
        <v>SAFE</v>
      </c>
    </row>
    <row r="43" spans="1:9" ht="18.75">
      <c r="A43" s="10" t="s">
        <v>149</v>
      </c>
      <c r="B43" s="10" t="s">
        <v>4</v>
      </c>
      <c r="C43" s="5" t="s">
        <v>142</v>
      </c>
      <c r="D43" s="5"/>
      <c r="E43" s="10" t="s">
        <v>4</v>
      </c>
      <c r="F43" s="110">
        <f>C6/C37+C4*100/C39*G38</f>
        <v>0.4629066282390068</v>
      </c>
      <c r="G43" s="5" t="s">
        <v>57</v>
      </c>
      <c r="H43" s="5"/>
      <c r="I43" s="5"/>
    </row>
    <row r="44" spans="1:9" ht="18.75">
      <c r="A44" s="10" t="s">
        <v>150</v>
      </c>
      <c r="B44" s="10" t="s">
        <v>4</v>
      </c>
      <c r="C44" s="10" t="s">
        <v>143</v>
      </c>
      <c r="D44" s="10" t="s">
        <v>4</v>
      </c>
      <c r="E44" s="110">
        <f>C5/C35</f>
        <v>0.08189655172413794</v>
      </c>
      <c r="F44" s="5" t="s">
        <v>57</v>
      </c>
      <c r="G44" s="5"/>
      <c r="H44" s="5"/>
      <c r="I44" s="5"/>
    </row>
    <row r="45" spans="1:9" ht="18.75">
      <c r="A45" s="10" t="s">
        <v>151</v>
      </c>
      <c r="B45" s="10" t="s">
        <v>4</v>
      </c>
      <c r="C45" s="10" t="s">
        <v>158</v>
      </c>
      <c r="D45" s="10" t="s">
        <v>4</v>
      </c>
      <c r="E45" s="110">
        <f>(F43^2+3*E44^2)^0.5</f>
        <v>0.4841525400331173</v>
      </c>
      <c r="F45" s="5" t="s">
        <v>57</v>
      </c>
      <c r="G45" s="5" t="s">
        <v>364</v>
      </c>
      <c r="H45" s="5"/>
      <c r="I45" s="111" t="str">
        <f>IF(AND(E45&lt;0.792),"SAFE","UNSAFE")</f>
        <v>SAFE</v>
      </c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">
      <c r="A67" s="5"/>
      <c r="B67" s="5"/>
      <c r="C67" s="5"/>
      <c r="D67" s="5"/>
      <c r="E67" s="5"/>
      <c r="F67" s="5"/>
      <c r="G67" s="5"/>
      <c r="H67" s="5"/>
      <c r="I67" s="5"/>
    </row>
    <row r="68" spans="1:9" ht="15">
      <c r="A68" s="5"/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">
      <c r="A70" s="5"/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/>
      <c r="B72" s="5"/>
      <c r="C72" s="5"/>
      <c r="D72" s="5"/>
      <c r="E72" s="5"/>
      <c r="F72" s="5"/>
      <c r="G72" s="5"/>
      <c r="H72" s="5"/>
      <c r="I72" s="5"/>
    </row>
    <row r="73" spans="1:9" ht="15">
      <c r="A73" s="5"/>
      <c r="B73" s="5"/>
      <c r="C73" s="5"/>
      <c r="D73" s="5"/>
      <c r="E73" s="5"/>
      <c r="F73" s="5"/>
      <c r="G73" s="5"/>
      <c r="H73" s="5"/>
      <c r="I73" s="5"/>
    </row>
    <row r="74" spans="1:9" ht="15">
      <c r="A74" s="5"/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/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/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/>
      <c r="B80" s="5"/>
      <c r="C80" s="5"/>
      <c r="D80" s="5"/>
      <c r="E80" s="5"/>
      <c r="F80" s="5"/>
      <c r="G80" s="5"/>
      <c r="H80" s="5"/>
      <c r="I80" s="5"/>
    </row>
    <row r="81" spans="1:9" ht="15">
      <c r="A81" s="5"/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 s="5"/>
      <c r="C83" s="5"/>
      <c r="D83" s="5"/>
      <c r="E83" s="5"/>
      <c r="F83" s="5"/>
      <c r="G83" s="5"/>
      <c r="H83" s="5"/>
      <c r="I83" s="5"/>
    </row>
    <row r="84" spans="1:9" ht="15">
      <c r="A84" s="5"/>
      <c r="B84" s="5"/>
      <c r="C84" s="5"/>
      <c r="D84" s="5"/>
      <c r="E84" s="5"/>
      <c r="F84" s="5"/>
      <c r="G84" s="5"/>
      <c r="H84" s="5"/>
      <c r="I84" s="5"/>
    </row>
    <row r="85" spans="1:9" ht="15">
      <c r="A85" s="5"/>
      <c r="B85" s="5"/>
      <c r="C85" s="5"/>
      <c r="D85" s="5"/>
      <c r="E85" s="5"/>
      <c r="F85" s="5"/>
      <c r="G85" s="5"/>
      <c r="H85" s="5"/>
      <c r="I85" s="5"/>
    </row>
    <row r="86" spans="1:9" ht="15">
      <c r="A86" s="5"/>
      <c r="B86" s="5"/>
      <c r="C86" s="5"/>
      <c r="D86" s="5"/>
      <c r="E86" s="5"/>
      <c r="F86" s="5"/>
      <c r="G86" s="5"/>
      <c r="H86" s="5"/>
      <c r="I86" s="5"/>
    </row>
    <row r="87" spans="1:9" ht="15">
      <c r="A87" s="5"/>
      <c r="B87" s="5"/>
      <c r="C87" s="5"/>
      <c r="D87" s="5"/>
      <c r="E87" s="5"/>
      <c r="F87" s="5"/>
      <c r="G87" s="5"/>
      <c r="H87" s="5"/>
      <c r="I87" s="5"/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">
      <c r="A90" s="5"/>
      <c r="B90" s="5"/>
      <c r="C90" s="5"/>
      <c r="D90" s="5"/>
      <c r="E90" s="5"/>
      <c r="F90" s="5"/>
      <c r="G90" s="5"/>
      <c r="H90" s="5"/>
      <c r="I90" s="5"/>
    </row>
    <row r="91" spans="1:9" ht="15">
      <c r="A91" s="5"/>
      <c r="B91" s="5"/>
      <c r="C91" s="5"/>
      <c r="D91" s="5"/>
      <c r="E91" s="5"/>
      <c r="F91" s="5"/>
      <c r="G91" s="5"/>
      <c r="H91" s="5"/>
      <c r="I91" s="5"/>
    </row>
    <row r="92" spans="1:9" ht="15">
      <c r="A92" s="5"/>
      <c r="B92" s="5"/>
      <c r="C92" s="5"/>
      <c r="D92" s="5"/>
      <c r="E92" s="5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"/>
      <c r="B136" s="5"/>
      <c r="C136" s="5"/>
      <c r="D136" s="5"/>
      <c r="E136" s="5"/>
      <c r="F136" s="5"/>
      <c r="G136" s="5"/>
      <c r="H136" s="5"/>
      <c r="I136" s="5"/>
    </row>
  </sheetData>
  <sheetProtection/>
  <printOptions/>
  <pageMargins left="1.1811023622047245" right="0.11811023622047245" top="0.708661417322834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6">
      <selection activeCell="F8" sqref="F8"/>
    </sheetView>
  </sheetViews>
  <sheetFormatPr defaultColWidth="9.140625" defaultRowHeight="12.75"/>
  <cols>
    <col min="1" max="1" width="17.140625" style="0" customWidth="1"/>
    <col min="2" max="2" width="15.00390625" style="0" customWidth="1"/>
    <col min="3" max="3" width="11.140625" style="0" customWidth="1"/>
    <col min="6" max="6" width="10.00390625" style="0" customWidth="1"/>
    <col min="14" max="14" width="11.8515625" style="0" bestFit="1" customWidth="1"/>
    <col min="17" max="18" width="9.28125" style="0" bestFit="1" customWidth="1"/>
  </cols>
  <sheetData>
    <row r="1" spans="1:12" ht="15">
      <c r="A1" s="22" t="s">
        <v>58</v>
      </c>
      <c r="B1" s="70" t="s">
        <v>198</v>
      </c>
      <c r="C1" s="83"/>
      <c r="D1" s="82"/>
      <c r="E1" s="4"/>
      <c r="F1" s="5"/>
      <c r="G1" s="88"/>
      <c r="H1" s="6"/>
      <c r="I1" s="5"/>
      <c r="J1" s="5"/>
      <c r="K1" s="5"/>
      <c r="L1" s="71"/>
    </row>
    <row r="2" spans="1:13" ht="15">
      <c r="A2" s="4"/>
      <c r="B2" s="5"/>
      <c r="C2" s="4"/>
      <c r="D2" s="4"/>
      <c r="E2" s="4"/>
      <c r="F2" s="4"/>
      <c r="G2" s="4"/>
      <c r="H2" s="4"/>
      <c r="I2" s="7"/>
      <c r="J2" s="7"/>
      <c r="K2" s="7"/>
      <c r="L2" s="71"/>
      <c r="M2" s="71"/>
    </row>
    <row r="3" spans="1:13" ht="14.25">
      <c r="A3" s="22" t="s">
        <v>9</v>
      </c>
      <c r="B3" s="70" t="s">
        <v>197</v>
      </c>
      <c r="C3" s="127" t="s">
        <v>45</v>
      </c>
      <c r="D3" s="83"/>
      <c r="E3" s="83"/>
      <c r="F3" s="83"/>
      <c r="G3" s="83"/>
      <c r="H3" s="83"/>
      <c r="L3" s="71"/>
      <c r="M3" s="71"/>
    </row>
    <row r="4" spans="1:12" ht="12.75">
      <c r="A4" s="83"/>
      <c r="B4" s="83"/>
      <c r="C4" s="83">
        <v>22</v>
      </c>
      <c r="D4" s="83"/>
      <c r="E4" s="83"/>
      <c r="F4" s="83"/>
      <c r="G4" s="83"/>
      <c r="H4" s="83"/>
      <c r="L4" s="71"/>
    </row>
    <row r="5" spans="1:12" ht="15">
      <c r="A5" s="22" t="s">
        <v>13</v>
      </c>
      <c r="B5" s="84"/>
      <c r="C5" s="4">
        <v>9.5</v>
      </c>
      <c r="D5" s="4"/>
      <c r="E5" s="85"/>
      <c r="F5" s="8"/>
      <c r="G5" s="8"/>
      <c r="H5" s="8"/>
      <c r="I5" s="7"/>
      <c r="J5" s="7"/>
      <c r="K5" s="7"/>
      <c r="L5" s="71"/>
    </row>
    <row r="6" spans="1:12" ht="16.5">
      <c r="A6" s="9" t="s">
        <v>376</v>
      </c>
      <c r="B6" s="10" t="s">
        <v>4</v>
      </c>
      <c r="C6" s="11">
        <v>5</v>
      </c>
      <c r="D6" s="4" t="s">
        <v>15</v>
      </c>
      <c r="E6" s="8"/>
      <c r="F6" s="8"/>
      <c r="G6" s="8"/>
      <c r="H6" s="8"/>
      <c r="I6" s="7"/>
      <c r="J6" s="7"/>
      <c r="K6" s="7"/>
      <c r="L6" s="71"/>
    </row>
    <row r="7" spans="1:13" ht="15">
      <c r="A7" s="9" t="s">
        <v>80</v>
      </c>
      <c r="B7" s="10" t="s">
        <v>4</v>
      </c>
      <c r="C7" s="11">
        <v>1.4</v>
      </c>
      <c r="D7" s="4" t="s">
        <v>6</v>
      </c>
      <c r="E7" s="8"/>
      <c r="F7" s="8"/>
      <c r="G7" s="8"/>
      <c r="H7" s="8"/>
      <c r="I7" s="7"/>
      <c r="J7" s="7"/>
      <c r="K7" s="7"/>
      <c r="L7" s="71"/>
      <c r="M7" s="71"/>
    </row>
    <row r="8" spans="1:13" ht="15">
      <c r="A8" s="9"/>
      <c r="B8" s="10"/>
      <c r="C8" s="11"/>
      <c r="D8" s="4"/>
      <c r="E8" s="8"/>
      <c r="F8" s="8"/>
      <c r="G8" s="8"/>
      <c r="H8" s="8"/>
      <c r="I8" s="7"/>
      <c r="J8" s="7"/>
      <c r="K8" s="7"/>
      <c r="L8" s="71"/>
      <c r="M8" s="71"/>
    </row>
    <row r="9" spans="1:13" ht="15">
      <c r="A9" s="10"/>
      <c r="B9" s="10"/>
      <c r="C9" s="11"/>
      <c r="D9" s="4"/>
      <c r="E9" s="5"/>
      <c r="F9" s="5"/>
      <c r="G9" s="5"/>
      <c r="H9" s="5"/>
      <c r="I9" s="5"/>
      <c r="J9" s="5"/>
      <c r="K9" s="5"/>
      <c r="L9" s="71"/>
      <c r="M9" s="71"/>
    </row>
    <row r="10" spans="1:13" ht="1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71"/>
      <c r="M10" s="71"/>
    </row>
    <row r="11" spans="1:13" ht="15">
      <c r="A11" s="47" t="s">
        <v>102</v>
      </c>
      <c r="B11" s="16"/>
      <c r="C11" s="4">
        <v>12</v>
      </c>
      <c r="D11" s="4"/>
      <c r="E11" s="4"/>
      <c r="F11" s="5"/>
      <c r="G11" s="5"/>
      <c r="H11" s="8"/>
      <c r="I11" s="7"/>
      <c r="J11" s="7"/>
      <c r="K11" s="7"/>
      <c r="L11" s="71"/>
      <c r="M11" s="71"/>
    </row>
    <row r="12" spans="1:13" ht="15">
      <c r="A12" s="10" t="s">
        <v>19</v>
      </c>
      <c r="B12" s="13" t="s">
        <v>255</v>
      </c>
      <c r="C12" s="5">
        <v>500</v>
      </c>
      <c r="D12" s="5"/>
      <c r="E12" s="4"/>
      <c r="F12" s="4"/>
      <c r="G12" s="4"/>
      <c r="H12" s="4"/>
      <c r="I12" s="5"/>
      <c r="J12" s="5"/>
      <c r="K12" s="5"/>
      <c r="L12" s="71"/>
      <c r="M12" s="71"/>
    </row>
    <row r="13" spans="1:13" ht="16.5">
      <c r="A13" s="9" t="s">
        <v>86</v>
      </c>
      <c r="B13" s="10" t="s">
        <v>4</v>
      </c>
      <c r="C13" s="15">
        <v>6</v>
      </c>
      <c r="D13" s="4" t="s">
        <v>8</v>
      </c>
      <c r="E13" s="9"/>
      <c r="F13" s="4"/>
      <c r="G13" s="4"/>
      <c r="H13" s="4"/>
      <c r="I13" s="5"/>
      <c r="J13" s="5"/>
      <c r="K13" s="5"/>
      <c r="L13" s="71"/>
      <c r="M13" s="71"/>
    </row>
    <row r="14" spans="1:13" ht="16.5">
      <c r="A14" s="9" t="s">
        <v>87</v>
      </c>
      <c r="B14" s="10" t="s">
        <v>4</v>
      </c>
      <c r="C14" s="15">
        <v>9.8</v>
      </c>
      <c r="D14" s="4" t="s">
        <v>8</v>
      </c>
      <c r="E14" s="9"/>
      <c r="F14" s="9"/>
      <c r="G14" s="86"/>
      <c r="H14" s="4"/>
      <c r="I14" s="5"/>
      <c r="J14" s="5"/>
      <c r="K14" s="5"/>
      <c r="L14" s="71"/>
      <c r="M14" s="71"/>
    </row>
    <row r="15" spans="1:13" ht="16.5">
      <c r="A15" s="9" t="s">
        <v>88</v>
      </c>
      <c r="B15" s="10" t="s">
        <v>4</v>
      </c>
      <c r="C15" s="15">
        <v>12</v>
      </c>
      <c r="D15" s="4" t="s">
        <v>8</v>
      </c>
      <c r="E15" s="9"/>
      <c r="F15" s="9"/>
      <c r="G15" s="9"/>
      <c r="H15" s="4"/>
      <c r="I15" s="5"/>
      <c r="J15" s="5"/>
      <c r="K15" s="5"/>
      <c r="L15" s="71"/>
      <c r="M15" s="71"/>
    </row>
    <row r="16" spans="1:18" ht="16.5">
      <c r="A16" s="9" t="s">
        <v>89</v>
      </c>
      <c r="B16" s="10" t="s">
        <v>4</v>
      </c>
      <c r="C16" s="15">
        <v>6.2</v>
      </c>
      <c r="D16" s="4" t="s">
        <v>8</v>
      </c>
      <c r="E16" s="4"/>
      <c r="F16" s="9"/>
      <c r="G16" s="9"/>
      <c r="H16" s="4"/>
      <c r="I16" s="7"/>
      <c r="J16" s="7"/>
      <c r="K16" s="7"/>
      <c r="L16" s="71"/>
      <c r="M16" s="71"/>
      <c r="P16" s="14" t="s">
        <v>20</v>
      </c>
      <c r="Q16" s="16">
        <f>(C14/10+C15/10+C18/10-C29)</f>
        <v>-86.84</v>
      </c>
      <c r="R16" s="5" t="s">
        <v>21</v>
      </c>
    </row>
    <row r="17" spans="1:18" ht="16.5">
      <c r="A17" s="9" t="s">
        <v>90</v>
      </c>
      <c r="B17" s="10" t="s">
        <v>4</v>
      </c>
      <c r="C17" s="15">
        <v>120</v>
      </c>
      <c r="D17" s="4" t="s">
        <v>8</v>
      </c>
      <c r="E17" s="4"/>
      <c r="F17" s="4"/>
      <c r="G17" s="4"/>
      <c r="H17" s="4"/>
      <c r="I17" s="7"/>
      <c r="J17" s="7"/>
      <c r="K17" s="7"/>
      <c r="L17" s="71"/>
      <c r="P17" s="14"/>
      <c r="Q17" s="5"/>
      <c r="R17" s="5"/>
    </row>
    <row r="18" spans="1:13" ht="16.5">
      <c r="A18" s="9" t="s">
        <v>91</v>
      </c>
      <c r="B18" s="10" t="s">
        <v>4</v>
      </c>
      <c r="C18" s="15">
        <v>9.8</v>
      </c>
      <c r="D18" s="4" t="s">
        <v>8</v>
      </c>
      <c r="E18" s="4"/>
      <c r="F18" s="4"/>
      <c r="G18" s="4"/>
      <c r="H18" s="4"/>
      <c r="I18" s="7"/>
      <c r="J18" s="7"/>
      <c r="K18" s="7"/>
      <c r="L18" s="71"/>
      <c r="M18" s="71"/>
    </row>
    <row r="19" spans="1:17" ht="15">
      <c r="A19" s="65"/>
      <c r="B19" s="83"/>
      <c r="C19" s="91"/>
      <c r="D19" s="83"/>
      <c r="E19" s="4"/>
      <c r="F19" s="4"/>
      <c r="G19" s="4"/>
      <c r="H19" s="4"/>
      <c r="I19" s="5"/>
      <c r="J19" s="5"/>
      <c r="K19" s="5"/>
      <c r="L19" s="71"/>
      <c r="M19" s="71"/>
      <c r="P19" s="72"/>
      <c r="Q19" s="109"/>
    </row>
    <row r="20" spans="1:17" ht="15">
      <c r="A20" s="47" t="s">
        <v>103</v>
      </c>
      <c r="B20" s="16"/>
      <c r="C20" s="91"/>
      <c r="D20" s="83"/>
      <c r="E20" s="4"/>
      <c r="F20" s="4"/>
      <c r="G20" s="4"/>
      <c r="H20" s="4"/>
      <c r="I20" s="5"/>
      <c r="J20" s="5"/>
      <c r="K20" s="5"/>
      <c r="L20" s="71"/>
      <c r="M20" s="71"/>
      <c r="P20" s="72"/>
      <c r="Q20" s="109"/>
    </row>
    <row r="21" spans="1:17" ht="15">
      <c r="A21" s="5" t="s">
        <v>118</v>
      </c>
      <c r="B21" s="5"/>
      <c r="C21" s="11">
        <v>9.2</v>
      </c>
      <c r="D21" s="85" t="s">
        <v>0</v>
      </c>
      <c r="E21" s="4"/>
      <c r="F21" s="4"/>
      <c r="G21" s="4"/>
      <c r="H21" s="4"/>
      <c r="I21" s="5"/>
      <c r="J21" s="5"/>
      <c r="K21" s="5"/>
      <c r="L21" s="71"/>
      <c r="M21" s="71"/>
      <c r="P21" s="72"/>
      <c r="Q21" s="109"/>
    </row>
    <row r="22" spans="1:17" ht="15">
      <c r="A22" s="36" t="s">
        <v>120</v>
      </c>
      <c r="B22" s="85"/>
      <c r="C22" s="11">
        <v>2.5</v>
      </c>
      <c r="D22" s="85" t="s">
        <v>0</v>
      </c>
      <c r="E22" s="4"/>
      <c r="F22" s="4"/>
      <c r="G22" s="4"/>
      <c r="H22" s="4"/>
      <c r="I22" s="5"/>
      <c r="J22" s="5"/>
      <c r="K22" s="5"/>
      <c r="L22" s="71"/>
      <c r="M22" s="71"/>
      <c r="P22" s="72"/>
      <c r="Q22" s="109"/>
    </row>
    <row r="23" spans="1:13" ht="15">
      <c r="A23" s="4" t="s">
        <v>105</v>
      </c>
      <c r="B23" s="64"/>
      <c r="C23" s="11">
        <v>9.2</v>
      </c>
      <c r="D23" s="85" t="s">
        <v>0</v>
      </c>
      <c r="E23" s="4"/>
      <c r="F23" s="4"/>
      <c r="G23" s="4"/>
      <c r="H23" s="4"/>
      <c r="I23" s="5"/>
      <c r="J23" s="5"/>
      <c r="K23" s="5"/>
      <c r="L23" s="71"/>
      <c r="M23" s="71"/>
    </row>
    <row r="24" spans="1:13" ht="15">
      <c r="A24" s="4" t="s">
        <v>106</v>
      </c>
      <c r="B24" s="64"/>
      <c r="C24" s="11">
        <v>2.5</v>
      </c>
      <c r="D24" s="85" t="s">
        <v>0</v>
      </c>
      <c r="E24" s="4"/>
      <c r="F24" s="4"/>
      <c r="G24" s="4">
        <v>10</v>
      </c>
      <c r="H24" s="4"/>
      <c r="I24" s="5"/>
      <c r="J24" s="5"/>
      <c r="K24" s="5"/>
      <c r="L24" s="71"/>
      <c r="M24" s="71"/>
    </row>
    <row r="25" spans="1:13" ht="15">
      <c r="A25" s="9"/>
      <c r="B25" s="16"/>
      <c r="C25" s="4"/>
      <c r="D25" s="4"/>
      <c r="E25" s="4"/>
      <c r="F25" s="4"/>
      <c r="G25" s="4">
        <v>10</v>
      </c>
      <c r="H25" s="4"/>
      <c r="I25" s="5"/>
      <c r="J25" s="5"/>
      <c r="K25" s="5"/>
      <c r="L25" s="71"/>
      <c r="M25" s="71"/>
    </row>
    <row r="26" spans="5:13" ht="15">
      <c r="E26" s="4"/>
      <c r="F26" s="4"/>
      <c r="G26" s="4">
        <v>6</v>
      </c>
      <c r="H26" s="4"/>
      <c r="I26" s="5"/>
      <c r="J26" s="5"/>
      <c r="K26" s="5"/>
      <c r="L26" s="71"/>
      <c r="M26" s="71"/>
    </row>
    <row r="27" spans="1:13" ht="15">
      <c r="A27" s="47" t="s">
        <v>26</v>
      </c>
      <c r="B27" s="16"/>
      <c r="C27" s="4"/>
      <c r="D27" s="4"/>
      <c r="E27" s="5"/>
      <c r="F27" s="5"/>
      <c r="G27" s="5"/>
      <c r="H27" s="5"/>
      <c r="I27" s="5"/>
      <c r="J27" s="5"/>
      <c r="K27" s="5"/>
      <c r="L27" s="71"/>
      <c r="M27" s="71"/>
    </row>
    <row r="28" spans="1:13" ht="15">
      <c r="A28" s="10"/>
      <c r="B28" s="10"/>
      <c r="C28" s="19"/>
      <c r="D28" s="5"/>
      <c r="E28" s="5"/>
      <c r="F28" s="5"/>
      <c r="G28" s="5"/>
      <c r="H28" s="5"/>
      <c r="I28" s="5"/>
      <c r="J28" s="5"/>
      <c r="K28" s="5"/>
      <c r="L28" s="71"/>
      <c r="M28" s="71"/>
    </row>
    <row r="29" spans="1:13" ht="15">
      <c r="A29" s="10" t="s">
        <v>27</v>
      </c>
      <c r="B29" s="10" t="s">
        <v>4</v>
      </c>
      <c r="C29" s="19">
        <v>90</v>
      </c>
      <c r="D29" s="5" t="s">
        <v>21</v>
      </c>
      <c r="E29" s="5"/>
      <c r="F29" s="5"/>
      <c r="G29" s="5">
        <v>10</v>
      </c>
      <c r="H29" s="5"/>
      <c r="I29" s="7"/>
      <c r="J29" s="7"/>
      <c r="K29" s="7"/>
      <c r="L29" s="71"/>
      <c r="M29" s="71"/>
    </row>
    <row r="30" spans="1:13" ht="18">
      <c r="A30" s="9" t="s">
        <v>28</v>
      </c>
      <c r="B30" s="10" t="s">
        <v>4</v>
      </c>
      <c r="C30" s="16">
        <v>100</v>
      </c>
      <c r="D30" s="4" t="s">
        <v>55</v>
      </c>
      <c r="E30" s="5"/>
      <c r="F30" s="5"/>
      <c r="G30" s="5">
        <v>10</v>
      </c>
      <c r="H30" s="5"/>
      <c r="I30" s="7"/>
      <c r="J30" s="7"/>
      <c r="K30" s="7"/>
      <c r="L30" s="71"/>
      <c r="M30" s="71"/>
    </row>
    <row r="31" spans="1:13" ht="18">
      <c r="A31" s="9" t="s">
        <v>29</v>
      </c>
      <c r="B31" s="10" t="s">
        <v>4</v>
      </c>
      <c r="C31" s="16">
        <v>10</v>
      </c>
      <c r="D31" s="4" t="s">
        <v>76</v>
      </c>
      <c r="E31" s="83"/>
      <c r="F31" s="83"/>
      <c r="G31" s="83"/>
      <c r="H31" s="83"/>
      <c r="I31" s="7"/>
      <c r="J31" s="7"/>
      <c r="K31" s="7"/>
      <c r="L31" s="71"/>
      <c r="M31" s="71"/>
    </row>
    <row r="32" spans="1:13" ht="18">
      <c r="A32" s="9" t="s">
        <v>30</v>
      </c>
      <c r="B32" s="10" t="s">
        <v>4</v>
      </c>
      <c r="C32" s="16">
        <v>10</v>
      </c>
      <c r="D32" s="4" t="s">
        <v>76</v>
      </c>
      <c r="E32" s="83"/>
      <c r="F32" s="83"/>
      <c r="G32" s="83"/>
      <c r="H32" s="83"/>
      <c r="I32" s="7"/>
      <c r="J32" s="7"/>
      <c r="K32" s="7"/>
      <c r="L32" s="71"/>
      <c r="M32" s="71"/>
    </row>
    <row r="33" spans="1:13" ht="18.75">
      <c r="A33" s="10" t="s">
        <v>280</v>
      </c>
      <c r="B33" s="10" t="s">
        <v>4</v>
      </c>
      <c r="C33" s="19">
        <f>C31/(MAX(C29,Q16))</f>
        <v>0.1111111111111111</v>
      </c>
      <c r="D33" s="4" t="s">
        <v>56</v>
      </c>
      <c r="E33" s="83"/>
      <c r="F33" s="83"/>
      <c r="G33" s="83"/>
      <c r="H33" s="83"/>
      <c r="I33" s="7"/>
      <c r="J33" s="7"/>
      <c r="K33" s="7"/>
      <c r="L33" s="71"/>
      <c r="M33" s="74"/>
    </row>
    <row r="34" spans="1:15" ht="16.5">
      <c r="A34" s="9" t="s">
        <v>281</v>
      </c>
      <c r="B34" s="10" t="s">
        <v>4</v>
      </c>
      <c r="C34" s="16">
        <f>(C31/C30)^0.5</f>
        <v>0.31622776601683794</v>
      </c>
      <c r="D34" s="4" t="s">
        <v>21</v>
      </c>
      <c r="E34" s="83"/>
      <c r="F34" s="83"/>
      <c r="G34" s="83"/>
      <c r="H34" s="83"/>
      <c r="I34" s="7"/>
      <c r="J34" s="7"/>
      <c r="K34" s="7"/>
      <c r="L34" t="s">
        <v>270</v>
      </c>
      <c r="M34">
        <f>0.5*(C7*100/(2.4*C15*C16)+1)</f>
        <v>0.8920250896057349</v>
      </c>
      <c r="N34" s="143" t="s">
        <v>267</v>
      </c>
      <c r="O34" s="143">
        <f>-C44+C43</f>
        <v>4499.986</v>
      </c>
    </row>
    <row r="35" spans="1:15" ht="16.5">
      <c r="A35" s="9" t="s">
        <v>282</v>
      </c>
      <c r="B35" s="10" t="s">
        <v>4</v>
      </c>
      <c r="C35" s="16">
        <f>(C32/C30)^0.5</f>
        <v>0.31622776601683794</v>
      </c>
      <c r="D35" s="4" t="s">
        <v>21</v>
      </c>
      <c r="E35" s="83"/>
      <c r="F35" s="83"/>
      <c r="G35" s="83"/>
      <c r="H35" s="83"/>
      <c r="I35" s="7"/>
      <c r="J35" s="7"/>
      <c r="K35" s="7"/>
      <c r="N35" s="143" t="s">
        <v>268</v>
      </c>
      <c r="O35" s="143">
        <f>-C44-C43</f>
        <v>-4500.014</v>
      </c>
    </row>
    <row r="36" spans="1:15" ht="15">
      <c r="A36" s="9"/>
      <c r="B36" s="10"/>
      <c r="C36" s="16"/>
      <c r="D36" s="4"/>
      <c r="E36" s="83"/>
      <c r="F36" s="83"/>
      <c r="G36" s="83"/>
      <c r="H36" s="83"/>
      <c r="I36" s="7"/>
      <c r="J36" s="7"/>
      <c r="K36" s="7"/>
      <c r="N36" s="143" t="s">
        <v>269</v>
      </c>
      <c r="O36" s="71">
        <f>O34/O35</f>
        <v>-0.9999937777971357</v>
      </c>
    </row>
    <row r="37" spans="1:14" ht="18" customHeight="1">
      <c r="A37" s="47" t="s">
        <v>260</v>
      </c>
      <c r="B37" s="22"/>
      <c r="C37" s="22"/>
      <c r="D37" s="4"/>
      <c r="I37" s="7"/>
      <c r="J37" s="7"/>
      <c r="K37" s="7"/>
      <c r="L37" s="143" t="s">
        <v>262</v>
      </c>
      <c r="M37" s="143" t="s">
        <v>263</v>
      </c>
      <c r="N37" s="109" t="s">
        <v>264</v>
      </c>
    </row>
    <row r="38" spans="1:17" ht="18" customHeight="1">
      <c r="A38" s="120" t="s">
        <v>271</v>
      </c>
      <c r="B38" s="120" t="s">
        <v>4</v>
      </c>
      <c r="C38" s="120">
        <f>(C15-2*C14)/C16</f>
        <v>-1.2258064516129035</v>
      </c>
      <c r="D38" s="4"/>
      <c r="I38" s="7"/>
      <c r="J38" s="7"/>
      <c r="K38" s="7"/>
      <c r="L38" s="143">
        <f>IF(M34&gt;0.5,451.2/(13*M34-1),41.053/M34)</f>
        <v>42.58079573802375</v>
      </c>
      <c r="M38" s="143">
        <f>IF(O36&gt;-1,190/(3.1+1.55*O36),61.322*((-O36)^0.5)*(1-O36))</f>
        <v>122.57988244439466</v>
      </c>
      <c r="N38" s="109">
        <f>M38</f>
        <v>122.57988244439466</v>
      </c>
      <c r="O38" s="109">
        <f>IF(C38&lt;=L38,1,0)</f>
        <v>1</v>
      </c>
      <c r="P38" s="109">
        <f>IF(C38&lt;=M38,1,0)</f>
        <v>1</v>
      </c>
      <c r="Q38" s="109">
        <f>IF(C38&lt;=N38,1,0)</f>
        <v>1</v>
      </c>
    </row>
    <row r="39" spans="1:17" ht="16.5">
      <c r="A39" s="120" t="s">
        <v>374</v>
      </c>
      <c r="B39" s="120" t="s">
        <v>4</v>
      </c>
      <c r="C39" s="120">
        <f>(C13/(2*C14))</f>
        <v>0.3061224489795918</v>
      </c>
      <c r="D39" s="4"/>
      <c r="I39" s="7"/>
      <c r="J39" s="7"/>
      <c r="K39" s="7"/>
      <c r="L39" s="143">
        <v>10.91</v>
      </c>
      <c r="M39" s="143">
        <v>14.8</v>
      </c>
      <c r="N39" s="109">
        <v>14.8</v>
      </c>
      <c r="O39" s="109">
        <f>IF(C39&lt;=L39,1,0)</f>
        <v>1</v>
      </c>
      <c r="P39" s="109">
        <f>IF(C39&lt;=M39,1,0)</f>
        <v>1</v>
      </c>
      <c r="Q39" s="109">
        <f>IF(C39&lt;=N39,1,0)</f>
        <v>1</v>
      </c>
    </row>
    <row r="40" spans="1:17" ht="15">
      <c r="A40" s="70" t="s">
        <v>261</v>
      </c>
      <c r="B40" s="144" t="str">
        <f>IF(AND(O40=2),"Compact",IF((P40=2),"Non Compact","Slender"))</f>
        <v>Compact</v>
      </c>
      <c r="C40" s="82"/>
      <c r="D40" s="4"/>
      <c r="I40" s="7"/>
      <c r="J40" s="7"/>
      <c r="K40" s="7"/>
      <c r="L40" s="71"/>
      <c r="M40" s="71"/>
      <c r="O40" s="109">
        <f>O38+O39</f>
        <v>2</v>
      </c>
      <c r="P40" s="109">
        <f>P38+P39</f>
        <v>2</v>
      </c>
      <c r="Q40" s="109">
        <f>Q38+Q39</f>
        <v>2</v>
      </c>
    </row>
    <row r="41" spans="2:17" ht="15">
      <c r="B41" s="82"/>
      <c r="C41" s="82"/>
      <c r="D41" s="4"/>
      <c r="I41" s="7"/>
      <c r="J41" s="7"/>
      <c r="K41" s="7"/>
      <c r="L41" s="71"/>
      <c r="M41" s="71"/>
      <c r="O41" s="109" t="s">
        <v>265</v>
      </c>
      <c r="P41" s="109">
        <f>IF((B40="Compact"),1.536,1.4)</f>
        <v>1.536</v>
      </c>
      <c r="Q41" s="109"/>
    </row>
    <row r="42" spans="1:17" ht="15">
      <c r="A42" s="47" t="s">
        <v>259</v>
      </c>
      <c r="B42" s="16"/>
      <c r="C42" s="4"/>
      <c r="D42" s="4"/>
      <c r="E42" s="83"/>
      <c r="F42" s="83"/>
      <c r="G42" s="83"/>
      <c r="H42" s="83"/>
      <c r="I42" s="7"/>
      <c r="J42" s="7"/>
      <c r="K42" s="7"/>
      <c r="L42" s="71"/>
      <c r="M42" s="71"/>
      <c r="O42" s="109"/>
      <c r="P42" s="109"/>
      <c r="Q42" s="109"/>
    </row>
    <row r="43" spans="1:13" ht="18.75">
      <c r="A43" s="9" t="s">
        <v>273</v>
      </c>
      <c r="B43" s="16" t="s">
        <v>4</v>
      </c>
      <c r="C43" s="16">
        <f>C6*100/C33</f>
        <v>4500</v>
      </c>
      <c r="D43" s="4" t="s">
        <v>57</v>
      </c>
      <c r="E43" s="83"/>
      <c r="F43" s="83"/>
      <c r="G43" s="9"/>
      <c r="H43" s="16"/>
      <c r="I43" s="16"/>
      <c r="J43" s="16"/>
      <c r="K43" s="16"/>
      <c r="L43" s="4"/>
      <c r="M43" s="71"/>
    </row>
    <row r="44" spans="1:13" ht="18.75">
      <c r="A44" s="9" t="s">
        <v>92</v>
      </c>
      <c r="B44" s="16" t="s">
        <v>4</v>
      </c>
      <c r="C44" s="16">
        <f>C7/C30</f>
        <v>0.013999999999999999</v>
      </c>
      <c r="D44" s="4" t="s">
        <v>57</v>
      </c>
      <c r="E44" s="4"/>
      <c r="F44" s="4"/>
      <c r="G44" s="89"/>
      <c r="H44" s="4"/>
      <c r="I44" s="7"/>
      <c r="J44" s="7"/>
      <c r="K44" s="7"/>
      <c r="L44" s="71"/>
      <c r="M44" s="71"/>
    </row>
    <row r="45" spans="1:13" ht="16.5">
      <c r="A45" s="10" t="s">
        <v>96</v>
      </c>
      <c r="B45" s="16" t="s">
        <v>4</v>
      </c>
      <c r="C45" s="19">
        <v>1.13</v>
      </c>
      <c r="D45" s="5"/>
      <c r="E45" s="5"/>
      <c r="F45" s="5"/>
      <c r="G45" s="5"/>
      <c r="H45" s="5"/>
      <c r="I45" s="7"/>
      <c r="J45" s="7"/>
      <c r="K45" s="7"/>
      <c r="L45" s="71"/>
      <c r="M45" s="71"/>
    </row>
    <row r="46" spans="1:13" ht="16.5">
      <c r="A46" s="154" t="s">
        <v>54</v>
      </c>
      <c r="B46" s="155" t="s">
        <v>4</v>
      </c>
      <c r="C46" s="4" t="s">
        <v>256</v>
      </c>
      <c r="D46" s="4"/>
      <c r="F46" s="9">
        <f>(20*(C13/1000))/(2.4^0.5)</f>
        <v>0.07745966692414834</v>
      </c>
      <c r="G46" s="4" t="s">
        <v>0</v>
      </c>
      <c r="H46" s="153">
        <f>MIN(F46,F47)</f>
        <v>0.07745966692414834</v>
      </c>
      <c r="I46" s="153" t="s">
        <v>0</v>
      </c>
      <c r="J46" s="7"/>
      <c r="K46" s="7"/>
      <c r="L46" s="71"/>
      <c r="M46" s="71"/>
    </row>
    <row r="47" spans="1:18" ht="18.75">
      <c r="A47" s="154"/>
      <c r="B47" s="155"/>
      <c r="C47" s="4" t="s">
        <v>258</v>
      </c>
      <c r="D47" s="4"/>
      <c r="E47" s="4"/>
      <c r="F47" s="16">
        <f>(1380*C45*(C13*C14/100)/(2.4*10*C15))</f>
        <v>3.1837750000000002</v>
      </c>
      <c r="G47" s="4" t="s">
        <v>0</v>
      </c>
      <c r="H47" s="153"/>
      <c r="I47" s="153"/>
      <c r="J47" s="7"/>
      <c r="K47" s="7"/>
      <c r="L47" s="9" t="s">
        <v>167</v>
      </c>
      <c r="M47" s="9" t="s">
        <v>4</v>
      </c>
      <c r="N47" s="10">
        <f>(C13*C14+C15*C16/6)/100</f>
        <v>0.7120000000000001</v>
      </c>
      <c r="O47" s="4" t="s">
        <v>55</v>
      </c>
      <c r="P47" s="10" t="s">
        <v>171</v>
      </c>
      <c r="Q47" s="10" t="s">
        <v>4</v>
      </c>
      <c r="R47" s="5">
        <f>800*C45*N50/(C15*100*C22/10)</f>
        <v>1.77184</v>
      </c>
    </row>
    <row r="48" spans="1:18" ht="18">
      <c r="A48" s="9"/>
      <c r="B48" s="4" t="s">
        <v>33</v>
      </c>
      <c r="C48" s="4"/>
      <c r="D48" s="4"/>
      <c r="E48" s="4"/>
      <c r="F48" s="23" t="str">
        <f>IF(AND(H46&gt;C22),"No Ltb","Ltb")</f>
        <v>Ltb</v>
      </c>
      <c r="G48" s="36"/>
      <c r="H48" s="5"/>
      <c r="I48" s="5"/>
      <c r="J48" s="4"/>
      <c r="K48" s="4"/>
      <c r="L48" s="9" t="s">
        <v>168</v>
      </c>
      <c r="M48" s="9" t="s">
        <v>4</v>
      </c>
      <c r="N48" s="10">
        <f>(C14*C13^3/12+C15*C16^3/72)/10000</f>
        <v>0.021612133333333335</v>
      </c>
      <c r="O48" s="4" t="s">
        <v>76</v>
      </c>
      <c r="P48" s="10" t="s">
        <v>173</v>
      </c>
      <c r="Q48" s="10" t="s">
        <v>4</v>
      </c>
      <c r="R48" s="5">
        <f>IF(N51&lt;=(84*N52),1.4,0)</f>
        <v>0</v>
      </c>
    </row>
    <row r="49" spans="1:18" ht="18">
      <c r="A49" s="9" t="s">
        <v>175</v>
      </c>
      <c r="B49" s="9" t="s">
        <v>4</v>
      </c>
      <c r="C49" s="9">
        <f>IF(AND(H49="Yes"),P41,R52)</f>
        <v>1.4</v>
      </c>
      <c r="D49" s="4" t="s">
        <v>57</v>
      </c>
      <c r="E49" s="4"/>
      <c r="F49" s="156" t="s">
        <v>201</v>
      </c>
      <c r="G49" s="156"/>
      <c r="H49" s="132" t="s">
        <v>242</v>
      </c>
      <c r="I49" s="132"/>
      <c r="J49" s="4"/>
      <c r="K49" s="4"/>
      <c r="L49" s="9" t="s">
        <v>169</v>
      </c>
      <c r="M49" s="9" t="s">
        <v>4</v>
      </c>
      <c r="N49" s="10">
        <f>SQRT(N48/N47)</f>
        <v>0.17422433770913656</v>
      </c>
      <c r="O49" s="5" t="s">
        <v>21</v>
      </c>
      <c r="P49" s="10" t="s">
        <v>173</v>
      </c>
      <c r="Q49" s="10" t="s">
        <v>4</v>
      </c>
      <c r="R49" s="5">
        <f>IF(AND(84*N52&lt;=N51,N51&lt;=188*N52),2.4*(0.64-2.4*N51^2/(1.176*100000*C45)),0)</f>
        <v>0</v>
      </c>
    </row>
    <row r="50" spans="1:18" ht="18.75">
      <c r="A50" s="9" t="s">
        <v>274</v>
      </c>
      <c r="B50" s="9" t="s">
        <v>4</v>
      </c>
      <c r="C50" s="9">
        <f>IF(OR(H46&gt;C18,H49="yes"),P41,MIN(1.4,C49))</f>
        <v>1.4</v>
      </c>
      <c r="D50" s="4" t="s">
        <v>57</v>
      </c>
      <c r="E50" s="4"/>
      <c r="F50" s="23"/>
      <c r="G50" s="36"/>
      <c r="H50" s="5"/>
      <c r="I50" s="5"/>
      <c r="J50" s="4"/>
      <c r="K50" s="4"/>
      <c r="L50" s="9" t="s">
        <v>170</v>
      </c>
      <c r="M50" s="9" t="s">
        <v>4</v>
      </c>
      <c r="N50" s="10">
        <f>(C13*C14)/100</f>
        <v>0.5880000000000001</v>
      </c>
      <c r="O50" s="5" t="s">
        <v>21</v>
      </c>
      <c r="P50" s="10" t="s">
        <v>173</v>
      </c>
      <c r="Q50" s="10" t="s">
        <v>4</v>
      </c>
      <c r="R50" s="5">
        <f>IF(N51&gt;=188*N52,12000*C45/N51^2,0)</f>
        <v>0.006585629842696628</v>
      </c>
    </row>
    <row r="51" spans="1:18" ht="15">
      <c r="A51" s="9"/>
      <c r="B51" s="9"/>
      <c r="C51" s="21"/>
      <c r="D51" s="5"/>
      <c r="E51" s="4"/>
      <c r="F51" s="5"/>
      <c r="G51" s="5"/>
      <c r="H51" s="5"/>
      <c r="I51" s="7"/>
      <c r="J51" s="7"/>
      <c r="K51" s="7"/>
      <c r="L51" s="9" t="s">
        <v>172</v>
      </c>
      <c r="M51" s="9" t="s">
        <v>4</v>
      </c>
      <c r="N51" s="10">
        <f>C22*100/(N49)</f>
        <v>1434.9315559882864</v>
      </c>
      <c r="O51" s="5"/>
      <c r="P51" s="10" t="s">
        <v>174</v>
      </c>
      <c r="Q51" s="10" t="s">
        <v>4</v>
      </c>
      <c r="R51" s="141">
        <f>MAX(R48,R49,R50)</f>
        <v>0.006585629842696628</v>
      </c>
    </row>
    <row r="52" spans="1:18" ht="15">
      <c r="A52" s="9"/>
      <c r="B52" s="9"/>
      <c r="C52" s="16"/>
      <c r="D52" s="5"/>
      <c r="E52" s="4"/>
      <c r="F52" s="5"/>
      <c r="G52" s="5"/>
      <c r="H52" s="5"/>
      <c r="I52" s="7"/>
      <c r="J52" s="7"/>
      <c r="K52" s="7"/>
      <c r="L52" s="9" t="s">
        <v>257</v>
      </c>
      <c r="M52" s="9" t="s">
        <v>4</v>
      </c>
      <c r="N52" s="10">
        <f>(C45/2.4)^0.5</f>
        <v>0.68617296167463</v>
      </c>
      <c r="O52" s="5"/>
      <c r="P52" s="10" t="s">
        <v>175</v>
      </c>
      <c r="Q52" s="10" t="s">
        <v>4</v>
      </c>
      <c r="R52" s="5">
        <f>IF(R47&gt;1.4,1.4,SQRT((R47)^2+(R51)^2))</f>
        <v>1.4</v>
      </c>
    </row>
    <row r="53" spans="1:13" ht="15">
      <c r="A53" s="9" t="s">
        <v>82</v>
      </c>
      <c r="B53" s="9" t="s">
        <v>4</v>
      </c>
      <c r="C53" s="11">
        <v>1</v>
      </c>
      <c r="D53" s="5" t="s">
        <v>83</v>
      </c>
      <c r="E53" s="4"/>
      <c r="F53" s="5"/>
      <c r="G53" s="5"/>
      <c r="H53" s="5"/>
      <c r="I53" s="7"/>
      <c r="J53" s="7"/>
      <c r="K53" s="7"/>
      <c r="L53" s="71"/>
      <c r="M53" s="71"/>
    </row>
    <row r="54" spans="1:13" ht="16.5">
      <c r="A54" s="9" t="s">
        <v>93</v>
      </c>
      <c r="B54" s="16" t="s">
        <v>4</v>
      </c>
      <c r="C54" s="16">
        <f>C53*C23</f>
        <v>9.2</v>
      </c>
      <c r="D54" s="5" t="s">
        <v>0</v>
      </c>
      <c r="E54" s="5"/>
      <c r="F54" s="5"/>
      <c r="G54" s="87"/>
      <c r="H54" s="4"/>
      <c r="I54" s="7"/>
      <c r="J54" s="7"/>
      <c r="K54" s="7"/>
      <c r="L54" s="71"/>
      <c r="M54" s="71"/>
    </row>
    <row r="55" spans="1:13" ht="16.5">
      <c r="A55" s="12" t="s">
        <v>34</v>
      </c>
      <c r="B55" s="16" t="s">
        <v>4</v>
      </c>
      <c r="C55" s="20">
        <f>C24</f>
        <v>2.5</v>
      </c>
      <c r="D55" s="7" t="s">
        <v>0</v>
      </c>
      <c r="E55" s="7"/>
      <c r="F55" s="7"/>
      <c r="G55" s="7"/>
      <c r="H55" s="7"/>
      <c r="I55" s="7"/>
      <c r="J55" s="7"/>
      <c r="K55" s="7"/>
      <c r="L55" s="71"/>
      <c r="M55" s="71"/>
    </row>
    <row r="56" spans="1:13" ht="18">
      <c r="A56" s="69" t="s">
        <v>35</v>
      </c>
      <c r="B56" s="16" t="s">
        <v>4</v>
      </c>
      <c r="C56" s="20">
        <f>C54*100/C34</f>
        <v>2909.2954473549084</v>
      </c>
      <c r="D56" s="7"/>
      <c r="E56" s="7"/>
      <c r="F56" s="7"/>
      <c r="G56" s="7"/>
      <c r="H56" s="7"/>
      <c r="I56" s="7"/>
      <c r="J56" s="7"/>
      <c r="K56" s="7"/>
      <c r="L56" s="71"/>
      <c r="M56" s="71"/>
    </row>
    <row r="57" spans="1:13" ht="18">
      <c r="A57" s="69" t="s">
        <v>36</v>
      </c>
      <c r="B57" s="16" t="s">
        <v>4</v>
      </c>
      <c r="C57" s="20">
        <f>C55*100/C35</f>
        <v>790.5694150420948</v>
      </c>
      <c r="D57" s="7"/>
      <c r="E57" s="7"/>
      <c r="F57" s="7"/>
      <c r="G57" s="7"/>
      <c r="H57" s="24"/>
      <c r="I57" s="7"/>
      <c r="J57" s="7"/>
      <c r="K57" s="7"/>
      <c r="L57" s="71"/>
      <c r="M57" s="71"/>
    </row>
    <row r="58" spans="1:13" ht="18">
      <c r="A58" s="4"/>
      <c r="B58" s="4"/>
      <c r="C58" s="4"/>
      <c r="D58" s="69" t="s">
        <v>37</v>
      </c>
      <c r="E58" s="12" t="s">
        <v>4</v>
      </c>
      <c r="F58" s="20">
        <f>MAX(C56,C57)</f>
        <v>2909.2954473549084</v>
      </c>
      <c r="G58" s="7" t="s">
        <v>38</v>
      </c>
      <c r="H58" s="25" t="str">
        <f>IF(AND(F58&lt;180),"SAFE","Unsafe")</f>
        <v>Unsafe</v>
      </c>
      <c r="I58" s="7"/>
      <c r="J58" s="7"/>
      <c r="K58" s="7"/>
      <c r="L58" s="71"/>
      <c r="M58" s="71"/>
    </row>
    <row r="59" spans="1:13" ht="18.75">
      <c r="A59" s="12" t="s">
        <v>39</v>
      </c>
      <c r="B59" s="16" t="s">
        <v>4</v>
      </c>
      <c r="C59" s="16">
        <f>IF(AND(F58&lt;100),(1.4-0.000065*(F58)^2),(7500/(F58)^2))</f>
        <v>0.000886105860113422</v>
      </c>
      <c r="D59" s="7" t="s">
        <v>32</v>
      </c>
      <c r="E59" s="7"/>
      <c r="F59" s="7"/>
      <c r="G59" s="7"/>
      <c r="H59" s="7"/>
      <c r="I59" s="7"/>
      <c r="J59" s="7"/>
      <c r="K59" s="7"/>
      <c r="L59" s="71"/>
      <c r="M59" s="71"/>
    </row>
    <row r="60" spans="1:13" ht="16.5">
      <c r="A60" s="12" t="s">
        <v>40</v>
      </c>
      <c r="B60" s="16" t="s">
        <v>4</v>
      </c>
      <c r="C60" s="20">
        <f>C44/C59</f>
        <v>15.799466666666657</v>
      </c>
      <c r="D60" s="7"/>
      <c r="E60" s="22"/>
      <c r="F60" s="22"/>
      <c r="G60" s="22"/>
      <c r="H60" s="7"/>
      <c r="I60" s="76"/>
      <c r="J60" s="76"/>
      <c r="K60" s="76"/>
      <c r="L60" s="71"/>
      <c r="M60" s="71"/>
    </row>
    <row r="61" spans="1:13" ht="16.5">
      <c r="A61" s="12" t="s">
        <v>41</v>
      </c>
      <c r="B61" s="16" t="s">
        <v>4</v>
      </c>
      <c r="C61" s="20">
        <f>IF(AND(C60&lt;0.15),"1.00",MAX(((0.85/(1-C44/(7500/(C56)^2)))),1))</f>
        <v>1</v>
      </c>
      <c r="D61" s="4"/>
      <c r="E61" s="4"/>
      <c r="F61" s="4"/>
      <c r="G61" s="4"/>
      <c r="H61" s="4"/>
      <c r="I61" s="76"/>
      <c r="J61" s="76"/>
      <c r="K61" s="76"/>
      <c r="L61" s="71"/>
      <c r="M61" s="71"/>
    </row>
    <row r="62" spans="1:13" ht="15">
      <c r="A62" s="12"/>
      <c r="B62" s="16"/>
      <c r="C62" s="20"/>
      <c r="D62" s="7"/>
      <c r="E62" s="9"/>
      <c r="F62" s="16"/>
      <c r="G62" s="4"/>
      <c r="H62" s="7"/>
      <c r="I62" s="77"/>
      <c r="J62" s="77"/>
      <c r="K62" s="77"/>
      <c r="L62" s="71"/>
      <c r="M62" s="71"/>
    </row>
    <row r="63" spans="1:13" ht="15">
      <c r="A63" s="12"/>
      <c r="B63" s="11"/>
      <c r="C63" s="7"/>
      <c r="D63" s="7"/>
      <c r="E63" s="9"/>
      <c r="F63" s="16"/>
      <c r="G63" s="4"/>
      <c r="H63" s="7"/>
      <c r="I63" s="77"/>
      <c r="J63" s="77"/>
      <c r="K63" s="77"/>
      <c r="L63" s="71"/>
      <c r="M63" s="71"/>
    </row>
    <row r="64" spans="1:13" ht="15">
      <c r="A64" s="26" t="s">
        <v>84</v>
      </c>
      <c r="B64" s="5"/>
      <c r="C64" s="4"/>
      <c r="D64" s="4"/>
      <c r="E64" s="9"/>
      <c r="F64" s="16"/>
      <c r="G64" s="4"/>
      <c r="H64" s="7"/>
      <c r="I64" s="77"/>
      <c r="J64" s="77"/>
      <c r="K64" s="77"/>
      <c r="L64" s="71"/>
      <c r="M64" s="71"/>
    </row>
    <row r="65" spans="1:8" ht="15">
      <c r="A65" s="12"/>
      <c r="B65" s="11"/>
      <c r="C65" s="7"/>
      <c r="D65" s="7"/>
      <c r="E65" s="9"/>
      <c r="F65" s="16"/>
      <c r="G65" s="4"/>
      <c r="H65" s="7"/>
    </row>
    <row r="66" spans="1:13" ht="16.5">
      <c r="A66" s="12"/>
      <c r="B66" s="7" t="s">
        <v>375</v>
      </c>
      <c r="D66" s="7"/>
      <c r="E66" s="9"/>
      <c r="F66" s="27">
        <f>C60+(C43/C50)*C61</f>
        <v>3230.0851809523815</v>
      </c>
      <c r="G66" s="16" t="s">
        <v>78</v>
      </c>
      <c r="H66" s="129">
        <v>1</v>
      </c>
      <c r="I66" s="128" t="str">
        <f>IF(AND(F66&lt;H66),"SAFE","Unsafe")</f>
        <v>Unsafe</v>
      </c>
      <c r="J66" s="128"/>
      <c r="K66" s="128"/>
      <c r="L66" s="130"/>
      <c r="M66" s="131"/>
    </row>
  </sheetData>
  <sheetProtection/>
  <mergeCells count="5">
    <mergeCell ref="H46:H47"/>
    <mergeCell ref="I46:I47"/>
    <mergeCell ref="F49:G49"/>
    <mergeCell ref="A46:A47"/>
    <mergeCell ref="B46:B47"/>
  </mergeCells>
  <printOptions/>
  <pageMargins left="0.75" right="0.75" top="1" bottom="1" header="0.5" footer="0.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5"/>
  <sheetViews>
    <sheetView zoomScale="115" zoomScaleNormal="115" zoomScalePageLayoutView="0" workbookViewId="0" topLeftCell="A1">
      <selection activeCell="F8" sqref="F8"/>
    </sheetView>
  </sheetViews>
  <sheetFormatPr defaultColWidth="9.140625" defaultRowHeight="12.75"/>
  <cols>
    <col min="1" max="1" width="17.421875" style="0" customWidth="1"/>
    <col min="2" max="2" width="13.28125" style="0" customWidth="1"/>
    <col min="3" max="3" width="11.7109375" style="0" bestFit="1" customWidth="1"/>
    <col min="6" max="6" width="14.28125" style="0" customWidth="1"/>
    <col min="7" max="7" width="14.421875" style="0" customWidth="1"/>
    <col min="8" max="8" width="11.140625" style="0" customWidth="1"/>
    <col min="9" max="9" width="10.8515625" style="0" customWidth="1"/>
    <col min="14" max="14" width="9.57421875" style="0" bestFit="1" customWidth="1"/>
  </cols>
  <sheetData>
    <row r="1" spans="1:5" ht="14.25">
      <c r="A1" s="22" t="s">
        <v>252</v>
      </c>
      <c r="B1" s="70" t="s">
        <v>253</v>
      </c>
      <c r="C1" s="82"/>
      <c r="D1" s="82"/>
      <c r="E1" s="82"/>
    </row>
    <row r="2" spans="1:5" ht="15">
      <c r="A2" s="4"/>
      <c r="B2" s="5"/>
      <c r="C2" s="4"/>
      <c r="D2" s="4"/>
      <c r="E2" s="4"/>
    </row>
    <row r="3" spans="1:5" ht="14.25">
      <c r="A3" s="22" t="s">
        <v>9</v>
      </c>
      <c r="B3" s="70" t="s">
        <v>12</v>
      </c>
      <c r="C3" s="83"/>
      <c r="D3" s="83"/>
      <c r="E3" s="83"/>
    </row>
    <row r="4" spans="1:5" ht="12.75">
      <c r="A4" s="83"/>
      <c r="B4" s="83"/>
      <c r="C4" s="83">
        <v>22</v>
      </c>
      <c r="D4" s="83"/>
      <c r="E4" s="83"/>
    </row>
    <row r="5" spans="1:5" ht="14.25">
      <c r="A5" s="22" t="s">
        <v>203</v>
      </c>
      <c r="B5" s="83"/>
      <c r="C5" s="83">
        <v>9.5</v>
      </c>
      <c r="D5" s="83"/>
      <c r="E5" s="83"/>
    </row>
    <row r="6" spans="1:5" ht="12.75">
      <c r="A6" s="83"/>
      <c r="B6" s="83"/>
      <c r="C6" s="83">
        <v>5</v>
      </c>
      <c r="D6" s="83"/>
      <c r="E6" s="83"/>
    </row>
    <row r="7" spans="1:5" ht="15" customHeight="1">
      <c r="A7" s="136" t="s">
        <v>204</v>
      </c>
      <c r="B7" s="136" t="s">
        <v>4</v>
      </c>
      <c r="C7" s="11">
        <v>9.2</v>
      </c>
      <c r="D7" s="83" t="s">
        <v>6</v>
      </c>
      <c r="E7" s="83"/>
    </row>
    <row r="8" spans="1:4" s="135" customFormat="1" ht="15" customHeight="1">
      <c r="A8" s="134" t="s">
        <v>206</v>
      </c>
      <c r="B8" s="134" t="s">
        <v>4</v>
      </c>
      <c r="C8" s="11">
        <v>10</v>
      </c>
      <c r="D8" s="135" t="s">
        <v>0</v>
      </c>
    </row>
    <row r="9" spans="1:5" ht="15" customHeight="1">
      <c r="A9" s="136" t="s">
        <v>205</v>
      </c>
      <c r="B9" s="136" t="s">
        <v>4</v>
      </c>
      <c r="C9" s="11">
        <v>2.5</v>
      </c>
      <c r="D9" s="83" t="s">
        <v>0</v>
      </c>
      <c r="E9" s="83"/>
    </row>
    <row r="10" spans="1:5" ht="15" customHeight="1">
      <c r="A10" s="136" t="s">
        <v>207</v>
      </c>
      <c r="B10" s="136" t="s">
        <v>4</v>
      </c>
      <c r="C10" s="11">
        <v>25</v>
      </c>
      <c r="D10" s="83" t="s">
        <v>208</v>
      </c>
      <c r="E10" s="83"/>
    </row>
    <row r="11" spans="1:5" ht="15" customHeight="1">
      <c r="A11" s="136" t="s">
        <v>249</v>
      </c>
      <c r="B11" s="136" t="s">
        <v>4</v>
      </c>
      <c r="C11" s="11">
        <v>12</v>
      </c>
      <c r="D11" s="4" t="s">
        <v>57</v>
      </c>
      <c r="E11" s="83"/>
    </row>
    <row r="12" spans="3:5" ht="15" customHeight="1">
      <c r="C12">
        <v>500</v>
      </c>
      <c r="E12" s="83"/>
    </row>
    <row r="13" spans="1:5" ht="15" customHeight="1">
      <c r="A13" s="136"/>
      <c r="B13" s="136"/>
      <c r="C13" s="11">
        <v>6</v>
      </c>
      <c r="D13" s="83"/>
      <c r="E13" s="83"/>
    </row>
    <row r="14" spans="1:5" ht="15" customHeight="1">
      <c r="A14" s="22" t="s">
        <v>209</v>
      </c>
      <c r="B14" s="84"/>
      <c r="C14" s="11"/>
      <c r="D14" s="83"/>
      <c r="E14" s="83"/>
    </row>
    <row r="15" spans="1:5" ht="15" customHeight="1">
      <c r="A15" s="22"/>
      <c r="B15" s="84"/>
      <c r="C15" s="11">
        <v>12</v>
      </c>
      <c r="D15" s="83"/>
      <c r="E15" s="83"/>
    </row>
    <row r="16" spans="1:5" ht="15" customHeight="1">
      <c r="A16" s="22" t="s">
        <v>210</v>
      </c>
      <c r="B16" s="84"/>
      <c r="C16" s="11"/>
      <c r="D16" s="83"/>
      <c r="E16" s="83"/>
    </row>
    <row r="17" spans="1:5" ht="15" customHeight="1">
      <c r="A17" s="22"/>
      <c r="B17" s="84"/>
      <c r="C17" s="11"/>
      <c r="D17" s="83"/>
      <c r="E17" s="83"/>
    </row>
    <row r="18" spans="1:4" s="83" customFormat="1" ht="15" customHeight="1">
      <c r="A18" s="9" t="s">
        <v>214</v>
      </c>
      <c r="B18" s="9" t="s">
        <v>4</v>
      </c>
      <c r="C18" s="11">
        <v>0.2</v>
      </c>
      <c r="D18" s="83" t="s">
        <v>213</v>
      </c>
    </row>
    <row r="19" spans="1:4" s="83" customFormat="1" ht="15" customHeight="1">
      <c r="A19" s="9" t="s">
        <v>211</v>
      </c>
      <c r="B19" s="9" t="s">
        <v>4</v>
      </c>
      <c r="C19" s="121">
        <f>C18*C8^2/8</f>
        <v>2.5</v>
      </c>
      <c r="D19" s="83" t="s">
        <v>15</v>
      </c>
    </row>
    <row r="20" spans="1:4" s="83" customFormat="1" ht="15" customHeight="1">
      <c r="A20" s="9" t="s">
        <v>212</v>
      </c>
      <c r="B20" s="9" t="s">
        <v>4</v>
      </c>
      <c r="C20" s="16">
        <f>C18*C8/2</f>
        <v>1</v>
      </c>
      <c r="D20" s="83" t="s">
        <v>6</v>
      </c>
    </row>
    <row r="21" spans="1:3" s="83" customFormat="1" ht="15" customHeight="1">
      <c r="A21" s="4"/>
      <c r="B21" s="4"/>
      <c r="C21" s="16"/>
    </row>
    <row r="22" spans="1:3" s="83" customFormat="1" ht="15" customHeight="1">
      <c r="A22" s="22" t="s">
        <v>215</v>
      </c>
      <c r="B22" s="4"/>
      <c r="C22" s="16"/>
    </row>
    <row r="23" spans="1:3" s="83" customFormat="1" ht="15" customHeight="1">
      <c r="A23" s="4"/>
      <c r="B23" s="4"/>
      <c r="C23" s="16"/>
    </row>
    <row r="24" spans="1:7" s="83" customFormat="1" ht="15" customHeight="1">
      <c r="A24" s="9" t="s">
        <v>216</v>
      </c>
      <c r="B24" s="9" t="s">
        <v>4</v>
      </c>
      <c r="C24" s="16">
        <f>(1+C10/100)*C7*(1-C9/(2*C8))*(C8/2-C9/4)</f>
        <v>44.0234375</v>
      </c>
      <c r="D24" s="83" t="s">
        <v>15</v>
      </c>
      <c r="G24" s="83">
        <v>10</v>
      </c>
    </row>
    <row r="25" spans="1:7" s="83" customFormat="1" ht="15" customHeight="1">
      <c r="A25" s="9" t="s">
        <v>217</v>
      </c>
      <c r="B25" s="9" t="s">
        <v>4</v>
      </c>
      <c r="C25" s="16">
        <f>(1+C10/100)*(2-C9/C8)*C7</f>
        <v>20.125</v>
      </c>
      <c r="D25" s="83" t="s">
        <v>6</v>
      </c>
      <c r="G25" s="83">
        <v>10</v>
      </c>
    </row>
    <row r="26" spans="1:7" ht="15" customHeight="1">
      <c r="A26" s="136"/>
      <c r="B26" s="83"/>
      <c r="C26" s="83"/>
      <c r="D26" s="83"/>
      <c r="E26" s="83"/>
      <c r="G26">
        <v>6</v>
      </c>
    </row>
    <row r="27" spans="1:5" ht="15" customHeight="1">
      <c r="A27" s="22" t="s">
        <v>218</v>
      </c>
      <c r="B27" s="83"/>
      <c r="C27" s="83"/>
      <c r="D27" s="83"/>
      <c r="E27" s="83"/>
    </row>
    <row r="28" spans="1:20" ht="15" customHeight="1">
      <c r="A28" s="136"/>
      <c r="B28" s="83"/>
      <c r="C28" s="83"/>
      <c r="D28" s="83"/>
      <c r="E28" s="83"/>
      <c r="P28" t="s">
        <v>226</v>
      </c>
      <c r="Q28">
        <v>0.8</v>
      </c>
      <c r="S28" t="s">
        <v>243</v>
      </c>
      <c r="T28">
        <f>C7*C9*(C8-C9)/4</f>
        <v>43.125</v>
      </c>
    </row>
    <row r="29" spans="1:20" ht="15" customHeight="1">
      <c r="A29" s="136" t="s">
        <v>220</v>
      </c>
      <c r="B29" s="136" t="s">
        <v>4</v>
      </c>
      <c r="C29" s="159">
        <v>90</v>
      </c>
      <c r="D29" s="159"/>
      <c r="E29" s="136" t="s">
        <v>4</v>
      </c>
      <c r="F29" s="126">
        <f>C19+C24</f>
        <v>46.5234375</v>
      </c>
      <c r="G29">
        <v>10</v>
      </c>
      <c r="P29" t="s">
        <v>227</v>
      </c>
      <c r="Q29">
        <f>F31*10/(I36*0.35*C11)</f>
        <v>0.06706349206349206</v>
      </c>
      <c r="S29" t="s">
        <v>244</v>
      </c>
      <c r="T29">
        <f>C7*(C8-C9)^2/8</f>
        <v>64.6875</v>
      </c>
    </row>
    <row r="30" spans="1:20" ht="15" customHeight="1">
      <c r="A30" s="136" t="s">
        <v>3</v>
      </c>
      <c r="B30" s="136" t="s">
        <v>4</v>
      </c>
      <c r="C30" s="83">
        <v>100</v>
      </c>
      <c r="D30" s="83"/>
      <c r="E30" s="136" t="s">
        <v>4</v>
      </c>
      <c r="F30" s="126">
        <f>C24/(10*(1+C10/100))</f>
        <v>3.521875</v>
      </c>
      <c r="G30">
        <v>10</v>
      </c>
      <c r="P30" t="s">
        <v>228</v>
      </c>
      <c r="Q30">
        <f>I36/1226.44</f>
        <v>0.6115260428557451</v>
      </c>
      <c r="S30" t="s">
        <v>245</v>
      </c>
      <c r="T30">
        <f>T28+T29</f>
        <v>107.8125</v>
      </c>
    </row>
    <row r="31" spans="1:20" ht="15" customHeight="1">
      <c r="A31" s="136" t="s">
        <v>219</v>
      </c>
      <c r="B31" s="136" t="s">
        <v>4</v>
      </c>
      <c r="C31" s="159">
        <v>10</v>
      </c>
      <c r="D31" s="159"/>
      <c r="E31" s="136" t="s">
        <v>4</v>
      </c>
      <c r="F31" s="126">
        <f>C20+C25</f>
        <v>21.125</v>
      </c>
      <c r="G31" t="s">
        <v>6</v>
      </c>
      <c r="S31" t="s">
        <v>0</v>
      </c>
      <c r="T31">
        <f>T30*C8/2-T28*C9/4-T29*(C9/2+(C8-C9)/6)</f>
        <v>350.390625</v>
      </c>
    </row>
    <row r="32" spans="1:17" ht="15" customHeight="1">
      <c r="A32" s="136"/>
      <c r="B32" s="83"/>
      <c r="C32" s="83">
        <v>10</v>
      </c>
      <c r="D32" s="83"/>
      <c r="E32" s="83"/>
      <c r="P32" t="s">
        <v>229</v>
      </c>
      <c r="Q32">
        <f>F29*100/(0.97*I36/10)</f>
        <v>63.949742268041234</v>
      </c>
    </row>
    <row r="33" spans="1:17" ht="15" customHeight="1">
      <c r="A33" s="136"/>
      <c r="B33" s="83"/>
      <c r="C33" s="83"/>
      <c r="D33" s="83"/>
      <c r="E33" s="83"/>
      <c r="P33" t="s">
        <v>230</v>
      </c>
      <c r="Q33">
        <f>Q32/1.2</f>
        <v>53.29145189003437</v>
      </c>
    </row>
    <row r="34" spans="1:17" ht="15">
      <c r="A34" s="22" t="s">
        <v>221</v>
      </c>
      <c r="B34" s="84"/>
      <c r="C34" s="118"/>
      <c r="D34" s="4"/>
      <c r="E34" s="4"/>
      <c r="P34" t="s">
        <v>231</v>
      </c>
      <c r="Q34">
        <f>4*Q33/3</f>
        <v>71.0552691867125</v>
      </c>
    </row>
    <row r="35" spans="1:17" ht="15.75">
      <c r="A35" s="9"/>
      <c r="B35" s="138" t="s">
        <v>222</v>
      </c>
      <c r="C35" s="140" t="s">
        <v>254</v>
      </c>
      <c r="D35" s="4"/>
      <c r="E35" s="4"/>
      <c r="H35" s="139" t="s">
        <v>223</v>
      </c>
      <c r="I35" s="137"/>
      <c r="P35" t="s">
        <v>232</v>
      </c>
      <c r="Q35">
        <f>Q34/2</f>
        <v>35.52763459335625</v>
      </c>
    </row>
    <row r="36" spans="1:17" ht="15.75">
      <c r="A36" s="9"/>
      <c r="B36" s="10"/>
      <c r="C36" s="11"/>
      <c r="D36" s="4"/>
      <c r="E36" s="4"/>
      <c r="G36" s="109" t="s">
        <v>224</v>
      </c>
      <c r="H36" s="109" t="s">
        <v>4</v>
      </c>
      <c r="I36" s="125">
        <v>750</v>
      </c>
      <c r="J36" t="s">
        <v>8</v>
      </c>
      <c r="P36" t="s">
        <v>236</v>
      </c>
      <c r="Q36">
        <f>(Q34/20)^0.5</f>
        <v>1.884877571444794</v>
      </c>
    </row>
    <row r="37" spans="1:17" ht="18.75">
      <c r="A37" s="9" t="s">
        <v>280</v>
      </c>
      <c r="B37" s="10" t="s">
        <v>4</v>
      </c>
      <c r="C37" s="152">
        <f>(F29+8*F30)/(1.2*1.4)*100</f>
        <v>4446.335565476191</v>
      </c>
      <c r="D37" s="4" t="s">
        <v>251</v>
      </c>
      <c r="E37" s="4"/>
      <c r="G37" s="109" t="s">
        <v>225</v>
      </c>
      <c r="H37" s="109" t="s">
        <v>4</v>
      </c>
      <c r="I37" s="126">
        <f>(MAX(Q28,Q29,Q30))*10</f>
        <v>8</v>
      </c>
      <c r="J37" t="s">
        <v>8</v>
      </c>
      <c r="P37" t="s">
        <v>237</v>
      </c>
      <c r="Q37">
        <f>Q34/Q36*10</f>
        <v>376.9755142889588</v>
      </c>
    </row>
    <row r="38" spans="1:17" ht="15.75">
      <c r="A38" s="9"/>
      <c r="B38" s="10"/>
      <c r="C38" s="11"/>
      <c r="D38" s="4"/>
      <c r="E38" s="4"/>
      <c r="G38" s="109" t="s">
        <v>235</v>
      </c>
      <c r="H38" s="109" t="s">
        <v>4</v>
      </c>
      <c r="I38" s="126">
        <f>Q38*10</f>
        <v>18.84877571444794</v>
      </c>
      <c r="J38" t="s">
        <v>8</v>
      </c>
      <c r="P38" t="s">
        <v>238</v>
      </c>
      <c r="Q38">
        <f>Q36</f>
        <v>1.884877571444794</v>
      </c>
    </row>
    <row r="39" spans="1:17" ht="15">
      <c r="A39" s="5"/>
      <c r="B39" s="5"/>
      <c r="C39" s="5"/>
      <c r="D39" s="5"/>
      <c r="E39" s="5"/>
      <c r="G39" s="109" t="s">
        <v>233</v>
      </c>
      <c r="H39" s="109" t="s">
        <v>4</v>
      </c>
      <c r="I39" s="126">
        <f>Q37</f>
        <v>376.9755142889588</v>
      </c>
      <c r="J39" t="s">
        <v>8</v>
      </c>
      <c r="P39" t="s">
        <v>239</v>
      </c>
      <c r="Q39">
        <f>Q35/Q38*10</f>
        <v>188.4877571444794</v>
      </c>
    </row>
    <row r="40" spans="2:10" ht="15">
      <c r="B40" s="16"/>
      <c r="C40" s="4"/>
      <c r="D40" s="4"/>
      <c r="E40" s="4"/>
      <c r="G40" s="109" t="s">
        <v>234</v>
      </c>
      <c r="H40" s="109" t="s">
        <v>4</v>
      </c>
      <c r="I40" s="126">
        <f>Q39</f>
        <v>188.4877571444794</v>
      </c>
      <c r="J40" t="s">
        <v>8</v>
      </c>
    </row>
    <row r="41" spans="1:9" ht="15">
      <c r="A41" s="47"/>
      <c r="B41" s="16"/>
      <c r="C41" s="4"/>
      <c r="D41" s="4"/>
      <c r="E41" s="4"/>
      <c r="G41" s="109"/>
      <c r="H41" s="109"/>
      <c r="I41" s="109"/>
    </row>
    <row r="42" spans="1:9" ht="15">
      <c r="A42" s="47" t="s">
        <v>240</v>
      </c>
      <c r="B42" s="16"/>
      <c r="C42" s="4"/>
      <c r="D42" s="4"/>
      <c r="E42" s="4"/>
      <c r="G42" s="109"/>
      <c r="H42" s="109"/>
      <c r="I42" s="109"/>
    </row>
    <row r="43" spans="1:5" ht="15">
      <c r="A43" s="10" t="s">
        <v>19</v>
      </c>
      <c r="B43" s="13" t="s">
        <v>199</v>
      </c>
      <c r="C43" s="5"/>
      <c r="D43" s="5"/>
      <c r="E43" s="5"/>
    </row>
    <row r="44" spans="1:5" ht="16.5">
      <c r="A44" s="9" t="s">
        <v>86</v>
      </c>
      <c r="B44" s="10" t="s">
        <v>4</v>
      </c>
      <c r="C44" s="15">
        <v>450</v>
      </c>
      <c r="D44" s="4" t="s">
        <v>8</v>
      </c>
      <c r="E44" s="4"/>
    </row>
    <row r="45" spans="1:5" ht="16.5">
      <c r="A45" s="9" t="s">
        <v>87</v>
      </c>
      <c r="B45" s="10" t="s">
        <v>4</v>
      </c>
      <c r="C45" s="15">
        <v>16</v>
      </c>
      <c r="D45" s="4" t="s">
        <v>8</v>
      </c>
      <c r="E45" s="4"/>
    </row>
    <row r="46" spans="1:10" ht="16.5">
      <c r="A46" s="9" t="s">
        <v>88</v>
      </c>
      <c r="B46" s="10" t="s">
        <v>4</v>
      </c>
      <c r="C46" s="15">
        <v>750</v>
      </c>
      <c r="D46" s="4" t="s">
        <v>8</v>
      </c>
      <c r="E46" s="4"/>
      <c r="G46" s="5"/>
      <c r="H46" s="5"/>
      <c r="I46" s="5"/>
      <c r="J46" s="5"/>
    </row>
    <row r="47" spans="1:18" ht="16.5">
      <c r="A47" s="9" t="s">
        <v>89</v>
      </c>
      <c r="B47" s="10" t="s">
        <v>4</v>
      </c>
      <c r="C47" s="15">
        <v>8</v>
      </c>
      <c r="D47" s="4" t="s">
        <v>8</v>
      </c>
      <c r="E47" s="4"/>
      <c r="P47" s="14" t="s">
        <v>20</v>
      </c>
      <c r="Q47" s="16">
        <f>(C45/10+C46/10+C49/10-C53)</f>
        <v>33.993333333333325</v>
      </c>
      <c r="R47" s="5" t="s">
        <v>21</v>
      </c>
    </row>
    <row r="48" spans="1:5" ht="16.5">
      <c r="A48" s="9" t="s">
        <v>90</v>
      </c>
      <c r="B48" s="10" t="s">
        <v>4</v>
      </c>
      <c r="C48" s="15">
        <v>300</v>
      </c>
      <c r="D48" s="4" t="s">
        <v>8</v>
      </c>
      <c r="E48" s="4"/>
    </row>
    <row r="49" spans="1:10" ht="16.5">
      <c r="A49" s="9" t="s">
        <v>91</v>
      </c>
      <c r="B49" s="10" t="s">
        <v>4</v>
      </c>
      <c r="C49" s="15">
        <v>16</v>
      </c>
      <c r="D49" s="4" t="s">
        <v>8</v>
      </c>
      <c r="E49" s="4"/>
      <c r="G49" s="4"/>
      <c r="H49" s="4"/>
      <c r="I49" s="4"/>
      <c r="J49" s="4"/>
    </row>
    <row r="50" spans="1:10" ht="15">
      <c r="A50" s="5"/>
      <c r="B50" s="5"/>
      <c r="C50" s="94"/>
      <c r="D50" s="5"/>
      <c r="E50" s="5"/>
      <c r="G50" s="9"/>
      <c r="H50" s="4"/>
      <c r="I50" s="4"/>
      <c r="J50" s="4"/>
    </row>
    <row r="51" spans="7:10" ht="15">
      <c r="G51" s="9"/>
      <c r="H51" s="9"/>
      <c r="I51" s="86"/>
      <c r="J51" s="4"/>
    </row>
    <row r="52" spans="1:10" ht="15">
      <c r="A52" s="47" t="s">
        <v>241</v>
      </c>
      <c r="B52" s="16"/>
      <c r="C52" s="4"/>
      <c r="D52" s="4"/>
      <c r="E52" s="4"/>
      <c r="G52" s="9"/>
      <c r="H52" s="9"/>
      <c r="I52" s="9"/>
      <c r="J52" s="4"/>
    </row>
    <row r="53" spans="1:10" ht="15">
      <c r="A53" s="10" t="s">
        <v>27</v>
      </c>
      <c r="B53" s="10" t="s">
        <v>4</v>
      </c>
      <c r="C53" s="19">
        <f>((C44*C45*(C49+C46+C45/2)+C46*C47*(C49+C46/2)+C48*C49*C49/2)/(C44*C45+C46*C47+C48*C49))/10</f>
        <v>44.20666666666666</v>
      </c>
      <c r="D53" s="5" t="s">
        <v>21</v>
      </c>
      <c r="E53" s="5"/>
      <c r="G53" s="4"/>
      <c r="H53" s="9"/>
      <c r="I53" s="9"/>
      <c r="J53" s="4"/>
    </row>
    <row r="54" spans="1:10" ht="18">
      <c r="A54" s="9" t="s">
        <v>28</v>
      </c>
      <c r="B54" s="10" t="s">
        <v>4</v>
      </c>
      <c r="C54" s="16">
        <f>(C44*C45+C46*C47+C48*C49)/100</f>
        <v>180</v>
      </c>
      <c r="D54" s="4" t="s">
        <v>55</v>
      </c>
      <c r="E54" s="4"/>
      <c r="G54" s="4"/>
      <c r="H54" s="4"/>
      <c r="I54" s="4"/>
      <c r="J54" s="4"/>
    </row>
    <row r="55" spans="1:10" ht="18.75">
      <c r="A55" s="9" t="s">
        <v>278</v>
      </c>
      <c r="B55" s="10" t="s">
        <v>4</v>
      </c>
      <c r="C55" s="27">
        <f>((C47*C46^3/12)+(C44*C45^3/12+C44*C45*(C45+C46+C49-C53*10-C45/2)^2)+(C48*C49^3/12+C48*C49*(C53*10-C49/2)^2))/10000</f>
        <v>197918.66933333332</v>
      </c>
      <c r="D55" s="4" t="s">
        <v>76</v>
      </c>
      <c r="E55" s="4"/>
      <c r="G55" s="4"/>
      <c r="H55" s="4"/>
      <c r="I55" s="4"/>
      <c r="J55" s="4"/>
    </row>
    <row r="56" spans="1:10" ht="18.75">
      <c r="A56" s="9" t="s">
        <v>279</v>
      </c>
      <c r="B56" s="10" t="s">
        <v>4</v>
      </c>
      <c r="C56" s="16">
        <f>((C46*C47^3/12)+(C45*C44^3/12)+(C49*C48^3/12))/10000</f>
        <v>15753.2</v>
      </c>
      <c r="D56" s="4" t="s">
        <v>76</v>
      </c>
      <c r="E56" s="4"/>
      <c r="G56" s="4"/>
      <c r="H56" s="4"/>
      <c r="I56" s="4"/>
      <c r="J56" s="4"/>
    </row>
    <row r="57" spans="1:10" ht="18.75">
      <c r="A57" s="10" t="s">
        <v>369</v>
      </c>
      <c r="B57" s="10" t="s">
        <v>4</v>
      </c>
      <c r="C57" s="19">
        <f>C55/Q47</f>
        <v>5822.27895665817</v>
      </c>
      <c r="D57" s="4" t="s">
        <v>56</v>
      </c>
      <c r="E57" s="4"/>
      <c r="G57" s="4"/>
      <c r="H57" s="4"/>
      <c r="I57" s="4"/>
      <c r="J57" s="4"/>
    </row>
    <row r="58" spans="1:5" ht="18.75">
      <c r="A58" s="10" t="s">
        <v>370</v>
      </c>
      <c r="B58" s="10" t="s">
        <v>4</v>
      </c>
      <c r="C58" s="19">
        <f>C55/C53</f>
        <v>4477.122666264515</v>
      </c>
      <c r="D58" s="4" t="s">
        <v>56</v>
      </c>
      <c r="E58" s="4"/>
    </row>
    <row r="59" spans="1:5" ht="18.75">
      <c r="A59" s="10" t="s">
        <v>371</v>
      </c>
      <c r="B59" s="10" t="s">
        <v>4</v>
      </c>
      <c r="C59" s="19">
        <f>C45*C44^2/6000</f>
        <v>540</v>
      </c>
      <c r="D59" s="4" t="s">
        <v>56</v>
      </c>
      <c r="E59" s="4"/>
    </row>
    <row r="60" spans="1:18" ht="15">
      <c r="A60" s="47" t="s">
        <v>260</v>
      </c>
      <c r="B60" s="22"/>
      <c r="C60" s="22"/>
      <c r="D60" s="4"/>
      <c r="E60" s="83"/>
      <c r="F60" s="83"/>
      <c r="G60" s="83"/>
      <c r="H60" s="83"/>
      <c r="I60" s="7"/>
      <c r="J60" s="7"/>
      <c r="K60" s="7"/>
      <c r="L60" s="143" t="s">
        <v>262</v>
      </c>
      <c r="M60" s="143" t="s">
        <v>263</v>
      </c>
      <c r="N60" s="109" t="s">
        <v>264</v>
      </c>
      <c r="R60" s="5"/>
    </row>
    <row r="61" spans="1:18" ht="16.5">
      <c r="A61" s="120" t="s">
        <v>271</v>
      </c>
      <c r="B61" s="120" t="s">
        <v>4</v>
      </c>
      <c r="C61" s="120">
        <f>(C46-2*C45)/C47</f>
        <v>89.75</v>
      </c>
      <c r="D61" s="4"/>
      <c r="E61" s="83"/>
      <c r="F61" s="83"/>
      <c r="G61" s="83"/>
      <c r="H61" s="83"/>
      <c r="I61" s="7"/>
      <c r="J61" s="7"/>
      <c r="K61" s="7"/>
      <c r="L61" s="143">
        <v>82</v>
      </c>
      <c r="M61" s="143">
        <v>122.65</v>
      </c>
      <c r="N61" s="109">
        <v>122.65</v>
      </c>
      <c r="O61" s="109">
        <f>IF(C61&lt;=L61,1,0)</f>
        <v>0</v>
      </c>
      <c r="P61" s="109">
        <f>IF(C61&lt;=M61,1,0)</f>
        <v>1</v>
      </c>
      <c r="Q61" s="109">
        <f>IF(C61&lt;=N61,1,0)</f>
        <v>1</v>
      </c>
      <c r="R61" s="5"/>
    </row>
    <row r="62" spans="1:18" ht="16.5">
      <c r="A62" s="120" t="s">
        <v>272</v>
      </c>
      <c r="B62" s="120" t="s">
        <v>4</v>
      </c>
      <c r="C62" s="120">
        <f>(C44/(2*C45))</f>
        <v>14.0625</v>
      </c>
      <c r="D62" s="4"/>
      <c r="E62" s="83"/>
      <c r="F62" s="83"/>
      <c r="G62" s="83"/>
      <c r="H62" s="83"/>
      <c r="I62" s="7"/>
      <c r="J62" s="7"/>
      <c r="K62" s="7"/>
      <c r="L62" s="143">
        <v>10.91</v>
      </c>
      <c r="M62" s="143">
        <v>14.8</v>
      </c>
      <c r="N62" s="109">
        <v>14.8</v>
      </c>
      <c r="O62" s="109">
        <f>IF(C62&lt;=L62,1,0)</f>
        <v>0</v>
      </c>
      <c r="P62" s="109">
        <f>IF(C62&lt;=M62,1,0)</f>
        <v>1</v>
      </c>
      <c r="Q62" s="109">
        <f>IF(C62&lt;=N62,1,0)</f>
        <v>1</v>
      </c>
      <c r="R62" s="5"/>
    </row>
    <row r="63" spans="1:18" ht="15">
      <c r="A63" s="70" t="s">
        <v>261</v>
      </c>
      <c r="B63" s="144" t="str">
        <f>IF(AND(O63=2),"Compact",IF((P63=2),"Non Compact","Slender"))</f>
        <v>Non Compact</v>
      </c>
      <c r="C63" s="82"/>
      <c r="D63" s="4"/>
      <c r="E63" s="83"/>
      <c r="F63" s="83"/>
      <c r="G63" s="83"/>
      <c r="H63" s="83"/>
      <c r="I63" s="7"/>
      <c r="J63" s="7"/>
      <c r="K63" s="7"/>
      <c r="L63" s="71"/>
      <c r="M63" s="71"/>
      <c r="O63" s="109">
        <f>O61+O62</f>
        <v>0</v>
      </c>
      <c r="P63" s="109">
        <f>P61+P62</f>
        <v>2</v>
      </c>
      <c r="Q63" s="109">
        <f>Q61+Q62</f>
        <v>2</v>
      </c>
      <c r="R63" s="5"/>
    </row>
    <row r="64" spans="2:18" ht="15">
      <c r="B64" s="82"/>
      <c r="C64" s="82"/>
      <c r="D64" s="4"/>
      <c r="E64" s="83"/>
      <c r="F64" s="83"/>
      <c r="G64" s="83"/>
      <c r="H64" s="83"/>
      <c r="I64" s="7"/>
      <c r="J64" s="7"/>
      <c r="K64" s="7"/>
      <c r="L64" s="71"/>
      <c r="M64" s="71"/>
      <c r="O64" s="109" t="s">
        <v>385</v>
      </c>
      <c r="P64" s="109">
        <f>IF((B63="Compact"),1.536,1.4)</f>
        <v>1.4</v>
      </c>
      <c r="Q64" s="109"/>
      <c r="R64" s="5"/>
    </row>
    <row r="65" spans="1:18" ht="15">
      <c r="A65" s="47" t="s">
        <v>259</v>
      </c>
      <c r="B65" s="1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10" t="s">
        <v>386</v>
      </c>
      <c r="P65" s="10">
        <f>IF((B63="Compact"),1.728,1.4)</f>
        <v>1.4</v>
      </c>
      <c r="Q65" s="5"/>
      <c r="R65" s="5"/>
    </row>
    <row r="66" spans="1:18" ht="15">
      <c r="A66" s="47"/>
      <c r="B66" s="16"/>
      <c r="C66" s="5"/>
      <c r="D66" s="5"/>
      <c r="E66" s="5"/>
      <c r="F66" s="4"/>
      <c r="G66" s="4"/>
      <c r="H66" s="4"/>
      <c r="I66" s="4"/>
      <c r="J66" s="4"/>
      <c r="K66" s="7"/>
      <c r="L66" s="4"/>
      <c r="M66" s="4"/>
      <c r="N66" s="5"/>
      <c r="O66" s="5"/>
      <c r="P66" s="5"/>
      <c r="Q66" s="5"/>
      <c r="R66" s="5"/>
    </row>
    <row r="67" spans="1:18" ht="16.5">
      <c r="A67" s="9" t="s">
        <v>372</v>
      </c>
      <c r="B67" s="16" t="s">
        <v>4</v>
      </c>
      <c r="C67" s="11">
        <v>1.35</v>
      </c>
      <c r="D67" s="4"/>
      <c r="E67" s="4"/>
      <c r="F67" s="10"/>
      <c r="G67" s="10"/>
      <c r="H67" s="115"/>
      <c r="I67" s="115"/>
      <c r="J67" s="115"/>
      <c r="K67" s="7"/>
      <c r="L67" s="4">
        <f>IF((84*N75&lt;N74&lt;100),1.1,0)</f>
        <v>0</v>
      </c>
      <c r="M67" s="4"/>
      <c r="N67" s="5"/>
      <c r="O67" s="5"/>
      <c r="P67" s="5"/>
      <c r="Q67" s="5"/>
      <c r="R67" s="5"/>
    </row>
    <row r="68" spans="1:18" ht="16.5">
      <c r="A68" s="9" t="s">
        <v>373</v>
      </c>
      <c r="B68" s="16" t="s">
        <v>4</v>
      </c>
      <c r="C68" s="16">
        <f>C8</f>
        <v>10</v>
      </c>
      <c r="D68" s="9" t="s">
        <v>0</v>
      </c>
      <c r="E68" s="4"/>
      <c r="F68" s="5"/>
      <c r="G68" s="5"/>
      <c r="H68" s="5"/>
      <c r="I68" s="5"/>
      <c r="J68" s="5"/>
      <c r="K68" s="7"/>
      <c r="L68" s="4"/>
      <c r="M68" s="4"/>
      <c r="N68" s="5"/>
      <c r="O68" s="5"/>
      <c r="P68" s="5"/>
      <c r="Q68" s="5"/>
      <c r="R68" s="5"/>
    </row>
    <row r="69" spans="1:18" ht="16.5">
      <c r="A69" s="154" t="s">
        <v>54</v>
      </c>
      <c r="B69" s="155" t="s">
        <v>4</v>
      </c>
      <c r="C69" s="4" t="s">
        <v>256</v>
      </c>
      <c r="D69" s="4"/>
      <c r="F69" s="9">
        <f>(20*(C44/1000))/(2.4^0.5)</f>
        <v>5.809475019311125</v>
      </c>
      <c r="G69" s="4" t="s">
        <v>0</v>
      </c>
      <c r="H69" s="153">
        <f>MIN(F69,F70)</f>
        <v>5.809475019311125</v>
      </c>
      <c r="I69" s="153" t="s">
        <v>0</v>
      </c>
      <c r="J69" s="5"/>
      <c r="K69" s="7"/>
      <c r="L69" s="4"/>
      <c r="M69" s="4"/>
      <c r="N69" s="5"/>
      <c r="O69" s="5"/>
      <c r="P69" s="5"/>
      <c r="Q69" s="5"/>
      <c r="R69" s="5"/>
    </row>
    <row r="70" spans="1:18" ht="18.75">
      <c r="A70" s="154"/>
      <c r="B70" s="155"/>
      <c r="C70" s="4" t="s">
        <v>258</v>
      </c>
      <c r="D70" s="4"/>
      <c r="E70" s="4"/>
      <c r="F70" s="16">
        <f>(1380*(C44*C45/100)/(2.4*(C46+C45+C49)/10)*C67)/100</f>
        <v>7.147058823529412</v>
      </c>
      <c r="G70" s="4" t="s">
        <v>0</v>
      </c>
      <c r="H70" s="153"/>
      <c r="I70" s="153"/>
      <c r="J70" s="4"/>
      <c r="K70" s="7"/>
      <c r="L70" s="9" t="s">
        <v>167</v>
      </c>
      <c r="M70" s="9" t="s">
        <v>4</v>
      </c>
      <c r="N70" s="10">
        <f>(C44*C45+C46*C47/6)/100</f>
        <v>82</v>
      </c>
      <c r="O70" s="4" t="s">
        <v>55</v>
      </c>
      <c r="P70" s="10" t="s">
        <v>171</v>
      </c>
      <c r="Q70" s="10" t="s">
        <v>4</v>
      </c>
      <c r="R70" s="5">
        <f>800*C67*N73/(C68*100*(C45+C49+C46)/10)</f>
        <v>0.9943734015345268</v>
      </c>
    </row>
    <row r="71" spans="1:18" ht="18">
      <c r="A71" s="9"/>
      <c r="B71" s="4" t="s">
        <v>33</v>
      </c>
      <c r="C71" s="4"/>
      <c r="D71" s="4"/>
      <c r="E71" s="4"/>
      <c r="F71" s="28" t="str">
        <f>IF(AND(H69&gt;C8),"No Ltb","Ltb")</f>
        <v>Ltb</v>
      </c>
      <c r="G71" s="36"/>
      <c r="H71" s="5"/>
      <c r="I71" s="5"/>
      <c r="J71" s="5"/>
      <c r="K71" s="7"/>
      <c r="L71" s="9" t="s">
        <v>168</v>
      </c>
      <c r="M71" s="9" t="s">
        <v>4</v>
      </c>
      <c r="N71" s="10">
        <f>(C45*C44^3/12+C46*C47^3/72)/10000</f>
        <v>12150.533333333333</v>
      </c>
      <c r="O71" s="4" t="s">
        <v>76</v>
      </c>
      <c r="P71" s="10" t="s">
        <v>173</v>
      </c>
      <c r="Q71" s="10" t="s">
        <v>4</v>
      </c>
      <c r="R71" s="5">
        <f>IF(N74&lt;=(84*N75),1.4,0)</f>
        <v>0</v>
      </c>
    </row>
    <row r="72" spans="1:18" ht="18">
      <c r="A72" s="9" t="s">
        <v>175</v>
      </c>
      <c r="B72" s="9" t="s">
        <v>4</v>
      </c>
      <c r="C72" s="9">
        <f>R75</f>
        <v>1.6296769867512415</v>
      </c>
      <c r="D72" s="4" t="s">
        <v>57</v>
      </c>
      <c r="E72" s="4"/>
      <c r="F72" s="156"/>
      <c r="G72" s="156"/>
      <c r="H72" s="132"/>
      <c r="I72" s="132"/>
      <c r="J72" s="132"/>
      <c r="K72" s="7"/>
      <c r="L72" s="9" t="s">
        <v>169</v>
      </c>
      <c r="M72" s="9" t="s">
        <v>4</v>
      </c>
      <c r="N72" s="10">
        <f>SQRT(N71/N70)</f>
        <v>12.172807226451821</v>
      </c>
      <c r="O72" s="5" t="s">
        <v>21</v>
      </c>
      <c r="P72" s="10" t="s">
        <v>173</v>
      </c>
      <c r="Q72" s="10" t="s">
        <v>4</v>
      </c>
      <c r="R72" s="5">
        <f>IF(AND(84*N75&lt;=N74,N74&lt;=188*N75),2.4*(0.64-2.4*N74^2/(1.176*100000*C67)),0)</f>
        <v>1.291150115001064</v>
      </c>
    </row>
    <row r="73" spans="1:18" ht="18.75">
      <c r="A73" s="9" t="s">
        <v>274</v>
      </c>
      <c r="B73" s="9" t="s">
        <v>4</v>
      </c>
      <c r="C73" s="9">
        <f>IF(OR(H69&gt;C8),P64,MIN(1.4,C72))</f>
        <v>1.4</v>
      </c>
      <c r="D73" s="4" t="s">
        <v>57</v>
      </c>
      <c r="E73" s="4"/>
      <c r="F73" s="23"/>
      <c r="G73" s="36"/>
      <c r="H73" s="5"/>
      <c r="I73" s="5"/>
      <c r="J73" s="5"/>
      <c r="K73" s="7"/>
      <c r="L73" s="9" t="s">
        <v>170</v>
      </c>
      <c r="M73" s="9" t="s">
        <v>4</v>
      </c>
      <c r="N73" s="10">
        <f>(C44*C45)/100</f>
        <v>72</v>
      </c>
      <c r="O73" s="5" t="s">
        <v>21</v>
      </c>
      <c r="P73" s="10" t="s">
        <v>173</v>
      </c>
      <c r="Q73" s="10" t="s">
        <v>4</v>
      </c>
      <c r="R73" s="5">
        <f>IF(N74&gt;=188*N75,12000*C67/N74^2,0)</f>
        <v>0</v>
      </c>
    </row>
    <row r="74" spans="1:18" ht="18.75">
      <c r="A74" s="9" t="s">
        <v>378</v>
      </c>
      <c r="B74" s="9" t="s">
        <v>4</v>
      </c>
      <c r="C74" s="27">
        <f>IF(OR(H69&gt;C8),P65,1.4)</f>
        <v>1.4</v>
      </c>
      <c r="D74" s="4" t="s">
        <v>57</v>
      </c>
      <c r="E74" s="5"/>
      <c r="F74" s="5"/>
      <c r="G74" s="87"/>
      <c r="H74" s="4"/>
      <c r="I74" s="4"/>
      <c r="J74" s="4"/>
      <c r="K74" s="7"/>
      <c r="L74" s="9" t="s">
        <v>172</v>
      </c>
      <c r="M74" s="9" t="s">
        <v>4</v>
      </c>
      <c r="N74" s="10">
        <f>C68*100/(N72)</f>
        <v>82.15031926464542</v>
      </c>
      <c r="O74" s="5"/>
      <c r="P74" s="10" t="s">
        <v>174</v>
      </c>
      <c r="Q74" s="10" t="s">
        <v>4</v>
      </c>
      <c r="R74" s="141">
        <f>MAX(R71,R72,R73)</f>
        <v>1.291150115001064</v>
      </c>
    </row>
    <row r="75" spans="1:18" ht="18.75">
      <c r="A75" s="9" t="s">
        <v>384</v>
      </c>
      <c r="B75" s="9" t="s">
        <v>4</v>
      </c>
      <c r="C75" s="27">
        <f>IF(OR(H69&gt;C8),P64,1.4)</f>
        <v>1.4</v>
      </c>
      <c r="D75" s="4" t="s">
        <v>57</v>
      </c>
      <c r="E75" s="4"/>
      <c r="F75" s="4"/>
      <c r="G75" s="4"/>
      <c r="H75" s="4"/>
      <c r="I75" s="16"/>
      <c r="J75" s="4"/>
      <c r="K75" s="7"/>
      <c r="L75" s="9" t="s">
        <v>257</v>
      </c>
      <c r="M75" s="9" t="s">
        <v>4</v>
      </c>
      <c r="N75" s="10">
        <f>(C67/2.4)^0.5</f>
        <v>0.7500000000000001</v>
      </c>
      <c r="O75" s="5"/>
      <c r="P75" s="10" t="s">
        <v>175</v>
      </c>
      <c r="Q75" s="10" t="s">
        <v>4</v>
      </c>
      <c r="R75" s="5">
        <f>SQRT((R70)^2+(R74)^2)</f>
        <v>1.6296769867512415</v>
      </c>
    </row>
    <row r="76" spans="1:5" ht="15">
      <c r="A76" s="22"/>
      <c r="B76" s="22"/>
      <c r="C76" s="22"/>
      <c r="D76" s="4"/>
      <c r="E76" s="4"/>
    </row>
    <row r="77" spans="1:5" ht="15">
      <c r="A77" s="47" t="s">
        <v>383</v>
      </c>
      <c r="B77" s="16"/>
      <c r="C77" s="4"/>
      <c r="D77" s="4"/>
      <c r="E77" s="4"/>
    </row>
    <row r="78" spans="1:5" ht="15">
      <c r="A78" s="47"/>
      <c r="B78" s="16"/>
      <c r="C78" s="5"/>
      <c r="D78" s="5"/>
      <c r="E78" s="5"/>
    </row>
    <row r="79" spans="1:7" ht="18.75">
      <c r="A79" s="10" t="s">
        <v>379</v>
      </c>
      <c r="B79" s="10" t="s">
        <v>4</v>
      </c>
      <c r="C79" s="117">
        <f>F29*100/C57</f>
        <v>0.7990588882175991</v>
      </c>
      <c r="D79" s="4" t="s">
        <v>57</v>
      </c>
      <c r="E79" s="9" t="s">
        <v>78</v>
      </c>
      <c r="F79" s="109">
        <f>C73</f>
        <v>1.4</v>
      </c>
      <c r="G79" s="23" t="str">
        <f>IF(AND(C79&lt;F79),"SAFE","Unsafe")</f>
        <v>SAFE</v>
      </c>
    </row>
    <row r="80" spans="1:18" ht="15">
      <c r="A80" s="9"/>
      <c r="B80" s="16"/>
      <c r="C80" s="4"/>
      <c r="D80" s="4"/>
      <c r="E80" s="4"/>
      <c r="F80" s="16"/>
      <c r="G80" s="4"/>
      <c r="H80" s="4"/>
      <c r="I80" s="4"/>
      <c r="J80" s="4"/>
      <c r="K80" s="7"/>
      <c r="L80" s="9"/>
      <c r="M80" s="9"/>
      <c r="N80" s="10"/>
      <c r="O80" s="4"/>
      <c r="P80" s="10"/>
      <c r="Q80" s="10"/>
      <c r="R80" s="5"/>
    </row>
    <row r="81" spans="1:18" ht="15">
      <c r="A81" s="47" t="s">
        <v>382</v>
      </c>
      <c r="B81" s="16"/>
      <c r="C81" s="4"/>
      <c r="D81" s="4"/>
      <c r="E81" s="4"/>
      <c r="H81" s="5"/>
      <c r="I81" s="5"/>
      <c r="J81" s="5"/>
      <c r="K81" s="7"/>
      <c r="L81" s="9"/>
      <c r="M81" s="9"/>
      <c r="N81" s="10"/>
      <c r="O81" s="4"/>
      <c r="P81" s="10"/>
      <c r="Q81" s="10"/>
      <c r="R81" s="5"/>
    </row>
    <row r="82" spans="1:18" ht="15">
      <c r="A82" s="47"/>
      <c r="B82" s="16"/>
      <c r="C82" s="5"/>
      <c r="D82" s="5"/>
      <c r="E82" s="5"/>
      <c r="H82" s="132"/>
      <c r="I82" s="132"/>
      <c r="J82" s="132"/>
      <c r="K82" s="7"/>
      <c r="L82" s="9"/>
      <c r="M82" s="9"/>
      <c r="N82" s="10"/>
      <c r="O82" s="5"/>
      <c r="P82" s="10"/>
      <c r="Q82" s="10"/>
      <c r="R82" s="5"/>
    </row>
    <row r="83" spans="1:18" ht="18.75">
      <c r="A83" s="10" t="s">
        <v>380</v>
      </c>
      <c r="B83" s="10" t="s">
        <v>4</v>
      </c>
      <c r="C83" s="117">
        <f>F29*100/C58</f>
        <v>1.0391369852463035</v>
      </c>
      <c r="D83" s="4" t="s">
        <v>57</v>
      </c>
      <c r="E83" s="9" t="s">
        <v>78</v>
      </c>
      <c r="F83" s="109">
        <f>C75</f>
        <v>1.4</v>
      </c>
      <c r="G83" s="23" t="str">
        <f>IF(AND(C83&lt;F83),"SAFE","Unsafe")</f>
        <v>SAFE</v>
      </c>
      <c r="H83" s="5"/>
      <c r="I83" s="5"/>
      <c r="J83" s="5"/>
      <c r="K83" s="7"/>
      <c r="L83" s="9"/>
      <c r="M83" s="9"/>
      <c r="N83" s="10"/>
      <c r="O83" s="5"/>
      <c r="P83" s="10"/>
      <c r="Q83" s="10"/>
      <c r="R83" s="5"/>
    </row>
    <row r="84" spans="1:18" ht="15">
      <c r="A84" s="9"/>
      <c r="B84" s="16"/>
      <c r="C84" s="16"/>
      <c r="D84" s="5"/>
      <c r="E84" s="5"/>
      <c r="F84" s="5"/>
      <c r="G84" s="87"/>
      <c r="H84" s="4"/>
      <c r="I84" s="4"/>
      <c r="J84" s="4"/>
      <c r="K84" s="7"/>
      <c r="L84" s="4"/>
      <c r="M84" s="9"/>
      <c r="N84" s="5"/>
      <c r="O84" s="5"/>
      <c r="P84" s="5"/>
      <c r="Q84" s="5"/>
      <c r="R84" s="5"/>
    </row>
    <row r="85" spans="1:18" ht="15">
      <c r="A85" s="47" t="s">
        <v>381</v>
      </c>
      <c r="B85" s="16"/>
      <c r="C85" s="4"/>
      <c r="D85" s="4"/>
      <c r="E85" s="4"/>
      <c r="H85" s="4"/>
      <c r="I85" s="4"/>
      <c r="J85" s="4"/>
      <c r="K85" s="7"/>
      <c r="L85" s="4"/>
      <c r="M85" s="9"/>
      <c r="N85" s="5"/>
      <c r="O85" s="5"/>
      <c r="P85" s="5"/>
      <c r="Q85" s="5"/>
      <c r="R85" s="5"/>
    </row>
    <row r="86" spans="1:5" ht="15">
      <c r="A86" s="47"/>
      <c r="B86" s="16"/>
      <c r="C86" s="5"/>
      <c r="D86" s="5"/>
      <c r="E86" s="5"/>
    </row>
    <row r="87" spans="1:7" ht="15">
      <c r="A87" s="10"/>
      <c r="B87" s="10" t="s">
        <v>4</v>
      </c>
      <c r="C87" s="117">
        <f>(F29*100/C57)/C73+(F30*100/C59)/C74</f>
        <v>1.036612830208338</v>
      </c>
      <c r="D87" s="4"/>
      <c r="E87" s="9" t="s">
        <v>78</v>
      </c>
      <c r="F87" s="109">
        <v>1.2</v>
      </c>
      <c r="G87" s="23" t="str">
        <f>IF(AND(C87&lt;F87),"SAFE","Unsafe")</f>
        <v>SAFE</v>
      </c>
    </row>
    <row r="88" spans="1:5" ht="18">
      <c r="A88" s="4"/>
      <c r="B88" s="4"/>
      <c r="C88" s="93"/>
      <c r="D88" s="9"/>
      <c r="E88" s="9"/>
    </row>
    <row r="89" spans="1:5" ht="15">
      <c r="A89" s="26" t="s">
        <v>246</v>
      </c>
      <c r="B89" s="5"/>
      <c r="C89" s="4"/>
      <c r="D89" s="4"/>
      <c r="E89" s="4"/>
    </row>
    <row r="90" spans="1:5" ht="15">
      <c r="A90" s="5"/>
      <c r="B90" s="5"/>
      <c r="C90" s="4"/>
      <c r="D90" s="4"/>
      <c r="E90" s="4"/>
    </row>
    <row r="91" spans="1:7" ht="18.75">
      <c r="A91" s="9" t="s">
        <v>247</v>
      </c>
      <c r="B91" s="16" t="s">
        <v>4</v>
      </c>
      <c r="C91" s="16">
        <f>F31*100/(C46*C47)</f>
        <v>0.35208333333333336</v>
      </c>
      <c r="D91" s="4" t="s">
        <v>57</v>
      </c>
      <c r="E91" s="9" t="s">
        <v>78</v>
      </c>
      <c r="F91" s="9" t="s">
        <v>387</v>
      </c>
      <c r="G91" s="23" t="str">
        <f>IF(AND(C91&lt;0.35*C11),"SAFE","Unsafe")</f>
        <v>SAFE</v>
      </c>
    </row>
    <row r="92" spans="1:5" ht="15">
      <c r="A92" s="47"/>
      <c r="B92" s="16"/>
      <c r="C92" s="5"/>
      <c r="D92" s="5"/>
      <c r="E92" s="5"/>
    </row>
    <row r="93" spans="1:5" ht="15">
      <c r="A93" s="26" t="s">
        <v>248</v>
      </c>
      <c r="B93" s="104"/>
      <c r="C93" s="105"/>
      <c r="D93" s="84"/>
      <c r="E93" s="84"/>
    </row>
    <row r="94" spans="1:5" ht="15">
      <c r="A94" s="133"/>
      <c r="B94" s="16"/>
      <c r="C94" s="4"/>
      <c r="D94" s="4"/>
      <c r="E94" s="4"/>
    </row>
    <row r="95" spans="1:7" ht="16.5">
      <c r="A95" s="10" t="s">
        <v>250</v>
      </c>
      <c r="B95" s="10" t="s">
        <v>4</v>
      </c>
      <c r="C95" s="19">
        <f>T31*10^6/(2100*C55)</f>
        <v>0.8430365823166303</v>
      </c>
      <c r="D95" s="5" t="s">
        <v>21</v>
      </c>
      <c r="E95" s="9" t="s">
        <v>78</v>
      </c>
      <c r="F95" s="9" t="s">
        <v>377</v>
      </c>
      <c r="G95" s="23" t="str">
        <f>IF(AND(C95&lt;C8/8),"SAFE","Unsafe")</f>
        <v>SAFE</v>
      </c>
    </row>
    <row r="96" spans="1:5" ht="15">
      <c r="A96" s="9"/>
      <c r="B96" s="10"/>
      <c r="C96" s="16"/>
      <c r="D96" s="4"/>
      <c r="E96" s="4"/>
    </row>
    <row r="97" spans="1:5" ht="15">
      <c r="A97" s="9"/>
      <c r="B97" s="10"/>
      <c r="C97" s="16"/>
      <c r="D97" s="4"/>
      <c r="E97" s="4"/>
    </row>
    <row r="98" spans="1:5" ht="15">
      <c r="A98" s="9"/>
      <c r="B98" s="10"/>
      <c r="C98" s="16"/>
      <c r="D98" s="4"/>
      <c r="E98" s="4"/>
    </row>
    <row r="99" spans="1:5" ht="15">
      <c r="A99" s="10"/>
      <c r="B99" s="10"/>
      <c r="C99" s="19"/>
      <c r="D99" s="4"/>
      <c r="E99" s="4"/>
    </row>
    <row r="100" spans="1:5" ht="15">
      <c r="A100" s="9"/>
      <c r="B100" s="10"/>
      <c r="C100" s="16"/>
      <c r="D100" s="4"/>
      <c r="E100" s="4"/>
    </row>
    <row r="101" spans="1:5" ht="15">
      <c r="A101" s="9"/>
      <c r="B101" s="10"/>
      <c r="C101" s="16"/>
      <c r="D101" s="4"/>
      <c r="E101" s="4"/>
    </row>
    <row r="102" spans="1:5" ht="15">
      <c r="A102" s="47"/>
      <c r="B102" s="16"/>
      <c r="C102" s="5"/>
      <c r="D102" s="5"/>
      <c r="E102" s="5"/>
    </row>
    <row r="103" spans="1:5" ht="15">
      <c r="A103" s="47"/>
      <c r="B103" s="16"/>
      <c r="C103" s="5"/>
      <c r="D103" s="5"/>
      <c r="E103" s="5"/>
    </row>
    <row r="104" spans="1:5" ht="15">
      <c r="A104" s="4"/>
      <c r="B104" s="4"/>
      <c r="C104" s="4"/>
      <c r="D104" s="4"/>
      <c r="E104" s="4"/>
    </row>
    <row r="105" spans="1:5" ht="15">
      <c r="A105" s="4"/>
      <c r="B105" s="9"/>
      <c r="C105" s="96"/>
      <c r="D105" s="4"/>
      <c r="E105" s="4"/>
    </row>
    <row r="106" spans="1:5" ht="15">
      <c r="A106" s="4"/>
      <c r="B106" s="4"/>
      <c r="C106" s="4"/>
      <c r="D106" s="4"/>
      <c r="E106" s="4"/>
    </row>
    <row r="107" spans="1:5" ht="15">
      <c r="A107" s="4"/>
      <c r="B107" s="4"/>
      <c r="C107" s="9"/>
      <c r="D107" s="4"/>
      <c r="E107" s="4"/>
    </row>
    <row r="108" spans="1:5" ht="15">
      <c r="A108" s="36"/>
      <c r="B108" s="85"/>
      <c r="C108" s="11"/>
      <c r="D108" s="85"/>
      <c r="E108" s="85"/>
    </row>
    <row r="109" spans="1:5" ht="15">
      <c r="A109" s="36"/>
      <c r="B109" s="85"/>
      <c r="C109" s="11"/>
      <c r="D109" s="85"/>
      <c r="E109" s="85"/>
    </row>
    <row r="110" spans="1:5" ht="15">
      <c r="A110" s="9"/>
      <c r="B110" s="16"/>
      <c r="C110" s="16"/>
      <c r="D110" s="4"/>
      <c r="E110" s="4"/>
    </row>
    <row r="111" spans="1:5" ht="15">
      <c r="A111" s="9"/>
      <c r="B111" s="16"/>
      <c r="C111" s="16"/>
      <c r="D111" s="4"/>
      <c r="E111" s="4"/>
    </row>
    <row r="112" spans="1:5" ht="15">
      <c r="A112" s="9"/>
      <c r="B112" s="16"/>
      <c r="C112" s="4"/>
      <c r="D112" s="4"/>
      <c r="E112" s="4"/>
    </row>
    <row r="113" spans="1:5" ht="15">
      <c r="A113" s="9"/>
      <c r="B113" s="4"/>
      <c r="C113" s="4"/>
      <c r="D113" s="4"/>
      <c r="E113" s="4"/>
    </row>
    <row r="114" spans="1:5" ht="15">
      <c r="A114" s="9"/>
      <c r="B114" s="9"/>
      <c r="C114" s="9"/>
      <c r="D114" s="4"/>
      <c r="E114" s="4"/>
    </row>
    <row r="115" spans="1:5" ht="15">
      <c r="A115" s="9"/>
      <c r="B115" s="9"/>
      <c r="C115" s="9"/>
      <c r="D115" s="4"/>
      <c r="E115" s="4"/>
    </row>
    <row r="116" spans="1:5" ht="15">
      <c r="A116" s="9"/>
      <c r="B116" s="16"/>
      <c r="C116" s="16"/>
      <c r="D116" s="5"/>
      <c r="E116" s="5"/>
    </row>
    <row r="117" spans="1:5" ht="15">
      <c r="A117" s="9"/>
      <c r="B117" s="16"/>
      <c r="C117" s="16"/>
      <c r="D117" s="4"/>
      <c r="E117" s="4"/>
    </row>
    <row r="118" spans="1:5" ht="18">
      <c r="A118" s="93"/>
      <c r="B118" s="16"/>
      <c r="C118" s="16"/>
      <c r="D118" s="4"/>
      <c r="E118" s="4"/>
    </row>
    <row r="119" spans="1:5" ht="18">
      <c r="A119" s="93"/>
      <c r="B119" s="16"/>
      <c r="C119" s="16"/>
      <c r="D119" s="4"/>
      <c r="E119" s="4"/>
    </row>
    <row r="120" spans="1:5" ht="18">
      <c r="A120" s="4"/>
      <c r="B120" s="4"/>
      <c r="C120" s="93"/>
      <c r="D120" s="9"/>
      <c r="E120" s="9"/>
    </row>
    <row r="121" spans="1:5" ht="15">
      <c r="A121" s="9"/>
      <c r="B121" s="16"/>
      <c r="C121" s="16"/>
      <c r="D121" s="4"/>
      <c r="E121" s="4"/>
    </row>
    <row r="122" spans="1:5" ht="15">
      <c r="A122" s="9"/>
      <c r="B122" s="16"/>
      <c r="C122" s="16"/>
      <c r="D122" s="4"/>
      <c r="E122" s="4"/>
    </row>
    <row r="123" spans="1:5" ht="15">
      <c r="A123" s="9"/>
      <c r="B123" s="16"/>
      <c r="C123" s="16"/>
      <c r="D123" s="4"/>
      <c r="E123" s="4"/>
    </row>
    <row r="124" spans="1:5" ht="15">
      <c r="A124" s="26"/>
      <c r="B124" s="5"/>
      <c r="C124" s="4"/>
      <c r="D124" s="4"/>
      <c r="E124" s="4"/>
    </row>
    <row r="125" spans="1:5" ht="15">
      <c r="A125" s="5"/>
      <c r="B125" s="5"/>
      <c r="C125" s="4"/>
      <c r="D125" s="4"/>
      <c r="E125" s="4"/>
    </row>
  </sheetData>
  <sheetProtection/>
  <mergeCells count="7">
    <mergeCell ref="H69:H70"/>
    <mergeCell ref="I69:I70"/>
    <mergeCell ref="F72:G72"/>
    <mergeCell ref="C29:D29"/>
    <mergeCell ref="C31:D31"/>
    <mergeCell ref="A69:A70"/>
    <mergeCell ref="B69:B7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HP</cp:lastModifiedBy>
  <cp:lastPrinted>2014-02-09T16:08:05Z</cp:lastPrinted>
  <dcterms:created xsi:type="dcterms:W3CDTF">1997-10-17T07:03:38Z</dcterms:created>
  <dcterms:modified xsi:type="dcterms:W3CDTF">2014-02-09T16:08:29Z</dcterms:modified>
  <cp:category/>
  <cp:version/>
  <cp:contentType/>
  <cp:contentStatus/>
</cp:coreProperties>
</file>