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0" windowWidth="19005" windowHeight="80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11" i="1"/>
  <c r="Q11"/>
  <c r="CH50" l="1"/>
  <c r="AB37"/>
  <c r="CH54"/>
  <c r="CH55"/>
  <c r="AB56" l="1"/>
  <c r="AB50"/>
  <c r="CI43"/>
  <c r="CH43"/>
  <c r="CH44" s="1"/>
  <c r="AB23"/>
  <c r="BG9"/>
  <c r="BL6"/>
  <c r="CH12" s="1"/>
  <c r="CH23" s="1"/>
  <c r="V18"/>
  <c r="T18"/>
  <c r="U18"/>
  <c r="V19"/>
  <c r="S9"/>
  <c r="S10"/>
  <c r="N18"/>
  <c r="N13"/>
  <c r="N10"/>
  <c r="U17" s="1"/>
  <c r="N9"/>
  <c r="V17"/>
  <c r="T17"/>
  <c r="BL7"/>
  <c r="CI11" s="1"/>
  <c r="BG19"/>
  <c r="BG12"/>
  <c r="BG41"/>
  <c r="BG36"/>
  <c r="CH31"/>
  <c r="CH33" s="1"/>
  <c r="CH34" s="1"/>
  <c r="CI23"/>
  <c r="CI25" s="1"/>
  <c r="CI26" s="1"/>
  <c r="BG33"/>
  <c r="CH14"/>
  <c r="CH11"/>
  <c r="CI14"/>
  <c r="CI13"/>
  <c r="BP6"/>
  <c r="CI17" s="1"/>
  <c r="BP7"/>
  <c r="CH18" s="1"/>
  <c r="AE9"/>
  <c r="H62"/>
  <c r="CI44" l="1"/>
  <c r="CH47"/>
  <c r="CI45"/>
  <c r="CI46" s="1"/>
  <c r="BM10"/>
  <c r="CI18"/>
  <c r="CI19" s="1"/>
  <c r="CI24"/>
  <c r="CI27" s="1"/>
  <c r="CI28" s="1"/>
  <c r="BM11"/>
  <c r="CI31"/>
  <c r="CI32" s="1"/>
  <c r="CH25"/>
  <c r="CH27" s="1"/>
  <c r="CH24"/>
  <c r="CH26" s="1"/>
  <c r="CH28" s="1"/>
  <c r="CH32"/>
  <c r="CH37" s="1"/>
  <c r="CH38" s="1"/>
  <c r="BG39"/>
  <c r="CH17"/>
  <c r="CH21"/>
  <c r="CI20"/>
  <c r="CI21" s="1"/>
  <c r="BG8"/>
  <c r="CH19"/>
  <c r="CH20" s="1"/>
  <c r="CI12"/>
  <c r="CH13"/>
  <c r="BG32"/>
  <c r="BG37" s="1"/>
  <c r="AB25" s="1"/>
  <c r="AD25" s="1"/>
  <c r="H44"/>
  <c r="CH51" l="1"/>
  <c r="BL38"/>
  <c r="BL42"/>
  <c r="BL35"/>
  <c r="BL39"/>
  <c r="BV39" s="1"/>
  <c r="BL34"/>
  <c r="BL40"/>
  <c r="CF40" s="1"/>
  <c r="BL33"/>
  <c r="BL37"/>
  <c r="CF37" s="1"/>
  <c r="BL41"/>
  <c r="BV41" s="1"/>
  <c r="BL36"/>
  <c r="CI33"/>
  <c r="CI34" s="1"/>
  <c r="CI38" s="1"/>
  <c r="BM34"/>
  <c r="BG13"/>
  <c r="BM33"/>
  <c r="H46"/>
  <c r="D47" s="1"/>
  <c r="U19" l="1"/>
  <c r="CH48"/>
  <c r="CH49" s="1"/>
  <c r="CH52"/>
  <c r="V16"/>
  <c r="CF36"/>
  <c r="CB36"/>
  <c r="BT36"/>
  <c r="BZ36"/>
  <c r="BV36"/>
  <c r="CD36"/>
  <c r="CI37"/>
  <c r="BL10"/>
  <c r="AB39"/>
  <c r="AD39" s="1"/>
  <c r="BL19"/>
  <c r="CB41"/>
  <c r="CF39"/>
  <c r="BX36"/>
  <c r="CD37"/>
  <c r="BV42"/>
  <c r="BT34"/>
  <c r="CD40"/>
  <c r="BN10"/>
  <c r="BL11"/>
  <c r="BL15"/>
  <c r="BL18"/>
  <c r="BL17"/>
  <c r="BL14"/>
  <c r="BL13"/>
  <c r="BL12"/>
  <c r="BL16"/>
  <c r="BX37"/>
  <c r="BT37"/>
  <c r="CB37"/>
  <c r="BV37"/>
  <c r="BZ37"/>
  <c r="CF42"/>
  <c r="BX11"/>
  <c r="CD41"/>
  <c r="BZ39"/>
  <c r="CF41"/>
  <c r="BZ41"/>
  <c r="CD39"/>
  <c r="BT11"/>
  <c r="BT41"/>
  <c r="BX41"/>
  <c r="BT39"/>
  <c r="BX39"/>
  <c r="CB39"/>
  <c r="CF38"/>
  <c r="CD38"/>
  <c r="BT38"/>
  <c r="BX38"/>
  <c r="BV38"/>
  <c r="BZ38"/>
  <c r="CB38"/>
  <c r="BX42"/>
  <c r="BZ42"/>
  <c r="CD42"/>
  <c r="BT42"/>
  <c r="CB42"/>
  <c r="BT40"/>
  <c r="BZ40"/>
  <c r="CB40"/>
  <c r="BV40"/>
  <c r="BX40"/>
  <c r="BM40"/>
  <c r="BM37"/>
  <c r="BM42"/>
  <c r="BM38"/>
  <c r="BM41"/>
  <c r="BM36"/>
  <c r="BM39"/>
  <c r="BR37"/>
  <c r="BP37"/>
  <c r="BN37"/>
  <c r="BR38"/>
  <c r="BP38"/>
  <c r="BN38"/>
  <c r="BR41"/>
  <c r="BP41"/>
  <c r="BN41"/>
  <c r="BR42"/>
  <c r="BP42"/>
  <c r="BN42"/>
  <c r="BR34"/>
  <c r="BP34"/>
  <c r="BN34"/>
  <c r="BR36"/>
  <c r="BP36"/>
  <c r="BN36"/>
  <c r="BR40"/>
  <c r="BP40"/>
  <c r="BN40"/>
  <c r="BR39"/>
  <c r="BP39"/>
  <c r="BN39"/>
  <c r="D57"/>
  <c r="D56"/>
  <c r="CF13" l="1"/>
  <c r="CF19"/>
  <c r="BV18"/>
  <c r="CB10"/>
  <c r="BP19"/>
  <c r="CF18"/>
  <c r="BR18"/>
  <c r="BZ19"/>
  <c r="BT10"/>
  <c r="BV19"/>
  <c r="CD19"/>
  <c r="BN19"/>
  <c r="BR19"/>
  <c r="BT19"/>
  <c r="BX19"/>
  <c r="CB19"/>
  <c r="BR16"/>
  <c r="BV13"/>
  <c r="CB17"/>
  <c r="BX15"/>
  <c r="BM19"/>
  <c r="CF10"/>
  <c r="CB18"/>
  <c r="CF11"/>
  <c r="BN18"/>
  <c r="BP15"/>
  <c r="BT15"/>
  <c r="BX10"/>
  <c r="BV17"/>
  <c r="CD10"/>
  <c r="BN16"/>
  <c r="CD15"/>
  <c r="BV10"/>
  <c r="BZ10"/>
  <c r="CF17"/>
  <c r="BP17"/>
  <c r="BZ17"/>
  <c r="BP12"/>
  <c r="BN17"/>
  <c r="BR17"/>
  <c r="BP16"/>
  <c r="BN15"/>
  <c r="BR15"/>
  <c r="BZ15"/>
  <c r="BV15"/>
  <c r="CB15"/>
  <c r="CF15"/>
  <c r="BT17"/>
  <c r="BX17"/>
  <c r="CD17"/>
  <c r="BZ13"/>
  <c r="CB13"/>
  <c r="BT14"/>
  <c r="BM16"/>
  <c r="BN13"/>
  <c r="BM13"/>
  <c r="BM17"/>
  <c r="BM15"/>
  <c r="BN12"/>
  <c r="BM12"/>
  <c r="BN14"/>
  <c r="BM14"/>
  <c r="BM18"/>
  <c r="BN11"/>
  <c r="BV11"/>
  <c r="BV12"/>
  <c r="CB12"/>
  <c r="CF12"/>
  <c r="BP11"/>
  <c r="BP18"/>
  <c r="BT18"/>
  <c r="BX18"/>
  <c r="CD18"/>
  <c r="BZ18"/>
  <c r="BT12"/>
  <c r="BX12"/>
  <c r="CD12"/>
  <c r="BZ12"/>
  <c r="CB11"/>
  <c r="BZ11"/>
  <c r="CD14"/>
  <c r="BX14"/>
  <c r="BZ14"/>
  <c r="BV14"/>
  <c r="CB14"/>
  <c r="CF14"/>
  <c r="CD11"/>
  <c r="CB16"/>
  <c r="BV16"/>
  <c r="BZ16"/>
  <c r="BT13"/>
  <c r="BX13"/>
  <c r="CD13"/>
  <c r="BT16"/>
  <c r="BX16"/>
  <c r="CD16"/>
  <c r="CF16"/>
  <c r="BV34"/>
  <c r="BZ34"/>
  <c r="CD34"/>
  <c r="BX34"/>
  <c r="CB34"/>
  <c r="CF34"/>
  <c r="BT33"/>
  <c r="CD33"/>
  <c r="BZ33"/>
  <c r="BV33"/>
  <c r="CF33"/>
  <c r="CB33"/>
  <c r="BX33"/>
  <c r="BR33"/>
  <c r="CD35"/>
  <c r="BZ35"/>
  <c r="BV35"/>
  <c r="BT35"/>
  <c r="CF35"/>
  <c r="CB35"/>
  <c r="BX35"/>
  <c r="BM35"/>
  <c r="BP35"/>
  <c r="BR35"/>
  <c r="BN35"/>
  <c r="BP33"/>
  <c r="BN33"/>
  <c r="H58"/>
  <c r="I58" s="1"/>
  <c r="H66" l="1"/>
  <c r="BO36"/>
  <c r="BU41"/>
  <c r="BU39"/>
  <c r="BU42"/>
  <c r="BU40"/>
  <c r="BU36"/>
  <c r="BU33"/>
  <c r="BU37"/>
  <c r="BU34"/>
  <c r="CE34"/>
  <c r="BU38"/>
  <c r="BW34"/>
  <c r="BU35"/>
  <c r="BY37"/>
  <c r="BY39"/>
  <c r="BY41"/>
  <c r="CE37"/>
  <c r="CE39"/>
  <c r="CE41"/>
  <c r="CC38"/>
  <c r="CC40"/>
  <c r="CC42"/>
  <c r="CC36"/>
  <c r="CA36"/>
  <c r="CA38"/>
  <c r="CA40"/>
  <c r="CA42"/>
  <c r="BW36"/>
  <c r="BW38"/>
  <c r="BW40"/>
  <c r="BW42"/>
  <c r="BS37"/>
  <c r="BS40"/>
  <c r="BQ33"/>
  <c r="BQ36"/>
  <c r="BQ38"/>
  <c r="BQ40"/>
  <c r="BQ42"/>
  <c r="BO35"/>
  <c r="BO37"/>
  <c r="BO39"/>
  <c r="BO41"/>
  <c r="BO34"/>
  <c r="BY36"/>
  <c r="BY38"/>
  <c r="BY42"/>
  <c r="BY40"/>
  <c r="CE36"/>
  <c r="CE38"/>
  <c r="CE40"/>
  <c r="CE42"/>
  <c r="CC39"/>
  <c r="CC41"/>
  <c r="CC37"/>
  <c r="CA37"/>
  <c r="CA39"/>
  <c r="CA41"/>
  <c r="BW37"/>
  <c r="BW39"/>
  <c r="BW41"/>
  <c r="BS36"/>
  <c r="BS39"/>
  <c r="BS41"/>
  <c r="BS33"/>
  <c r="BQ35"/>
  <c r="BQ37"/>
  <c r="BQ39"/>
  <c r="BQ41"/>
  <c r="BQ34"/>
  <c r="BO38"/>
  <c r="BO40"/>
  <c r="BO42"/>
  <c r="BO33"/>
  <c r="BS42"/>
  <c r="BS38"/>
  <c r="D29"/>
  <c r="H12"/>
  <c r="H28" l="1"/>
  <c r="H30" s="1"/>
  <c r="H29" l="1"/>
  <c r="H31"/>
  <c r="I30" l="1"/>
  <c r="AB55"/>
  <c r="G47"/>
  <c r="BR14" l="1"/>
  <c r="BP14" l="1"/>
  <c r="BR13"/>
  <c r="BP13"/>
  <c r="BR10" l="1"/>
  <c r="BP10"/>
  <c r="BR12"/>
  <c r="BR11"/>
  <c r="BS19" l="1"/>
  <c r="BQ19"/>
  <c r="BW19"/>
  <c r="CC19"/>
  <c r="CA19"/>
  <c r="BU19"/>
  <c r="BY19"/>
  <c r="CE19"/>
  <c r="CA18"/>
  <c r="CA15"/>
  <c r="CA11"/>
  <c r="CA13"/>
  <c r="CA17"/>
  <c r="CA12"/>
  <c r="CA16"/>
  <c r="CA14"/>
  <c r="BS18"/>
  <c r="CE18"/>
  <c r="BU17"/>
  <c r="BS16"/>
  <c r="CE16"/>
  <c r="BY16"/>
  <c r="BW17"/>
  <c r="CC18"/>
  <c r="CC15"/>
  <c r="BU16"/>
  <c r="BW18"/>
  <c r="BY15"/>
  <c r="BY17"/>
  <c r="BS15"/>
  <c r="CE15"/>
  <c r="CC17"/>
  <c r="BY18"/>
  <c r="BW15"/>
  <c r="BU18"/>
  <c r="BU15"/>
  <c r="BS17"/>
  <c r="CE17"/>
  <c r="CC16"/>
  <c r="BW16"/>
  <c r="BY11"/>
  <c r="BY12"/>
  <c r="BW11"/>
  <c r="BW12"/>
  <c r="BY13"/>
  <c r="BY14"/>
  <c r="BW13"/>
  <c r="BW14"/>
  <c r="BU11"/>
  <c r="CC11"/>
  <c r="BS12"/>
  <c r="BU10"/>
  <c r="CC10"/>
  <c r="BS11"/>
  <c r="BS14"/>
  <c r="BU12"/>
  <c r="CC12"/>
  <c r="BW10"/>
  <c r="CE10"/>
  <c r="CE13"/>
  <c r="BU14"/>
  <c r="CC14"/>
  <c r="CE12"/>
  <c r="BY10"/>
  <c r="BU13"/>
  <c r="CC13"/>
  <c r="CE11"/>
  <c r="CE14"/>
  <c r="BS10"/>
  <c r="CA10"/>
  <c r="BS13"/>
  <c r="BQ14"/>
  <c r="BQ15"/>
  <c r="BQ11"/>
  <c r="BQ17"/>
  <c r="BQ13"/>
  <c r="BQ18"/>
  <c r="BQ16"/>
  <c r="BQ12"/>
  <c r="BO19"/>
  <c r="BQ10"/>
  <c r="BO17"/>
  <c r="BO18"/>
  <c r="BO15"/>
  <c r="BO16"/>
  <c r="BO14"/>
  <c r="BO11"/>
  <c r="BO12"/>
  <c r="BO10"/>
  <c r="BO13"/>
  <c r="CC34" l="1"/>
  <c r="CC35"/>
  <c r="CA34"/>
  <c r="CE35"/>
  <c r="CA33"/>
  <c r="BY34"/>
  <c r="BS35"/>
  <c r="CC33"/>
  <c r="BY33"/>
  <c r="CA35"/>
  <c r="BW35"/>
  <c r="BY35"/>
  <c r="CE33"/>
  <c r="BW33"/>
  <c r="BS34"/>
  <c r="BL43" l="1"/>
  <c r="CB43" s="1"/>
  <c r="CF43"/>
  <c r="AE23" s="1"/>
  <c r="AG23" s="1"/>
  <c r="CD43" l="1"/>
  <c r="CF20" l="1"/>
  <c r="AE37" s="1"/>
  <c r="AG37" s="1"/>
  <c r="BL20"/>
  <c r="C22" s="1"/>
  <c r="AH35" l="1"/>
  <c r="H21"/>
  <c r="CI47" l="1"/>
  <c r="CI50"/>
  <c r="H22"/>
  <c r="H37" s="1"/>
  <c r="CI51" l="1"/>
  <c r="CI52" s="1"/>
  <c r="CI53"/>
  <c r="H45"/>
  <c r="AG15"/>
  <c r="Q14"/>
  <c r="AG11"/>
  <c r="AG17" s="1"/>
  <c r="H32"/>
  <c r="AG9"/>
  <c r="H48" l="1"/>
  <c r="D49" s="1"/>
  <c r="H50"/>
  <c r="H51"/>
  <c r="N7"/>
  <c r="S16" s="1"/>
  <c r="D33"/>
  <c r="F33"/>
  <c r="AC17"/>
  <c r="AC13"/>
  <c r="AG13"/>
  <c r="AC15"/>
  <c r="AF9"/>
  <c r="H59" l="1"/>
  <c r="H64" s="1"/>
  <c r="AB54"/>
  <c r="AB57" s="1"/>
  <c r="G49"/>
  <c r="C37"/>
  <c r="C38"/>
  <c r="H54"/>
  <c r="Q19"/>
  <c r="W19" s="1"/>
  <c r="D52"/>
  <c r="G52" s="1"/>
  <c r="AB48"/>
  <c r="AL9"/>
  <c r="AI9"/>
  <c r="S11"/>
  <c r="C36"/>
  <c r="R10"/>
  <c r="C35"/>
  <c r="S8"/>
  <c r="I36"/>
  <c r="H34"/>
  <c r="H35" s="1"/>
  <c r="H36" s="1"/>
  <c r="H38" s="1"/>
  <c r="H61" l="1"/>
  <c r="H65"/>
  <c r="H67" s="1"/>
  <c r="Q8" s="1"/>
  <c r="Q17"/>
  <c r="AE13"/>
  <c r="AE11"/>
  <c r="AB49"/>
  <c r="X8" l="1"/>
  <c r="Y12" s="1"/>
  <c r="CI48"/>
  <c r="CI54" s="1"/>
  <c r="CI55" s="1"/>
  <c r="AB52"/>
  <c r="AE15"/>
  <c r="AF11"/>
  <c r="AI11" s="1"/>
  <c r="AB51"/>
  <c r="AD13"/>
  <c r="AI13"/>
  <c r="AK13" s="1"/>
  <c r="AF13"/>
  <c r="AL13"/>
  <c r="CI49" l="1"/>
  <c r="CH45"/>
  <c r="CH46" s="1"/>
  <c r="AE17"/>
  <c r="AF15"/>
  <c r="AL15"/>
  <c r="R12" l="1"/>
  <c r="AL17"/>
  <c r="AF17"/>
  <c r="AD17"/>
  <c r="CH53" l="1"/>
  <c r="AB53"/>
</calcChain>
</file>

<file path=xl/sharedStrings.xml><?xml version="1.0" encoding="utf-8"?>
<sst xmlns="http://schemas.openxmlformats.org/spreadsheetml/2006/main" count="347" uniqueCount="209">
  <si>
    <t>Comp.strength fc'</t>
  </si>
  <si>
    <t xml:space="preserve">Yeild Strength(main) (fy) </t>
  </si>
  <si>
    <t xml:space="preserve">Yeild Strength(strir.) (fvy) </t>
  </si>
  <si>
    <t>ksc.</t>
  </si>
  <si>
    <t>Mu</t>
  </si>
  <si>
    <t>Vu</t>
  </si>
  <si>
    <t>Tu</t>
  </si>
  <si>
    <t>kg.</t>
  </si>
  <si>
    <t>Ru actua.</t>
  </si>
  <si>
    <t>b</t>
  </si>
  <si>
    <t>h</t>
  </si>
  <si>
    <t>m.</t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</si>
  <si>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b</t>
    </r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</si>
  <si>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. actua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</si>
  <si>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0"/>
        <color theme="1"/>
        <rFont val="Times New Roman"/>
        <family val="1"/>
      </rPr>
      <t>t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</si>
  <si>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0"/>
        <color theme="1"/>
        <rFont val="Times New Roman"/>
        <family val="1"/>
      </rPr>
      <t>v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</si>
  <si>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0"/>
        <color theme="1"/>
        <rFont val="Times New Roman"/>
        <family val="1"/>
      </rPr>
      <t>1</t>
    </r>
  </si>
  <si>
    <r>
      <rPr>
        <sz val="11"/>
        <color theme="1"/>
        <rFont val="Symbol"/>
        <family val="1"/>
        <charset val="2"/>
      </rPr>
      <t>f</t>
    </r>
    <r>
      <rPr>
        <vertAlign val="subscript"/>
        <sz val="10"/>
        <color theme="1"/>
        <rFont val="Symbol"/>
        <family val="1"/>
        <charset val="2"/>
      </rPr>
      <t>b</t>
    </r>
  </si>
  <si>
    <t>d'</t>
  </si>
  <si>
    <t>kg.-m.</t>
  </si>
  <si>
    <t>check</t>
  </si>
  <si>
    <t>mm.</t>
  </si>
  <si>
    <t>Ru provide</t>
  </si>
  <si>
    <t>Mcu</t>
  </si>
  <si>
    <r>
      <t>kg.</t>
    </r>
    <r>
      <rPr>
        <b/>
        <sz val="10"/>
        <color theme="1"/>
        <rFont val="Times New Roman"/>
        <family val="1"/>
      </rPr>
      <t>/</t>
    </r>
    <r>
      <rPr>
        <vertAlign val="subscript"/>
        <sz val="10"/>
        <color theme="1"/>
        <rFont val="Times New Roman"/>
        <family val="1"/>
      </rPr>
      <t>cm.</t>
    </r>
    <r>
      <rPr>
        <vertAlign val="superscript"/>
        <sz val="10"/>
        <color theme="1"/>
        <rFont val="Times New Roman"/>
        <family val="1"/>
      </rPr>
      <t>2</t>
    </r>
  </si>
  <si>
    <t>cm²</t>
  </si>
  <si>
    <t>As prov.</t>
  </si>
  <si>
    <r>
      <t>As req.(</t>
    </r>
    <r>
      <rPr>
        <sz val="10"/>
        <color rgb="FFFF0000"/>
        <rFont val="Times New Roman"/>
        <family val="1"/>
      </rPr>
      <t>Tension</t>
    </r>
    <r>
      <rPr>
        <sz val="10"/>
        <color theme="1"/>
        <rFont val="Times New Roman"/>
        <family val="1"/>
      </rPr>
      <t>)</t>
    </r>
  </si>
  <si>
    <r>
      <t xml:space="preserve">Torsion Reign. Design                  </t>
    </r>
    <r>
      <rPr>
        <b/>
        <sz val="10"/>
        <color theme="1"/>
        <rFont val="Times New Roman"/>
        <family val="1"/>
      </rPr>
      <t xml:space="preserve"> :</t>
    </r>
  </si>
  <si>
    <r>
      <t xml:space="preserve">Bending Moment Reign. Design </t>
    </r>
    <r>
      <rPr>
        <b/>
        <sz val="10"/>
        <color theme="1"/>
        <rFont val="Times New Roman"/>
        <family val="1"/>
      </rPr>
      <t>:</t>
    </r>
  </si>
  <si>
    <t>Reignforced Concrete Beam Design (SDM)</t>
  </si>
  <si>
    <r>
      <t xml:space="preserve">Concrete              </t>
    </r>
    <r>
      <rPr>
        <b/>
        <sz val="10"/>
        <color theme="1"/>
        <rFont val="Times New Roman"/>
        <family val="1"/>
      </rPr>
      <t xml:space="preserve">  :</t>
    </r>
  </si>
  <si>
    <r>
      <t xml:space="preserve">Steel                      </t>
    </r>
    <r>
      <rPr>
        <b/>
        <sz val="10"/>
        <color theme="1"/>
        <rFont val="Times New Roman"/>
        <family val="1"/>
      </rPr>
      <t xml:space="preserve"> :</t>
    </r>
  </si>
  <si>
    <r>
      <t>Design parameter</t>
    </r>
    <r>
      <rPr>
        <b/>
        <sz val="10"/>
        <color theme="1"/>
        <rFont val="Times New Roman"/>
        <family val="1"/>
      </rPr>
      <t xml:space="preserve"> :</t>
    </r>
  </si>
  <si>
    <r>
      <t xml:space="preserve">Beam  dimension </t>
    </r>
    <r>
      <rPr>
        <b/>
        <sz val="10"/>
        <color theme="1"/>
        <rFont val="Times New Roman"/>
        <family val="1"/>
      </rPr>
      <t>:</t>
    </r>
  </si>
  <si>
    <t>Tu min</t>
  </si>
  <si>
    <r>
      <t xml:space="preserve">Torsion Effect can be neglected if  </t>
    </r>
    <r>
      <rPr>
        <sz val="10"/>
        <color rgb="FFFF0000"/>
        <rFont val="Times New Roman"/>
        <family val="1"/>
      </rPr>
      <t>Tu &lt; 0.13</t>
    </r>
    <r>
      <rPr>
        <sz val="10"/>
        <color rgb="FFFF0000"/>
        <rFont val="Symbol"/>
        <family val="1"/>
        <charset val="2"/>
      </rPr>
      <t>f</t>
    </r>
    <r>
      <rPr>
        <sz val="10"/>
        <color rgb="FFFF0000"/>
        <rFont val="Times New Roman"/>
        <family val="1"/>
      </rPr>
      <t>(fc)</t>
    </r>
    <r>
      <rPr>
        <vertAlign val="superscript"/>
        <sz val="10"/>
        <color rgb="FFFF0000"/>
        <rFont val="Times New Roman"/>
        <family val="1"/>
      </rPr>
      <t>0.5</t>
    </r>
    <r>
      <rPr>
        <sz val="10"/>
        <color rgb="FFFF0000"/>
        <rFont val="Symbol"/>
        <family val="1"/>
        <charset val="2"/>
      </rPr>
      <t>å</t>
    </r>
    <r>
      <rPr>
        <sz val="10"/>
        <color rgb="FFFF0000"/>
        <rFont val="Times New Roman"/>
        <family val="1"/>
      </rPr>
      <t>x²y</t>
    </r>
  </si>
  <si>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Times New Roman"/>
        <family val="1"/>
      </rPr>
      <t>x²y</t>
    </r>
  </si>
  <si>
    <r>
      <t>b</t>
    </r>
    <r>
      <rPr>
        <vertAlign val="subscript"/>
        <sz val="10"/>
        <color theme="1"/>
        <rFont val="Times New Roman"/>
        <family val="1"/>
      </rPr>
      <t>w</t>
    </r>
    <r>
      <rPr>
        <sz val="10"/>
        <color theme="1"/>
        <rFont val="Times New Roman"/>
        <family val="1"/>
      </rPr>
      <t>d/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Times New Roman"/>
        <family val="1"/>
      </rPr>
      <t>x²y</t>
    </r>
  </si>
  <si>
    <r>
      <t>C</t>
    </r>
    <r>
      <rPr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 =</t>
    </r>
  </si>
  <si>
    <r>
      <t>cm.</t>
    </r>
    <r>
      <rPr>
        <vertAlign val="superscript"/>
        <sz val="10"/>
        <color theme="1"/>
        <rFont val="Times New Roman"/>
        <family val="1"/>
      </rPr>
      <t>-1</t>
    </r>
  </si>
  <si>
    <r>
      <t>cm.</t>
    </r>
    <r>
      <rPr>
        <vertAlign val="superscript"/>
        <sz val="10"/>
        <color theme="1"/>
        <rFont val="Times New Roman"/>
        <family val="1"/>
      </rPr>
      <t>3</t>
    </r>
  </si>
  <si>
    <t>Tu max</t>
  </si>
  <si>
    <r>
      <t>1.05</t>
    </r>
    <r>
      <rPr>
        <sz val="9"/>
        <color theme="1"/>
        <rFont val="Symbol"/>
        <family val="1"/>
        <charset val="2"/>
      </rPr>
      <t>f</t>
    </r>
    <r>
      <rPr>
        <sz val="9"/>
        <color theme="1"/>
        <rFont val="Times New Roman"/>
        <family val="1"/>
      </rPr>
      <t>(fc)</t>
    </r>
    <r>
      <rPr>
        <vertAlign val="superscript"/>
        <sz val="9"/>
        <color theme="1"/>
        <rFont val="Times New Roman"/>
        <family val="1"/>
      </rPr>
      <t>0.5</t>
    </r>
    <r>
      <rPr>
        <sz val="9"/>
        <color theme="1"/>
        <rFont val="Symbol"/>
        <family val="1"/>
        <charset val="2"/>
      </rPr>
      <t>å</t>
    </r>
    <r>
      <rPr>
        <sz val="9"/>
        <color theme="1"/>
        <rFont val="Times New Roman"/>
        <family val="1"/>
      </rPr>
      <t>x²</t>
    </r>
    <r>
      <rPr>
        <b/>
        <sz val="9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((1+0.4Vu)</t>
    </r>
    <r>
      <rPr>
        <b/>
        <sz val="9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(C</t>
    </r>
    <r>
      <rPr>
        <vertAlign val="subscript"/>
        <sz val="9"/>
        <color theme="1"/>
        <rFont val="Times New Roman"/>
        <family val="1"/>
      </rPr>
      <t>t</t>
    </r>
    <r>
      <rPr>
        <sz val="9"/>
        <color theme="1"/>
        <rFont val="Times New Roman"/>
        <family val="1"/>
      </rPr>
      <t>Tu))</t>
    </r>
    <r>
      <rPr>
        <vertAlign val="superscript"/>
        <sz val="9"/>
        <color theme="1"/>
        <rFont val="Times New Roman"/>
        <family val="1"/>
      </rPr>
      <t>0.5</t>
    </r>
  </si>
  <si>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Times New Roman"/>
        <family val="1"/>
      </rPr>
      <t>Tc</t>
    </r>
  </si>
  <si>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Times New Roman"/>
        <family val="1"/>
      </rPr>
      <t>Vc</t>
    </r>
  </si>
  <si>
    <r>
      <t xml:space="preserve">Vu - øVc </t>
    </r>
    <r>
      <rPr>
        <b/>
        <i/>
        <sz val="10"/>
        <color theme="1"/>
        <rFont val="Times New Roman"/>
        <family val="1"/>
      </rPr>
      <t>/</t>
    </r>
    <r>
      <rPr>
        <sz val="10"/>
        <color theme="1"/>
        <rFont val="Times New Roman"/>
        <family val="1"/>
      </rPr>
      <t>øfyd</t>
    </r>
  </si>
  <si>
    <r>
      <t>Av</t>
    </r>
    <r>
      <rPr>
        <b/>
        <i/>
        <sz val="10"/>
        <color theme="1"/>
        <rFont val="Times New Roman"/>
        <family val="1"/>
      </rPr>
      <t>/</t>
    </r>
    <r>
      <rPr>
        <sz val="10"/>
        <color theme="1"/>
        <rFont val="Times New Roman"/>
        <family val="1"/>
      </rPr>
      <t>s</t>
    </r>
  </si>
  <si>
    <r>
      <t>cm.</t>
    </r>
    <r>
      <rPr>
        <sz val="10"/>
        <color theme="1"/>
        <rFont val="Tahoma"/>
        <family val="2"/>
      </rPr>
      <t>²</t>
    </r>
    <r>
      <rPr>
        <b/>
        <i/>
        <sz val="10"/>
        <color theme="1"/>
        <rFont val="Times New Roman"/>
        <family val="1"/>
      </rPr>
      <t>/</t>
    </r>
    <r>
      <rPr>
        <vertAlign val="subscript"/>
        <sz val="10"/>
        <color theme="1"/>
        <rFont val="Times New Roman"/>
        <family val="1"/>
      </rPr>
      <t>cm .</t>
    </r>
  </si>
  <si>
    <t>x1</t>
  </si>
  <si>
    <t>cover. (under)</t>
  </si>
  <si>
    <t>cover. (side)</t>
  </si>
  <si>
    <t>y1</t>
  </si>
  <si>
    <t>cm.</t>
  </si>
  <si>
    <r>
      <rPr>
        <sz val="14"/>
        <color theme="1"/>
        <rFont val="Symbol"/>
        <family val="1"/>
        <charset val="2"/>
      </rPr>
      <t>a</t>
    </r>
    <r>
      <rPr>
        <sz val="10"/>
        <color theme="1"/>
        <rFont val="Symbol"/>
        <family val="1"/>
        <charset val="2"/>
      </rPr>
      <t xml:space="preserve">t </t>
    </r>
  </si>
  <si>
    <r>
      <t xml:space="preserve">0.66+0.33(y1/x1) &lt; </t>
    </r>
    <r>
      <rPr>
        <sz val="10"/>
        <color rgb="FFFF0000"/>
        <rFont val="Times New Roman"/>
        <family val="1"/>
      </rPr>
      <t>1.50</t>
    </r>
  </si>
  <si>
    <r>
      <t>A</t>
    </r>
    <r>
      <rPr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/</t>
    </r>
    <r>
      <rPr>
        <sz val="10"/>
        <color theme="1"/>
        <rFont val="Times New Roman"/>
        <family val="1"/>
      </rPr>
      <t>s</t>
    </r>
  </si>
  <si>
    <r>
      <t>(Tu-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Times New Roman"/>
        <family val="1"/>
      </rPr>
      <t xml:space="preserve">Tc) 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(</t>
    </r>
    <r>
      <rPr>
        <sz val="10"/>
        <color theme="1"/>
        <rFont val="Symbol"/>
        <family val="1"/>
        <charset val="2"/>
      </rPr>
      <t>a</t>
    </r>
    <r>
      <rPr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Times New Roman"/>
        <family val="1"/>
      </rPr>
      <t>x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y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fy)</t>
    </r>
  </si>
  <si>
    <t xml:space="preserve">As req.(1leg) </t>
  </si>
  <si>
    <r>
      <t>Av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2+As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t</t>
    </r>
  </si>
  <si>
    <t>As min req.</t>
  </si>
  <si>
    <t>Comblined strirup :</t>
  </si>
  <si>
    <t>Compute the Longitudinal Reinf. for Torsion :</t>
  </si>
  <si>
    <t>Compute the strirup(2 leg) area required for shear :</t>
  </si>
  <si>
    <t>Compute the strirup area required for torsion :</t>
  </si>
  <si>
    <r>
      <t>A</t>
    </r>
    <r>
      <rPr>
        <sz val="10"/>
        <color theme="1"/>
        <rFont val="Script MT Bold"/>
        <family val="4"/>
      </rPr>
      <t xml:space="preserve">l </t>
    </r>
    <r>
      <rPr>
        <sz val="10"/>
        <color theme="1"/>
        <rFont val="Times New Roman"/>
        <family val="1"/>
      </rPr>
      <t>min</t>
    </r>
  </si>
  <si>
    <r>
      <t>A</t>
    </r>
    <r>
      <rPr>
        <sz val="10"/>
        <color theme="1"/>
        <rFont val="Script MT Bold"/>
        <family val="4"/>
      </rPr>
      <t>l</t>
    </r>
    <r>
      <rPr>
        <sz val="10"/>
        <color theme="1"/>
        <rFont val="Brush Script MT"/>
        <family val="4"/>
      </rPr>
      <t xml:space="preserve"> </t>
    </r>
    <r>
      <rPr>
        <sz val="10"/>
        <color theme="1"/>
        <rFont val="Times New Roman"/>
        <family val="1"/>
      </rPr>
      <t>req.</t>
    </r>
  </si>
  <si>
    <r>
      <t xml:space="preserve">2At </t>
    </r>
    <r>
      <rPr>
        <b/>
        <i/>
        <sz val="10"/>
        <color theme="1"/>
        <rFont val="Times New Roman"/>
        <family val="1"/>
      </rPr>
      <t>/</t>
    </r>
    <r>
      <rPr>
        <sz val="10"/>
        <color theme="1"/>
        <rFont val="Times New Roman"/>
        <family val="1"/>
      </rPr>
      <t>s(x1+x2)(fvy/fy)</t>
    </r>
  </si>
  <si>
    <r>
      <t>cm.</t>
    </r>
    <r>
      <rPr>
        <vertAlign val="superscript"/>
        <sz val="10"/>
        <color theme="1"/>
        <rFont val="Times New Roman"/>
        <family val="1"/>
      </rPr>
      <t>2</t>
    </r>
  </si>
  <si>
    <r>
      <t xml:space="preserve">(2At </t>
    </r>
    <r>
      <rPr>
        <b/>
        <i/>
        <sz val="10"/>
        <color theme="1"/>
        <rFont val="Times New Roman"/>
        <family val="1"/>
      </rPr>
      <t>/</t>
    </r>
    <r>
      <rPr>
        <sz val="10"/>
        <color theme="1"/>
        <rFont val="Times New Roman"/>
        <family val="1"/>
      </rPr>
      <t xml:space="preserve">s) 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(fvy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fy)</t>
    </r>
  </si>
  <si>
    <r>
      <t>(3.5b</t>
    </r>
    <r>
      <rPr>
        <vertAlign val="subscript"/>
        <sz val="10"/>
        <color theme="1"/>
        <rFont val="Times New Roman"/>
        <family val="1"/>
      </rPr>
      <t xml:space="preserve">w 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 xml:space="preserve">fy) 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(fvy</t>
    </r>
    <r>
      <rPr>
        <b/>
        <i/>
        <sz val="10"/>
        <color theme="1"/>
        <rFont val="Times New Roman"/>
        <family val="1"/>
      </rPr>
      <t xml:space="preserve">/ </t>
    </r>
    <r>
      <rPr>
        <sz val="10"/>
        <color theme="1"/>
        <rFont val="Times New Roman"/>
        <family val="1"/>
      </rPr>
      <t>fy)</t>
    </r>
  </si>
  <si>
    <r>
      <t xml:space="preserve">As req. </t>
    </r>
    <r>
      <rPr>
        <sz val="10"/>
        <color rgb="FFFF0000"/>
        <rFont val="Times New Roman"/>
        <family val="1"/>
      </rPr>
      <t>Strirup</t>
    </r>
  </si>
  <si>
    <t>Prov. Strirup spacing @</t>
  </si>
  <si>
    <t>øVc</t>
  </si>
  <si>
    <t>øVc/2</t>
  </si>
  <si>
    <t>Vu-øVc</t>
  </si>
  <si>
    <r>
      <t>2.1øfc</t>
    </r>
    <r>
      <rPr>
        <vertAlign val="super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>bd</t>
    </r>
  </si>
  <si>
    <r>
      <t>øVc=0.53øfc</t>
    </r>
    <r>
      <rPr>
        <vertAlign val="superscript"/>
        <sz val="9"/>
        <color theme="1"/>
        <rFont val="Times New Roman"/>
        <family val="1"/>
      </rPr>
      <t>0.5</t>
    </r>
    <r>
      <rPr>
        <sz val="9"/>
        <color theme="1"/>
        <rFont val="Times New Roman"/>
        <family val="1"/>
      </rPr>
      <t>bd</t>
    </r>
  </si>
  <si>
    <t>spacing</t>
  </si>
  <si>
    <r>
      <t>1.1øfc</t>
    </r>
    <r>
      <rPr>
        <vertAlign val="superscript"/>
        <sz val="10"/>
        <color theme="1"/>
        <rFont val="Times New Roman"/>
        <family val="1"/>
      </rPr>
      <t>0.5</t>
    </r>
    <r>
      <rPr>
        <sz val="10"/>
        <color theme="1"/>
        <rFont val="Times New Roman"/>
        <family val="1"/>
      </rPr>
      <t>bd</t>
    </r>
  </si>
  <si>
    <t>Vu&gt;øVc</t>
  </si>
  <si>
    <t>Case.</t>
  </si>
  <si>
    <t xml:space="preserve">Shear and Torsion Reign. For Strirup  </t>
  </si>
  <si>
    <t>Shear Reignforced Design : Strirup (Torsion Reign. Needless)</t>
  </si>
  <si>
    <r>
      <t xml:space="preserve">Load                    </t>
    </r>
    <r>
      <rPr>
        <b/>
        <sz val="10"/>
        <color theme="1"/>
        <rFont val="Times New Roman"/>
        <family val="1"/>
      </rPr>
      <t xml:space="preserve"> :</t>
    </r>
  </si>
  <si>
    <r>
      <rPr>
        <sz val="12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max  =</t>
    </r>
  </si>
  <si>
    <r>
      <rPr>
        <sz val="12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min   =</t>
    </r>
  </si>
  <si>
    <t>x</t>
  </si>
  <si>
    <t>y</t>
  </si>
  <si>
    <t>b =</t>
  </si>
  <si>
    <t>h =</t>
  </si>
  <si>
    <t>cm</t>
  </si>
  <si>
    <t>cover under,top</t>
  </si>
  <si>
    <t>cover side</t>
  </si>
  <si>
    <t>x &gt;2.5cm.</t>
  </si>
  <si>
    <t>x &gt; øDB</t>
  </si>
  <si>
    <t>spacing steel</t>
  </si>
  <si>
    <t>line</t>
  </si>
  <si>
    <t>b-cover.</t>
  </si>
  <si>
    <t>y (col.1)</t>
  </si>
  <si>
    <t>y(col.2)</t>
  </si>
  <si>
    <t>No.</t>
  </si>
  <si>
    <r>
      <t>size stone biggest 3"/4'</t>
    </r>
    <r>
      <rPr>
        <sz val="8"/>
        <color rgb="FFFF0000"/>
        <rFont val="Times New Roman"/>
        <family val="1"/>
      </rPr>
      <t>x</t>
    </r>
    <r>
      <rPr>
        <sz val="8"/>
        <color theme="1"/>
        <rFont val="Times New Roman"/>
        <family val="1"/>
      </rPr>
      <t xml:space="preserve"> 1.34</t>
    </r>
  </si>
  <si>
    <t>y(col.3)</t>
  </si>
  <si>
    <t>As'</t>
  </si>
  <si>
    <t>As</t>
  </si>
  <si>
    <t>y col. 1</t>
  </si>
  <si>
    <t>y col. 2</t>
  </si>
  <si>
    <t>y col. 3</t>
  </si>
  <si>
    <r>
      <t xml:space="preserve">spacing Provide </t>
    </r>
    <r>
      <rPr>
        <b/>
        <sz val="9"/>
        <color theme="1"/>
        <rFont val="Times New Roman"/>
        <family val="1"/>
      </rPr>
      <t>:</t>
    </r>
  </si>
  <si>
    <t>y col.4</t>
  </si>
  <si>
    <t>y col.5</t>
  </si>
  <si>
    <t>y col.6</t>
  </si>
  <si>
    <r>
      <t>Row</t>
    </r>
    <r>
      <rPr>
        <b/>
        <sz val="9"/>
        <color theme="1"/>
        <rFont val="Times New Roman"/>
        <family val="1"/>
      </rPr>
      <t>:</t>
    </r>
    <r>
      <rPr>
        <sz val="9"/>
        <color theme="1"/>
        <rFont val="Times New Roman"/>
        <family val="1"/>
      </rPr>
      <t>No.Provide</t>
    </r>
  </si>
  <si>
    <t>y col.7</t>
  </si>
  <si>
    <t>y col.8</t>
  </si>
  <si>
    <t>y col.9</t>
  </si>
  <si>
    <t>y col.10</t>
  </si>
  <si>
    <t>sum:</t>
  </si>
  <si>
    <t>line.</t>
  </si>
  <si>
    <t>y'</t>
  </si>
  <si>
    <t>spacing provide y'</t>
  </si>
  <si>
    <t>x'</t>
  </si>
  <si>
    <t>h-cover under</t>
  </si>
  <si>
    <r>
      <rPr>
        <sz val="11"/>
        <color theme="1"/>
        <rFont val="Symbol"/>
        <family val="1"/>
        <charset val="2"/>
      </rPr>
      <t xml:space="preserve"> r</t>
    </r>
    <r>
      <rPr>
        <vertAlign val="subscript"/>
        <sz val="10"/>
        <color theme="1"/>
        <rFont val="Times New Roman"/>
        <family val="1"/>
      </rPr>
      <t>b     =</t>
    </r>
  </si>
  <si>
    <t>sum</t>
  </si>
  <si>
    <t>strirup</t>
  </si>
  <si>
    <t>beam</t>
  </si>
  <si>
    <t>dimension Y</t>
  </si>
  <si>
    <t>dimension x</t>
  </si>
  <si>
    <t>spacing provide</t>
  </si>
  <si>
    <t>Column</t>
  </si>
  <si>
    <t>x &gt;=2.5cm.</t>
  </si>
  <si>
    <r>
      <t>x &gt;= size stone biggest 3"/4'</t>
    </r>
    <r>
      <rPr>
        <sz val="10"/>
        <color rgb="FFFF0000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1.34</t>
    </r>
  </si>
  <si>
    <t>As      =</t>
  </si>
  <si>
    <t>As'     =</t>
  </si>
  <si>
    <t>Strirup spacing@=</t>
  </si>
  <si>
    <t>Preecha Soontonpukdi</t>
  </si>
  <si>
    <t>y=</t>
  </si>
  <si>
    <t>No. prov.</t>
  </si>
  <si>
    <t>Design Beam  ( Doubly , Singly  By Stength Design Method )</t>
  </si>
  <si>
    <t>By</t>
  </si>
  <si>
    <t xml:space="preserve"> Civil Department</t>
  </si>
  <si>
    <t xml:space="preserve"> South East Asia University</t>
  </si>
  <si>
    <r>
      <t>compute sheet for</t>
    </r>
    <r>
      <rPr>
        <b/>
        <sz val="10"/>
        <color rgb="FF002060"/>
        <rFont val="Times New Roman"/>
        <family val="1"/>
      </rPr>
      <t xml:space="preserve"> : </t>
    </r>
    <r>
      <rPr>
        <sz val="10"/>
        <color rgb="FF002060"/>
        <rFont val="Times New Roman"/>
        <family val="1"/>
      </rPr>
      <t xml:space="preserve">Reignforced Concrete Design </t>
    </r>
  </si>
  <si>
    <r>
      <t>date</t>
    </r>
    <r>
      <rPr>
        <b/>
        <sz val="10"/>
        <color rgb="FF002060"/>
        <rFont val="Times New Roman"/>
        <family val="1"/>
      </rPr>
      <t xml:space="preserve"> :</t>
    </r>
    <r>
      <rPr>
        <sz val="10"/>
        <color rgb="FF002060"/>
        <rFont val="Times New Roman"/>
        <family val="1"/>
      </rPr>
      <t xml:space="preserve"> 15</t>
    </r>
    <r>
      <rPr>
        <b/>
        <sz val="10"/>
        <color rgb="FF002060"/>
        <rFont val="Times New Roman"/>
        <family val="1"/>
      </rPr>
      <t>/</t>
    </r>
    <r>
      <rPr>
        <sz val="10"/>
        <color rgb="FF002060"/>
        <rFont val="Times New Roman"/>
        <family val="1"/>
      </rPr>
      <t>4</t>
    </r>
    <r>
      <rPr>
        <b/>
        <sz val="10"/>
        <color rgb="FF002060"/>
        <rFont val="Times New Roman"/>
        <family val="1"/>
      </rPr>
      <t>/</t>
    </r>
    <r>
      <rPr>
        <sz val="10"/>
        <color rgb="FF002060"/>
        <rFont val="Times New Roman"/>
        <family val="1"/>
      </rPr>
      <t>2010</t>
    </r>
  </si>
  <si>
    <t>End Compute</t>
  </si>
  <si>
    <t>a=(As/fy)/(0.85*fc'b)</t>
  </si>
  <si>
    <t>d-c=</t>
  </si>
  <si>
    <t>Es</t>
  </si>
  <si>
    <r>
      <rPr>
        <sz val="12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=As/bd</t>
    </r>
  </si>
  <si>
    <r>
      <rPr>
        <sz val="12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max =</t>
    </r>
  </si>
  <si>
    <r>
      <rPr>
        <sz val="12"/>
        <color theme="1"/>
        <rFont val="Symbol"/>
        <family val="1"/>
        <charset val="2"/>
      </rPr>
      <t>r</t>
    </r>
    <r>
      <rPr>
        <vertAlign val="subscript"/>
        <sz val="10"/>
        <color theme="1"/>
        <rFont val="Times New Roman"/>
        <family val="1"/>
      </rPr>
      <t>min =</t>
    </r>
  </si>
  <si>
    <t>Es =</t>
  </si>
  <si>
    <t>Ec =</t>
  </si>
  <si>
    <t>Ey =</t>
  </si>
  <si>
    <t>c  =</t>
  </si>
  <si>
    <r>
      <t>Equilibrium Equation</t>
    </r>
    <r>
      <rPr>
        <b/>
        <sz val="10"/>
        <color rgb="FFFF0000"/>
        <rFont val="Times New Roman"/>
        <family val="1"/>
      </rPr>
      <t xml:space="preserve"> :</t>
    </r>
    <r>
      <rPr>
        <sz val="10"/>
        <color theme="1"/>
        <rFont val="Times New Roman"/>
        <family val="1"/>
      </rPr>
      <t xml:space="preserve"> C=T </t>
    </r>
  </si>
  <si>
    <t>col.</t>
  </si>
  <si>
    <t>d balance  =</t>
  </si>
  <si>
    <t>ขั้นตอนในการใช้  spard sheet  Design Beam มีตังนี้</t>
  </si>
  <si>
    <t>fc'</t>
  </si>
  <si>
    <t>fy</t>
  </si>
  <si>
    <t>fvy</t>
  </si>
  <si>
    <t xml:space="preserve">ป้อนค่า มาตราฐานในการออกแบบ </t>
  </si>
  <si>
    <t>ป้อน Load ที่ได้จากการคำนวณมาแล้ว</t>
  </si>
  <si>
    <t>หาค่า r โดยการประมาณ แนะนำให้ ใช้  0.5 rb</t>
  </si>
  <si>
    <t>cover under and top</t>
  </si>
  <si>
    <t>ป้อนค่า colunm คือจำนวนของแถวของเหล็กเสริมที่วางลงไป  โดยโปรแกรมจะคำนวณหาระยะห่างในการว่างเหล็กเสริมให้ด้วย</t>
  </si>
  <si>
    <t>โดยสามารถใส่จำนวนแถวของเหล็กเสริมได้ 10  แถว เพื่อจัดเหล็กให้เป็นระเบียบโดยเทียบจากคานที่ขนาดความกว้างต่ำสุดคือ คานขนาด15x30</t>
  </si>
  <si>
    <t>โดยตามข้อกำหนดระยะห่างในการวางเหล็กเสริมต้องไม่น้อยกว่า 2.5 ซมหรือ ขนาด3/4 เท่าของขนาดหินโตสุด โดยคานกว้างขนาด 15 cm.</t>
  </si>
  <si>
    <t>สามารถว่างเหล็กเสิรมได้จำนวน10 เส้นและมีระยะห่าง 2.5 cm. พอดี</t>
  </si>
  <si>
    <t>ค่าที่ต้อนป้อนมีดังนี้</t>
  </si>
  <si>
    <t>column</t>
  </si>
  <si>
    <t xml:space="preserve"> Y spacing</t>
  </si>
  <si>
    <t>ในที่นี้หมายถึงระยะห่างระยะหว่างเหล็กเสริมตามแกน Y โดยระยะห่างไม่น้อย 2.5 cm.</t>
  </si>
  <si>
    <t>เหล็กบนโดยหากเป็น Singly ขนาด Asของเหล็กจะเท่ากัน เหล็กล่าง 2เส้น คือ เพียงเอาไว้ยีดเหล็กปลอกเท่านั้นแต่หากเป็นแบบ Doublyก็สามารถ</t>
  </si>
  <si>
    <t>วางเหล็กเสริมได้ตามปกติ แต่ควรคำนึงถึง Compression Zone และ Tensile Zone ด้วย ซึ่งได้มีตารางคำนวณและกราฟแสดงไว้แล้ว</t>
  </si>
  <si>
    <t>เป็นตารางการตวรจสอบว่าการวิบัติตรงกับขั้นต้อนในการออกแบบหรือไม่</t>
  </si>
  <si>
    <r>
      <rPr>
        <b/>
        <sz val="14"/>
        <color rgb="FF002060"/>
        <rFont val="Times New Roman"/>
        <family val="1"/>
      </rPr>
      <t xml:space="preserve">     3                       </t>
    </r>
    <r>
      <rPr>
        <sz val="10"/>
        <color theme="1"/>
        <rFont val="Times New Roman"/>
        <family val="1"/>
      </rPr>
      <t>Check</t>
    </r>
  </si>
  <si>
    <t>ขนาดของคานและระยะหุ้มคอนกรีต</t>
  </si>
  <si>
    <t>คือตารางแสดงการออกแบบเหล็กเสริมรับแรงเฉือนซึ่งได้ออกแบบตามเงื่อนไขทุกประการ</t>
  </si>
  <si>
    <t>ตารงที่4</t>
  </si>
  <si>
    <t>ตารางที่ 1 เป็นตารางที่ใช้ป้อนจำนวนเหล็กเสริมใช้สำหรับออกแบบทั้ง แบบ Singly และ Doubly โดยหากมี Torsion ก็ใช้ตารางนี้เช่นเดี่ยวกันโดยหลักการออกแบบเหล็กเสริมรับแรงบิด</t>
  </si>
  <si>
    <t>ต้องมี As ของ Torsion Reinfored อยู่ทุกมุมของคาน แต่ได้แยกตารางออกแบบเหล็กปลอกไว้ 2 แบบคือ Shear Forced อย่างเดียว กับ ที่มี Torsion Forced ร่วมด้วย</t>
  </si>
  <si>
    <t>สว่นของการคำนวณหา As ของ Torsion นั้นมีขั้นตอนในการตรวจสอบดั้งนี้</t>
  </si>
  <si>
    <t>Tu&gt;Tumin ต้องออกแบบเหล็กเสริมต้านแรงบิด</t>
  </si>
  <si>
    <t>Tu&gt;Tu max ต้องเปลี่ยนขนาดคาน</t>
  </si>
  <si>
    <t>ด้วยหากมีค่าเกิน 1.50 ต้องต้องพิจารณาที่ระยะหุ้มคอนกรีต ( cover )  หากเปลี่ญนแล้วยังมากกว่า 1.50 อยู่ให้เปลี่ยนขนาดของคาน</t>
  </si>
  <si>
    <t>และหากมีข้อผิดพลาดช่วยแนะนำด้วยนะครับจะขอบคุณมากๆเลยครับ</t>
  </si>
  <si>
    <t>หากมีข้อผิดพลาดประการใดก็ขออภัยมา ณ ที่นี้ด้วยครับ</t>
  </si>
  <si>
    <r>
      <rPr>
        <sz val="16"/>
        <color theme="1"/>
        <rFont val="Symbol"/>
        <family val="1"/>
        <charset val="2"/>
      </rPr>
      <t>f</t>
    </r>
    <r>
      <rPr>
        <sz val="16"/>
        <color theme="1"/>
        <rFont val="AngsanaUPC"/>
        <family val="2"/>
        <charset val="222"/>
      </rPr>
      <t>b</t>
    </r>
  </si>
  <si>
    <r>
      <rPr>
        <sz val="16"/>
        <color theme="1"/>
        <rFont val="Symbol"/>
        <family val="1"/>
        <charset val="2"/>
      </rPr>
      <t>f</t>
    </r>
    <r>
      <rPr>
        <sz val="16"/>
        <color theme="1"/>
        <rFont val="AngsanaUPC"/>
        <family val="2"/>
        <charset val="222"/>
      </rPr>
      <t>v</t>
    </r>
  </si>
  <si>
    <r>
      <t xml:space="preserve">หากต้องออกแบบต้องพิจารณาที่ค่า  </t>
    </r>
    <r>
      <rPr>
        <sz val="16"/>
        <color theme="1"/>
        <rFont val="Symbol"/>
        <family val="1"/>
        <charset val="2"/>
      </rPr>
      <t xml:space="preserve"> a</t>
    </r>
    <r>
      <rPr>
        <sz val="16"/>
        <color theme="1"/>
        <rFont val="AngsanaUPC"/>
        <family val="2"/>
        <charset val="222"/>
      </rPr>
      <t xml:space="preserve">t </t>
    </r>
  </si>
  <si>
    <t>สว่นค่าที่ป้อนเหมือน As คือ Colunm และ    Y  Spacing</t>
  </si>
  <si>
    <t>โดย Compression Zone คือ C และ Tensile Zone คือ D-C</t>
  </si>
  <si>
    <t>sum  =</t>
  </si>
  <si>
    <t>Ecu</t>
  </si>
  <si>
    <t>na</t>
  </si>
  <si>
    <t>ecu</t>
  </si>
  <si>
    <t>EY</t>
  </si>
  <si>
    <t>Ey</t>
  </si>
  <si>
    <t>EC</t>
  </si>
  <si>
    <t>\</t>
  </si>
  <si>
    <t>ในโปรแกรมตัวนี้ได้ใช้ค่า D balance จริงเป็นตัวกำหนดในการออกแบบ โดยเทียบจากการจัดเหล็กในสภาพจริงโดยผู้ใช้สามารถกำหนดชั้นของเหล็กและระยะห่างได้</t>
  </si>
  <si>
    <t>โดยมีขั้นตอนในการป้อนข้อมูลดังนี้</t>
  </si>
  <si>
    <t>Torsion Reinforced Needless</t>
  </si>
  <si>
    <t>Change as Beam size</t>
  </si>
  <si>
    <t>(หมายเหตุ ตั้งค่า   Prov  No. ให้เป็น 0 ก่อนเพราะจะทำให้ค่า As ไม่เคลื่อน เนื่องจากค่า d ที่ใช้เป็น d balance ที่ได้มาจากการวางเหล็กเสิรมจริง)</t>
  </si>
</sst>
</file>

<file path=xl/styles.xml><?xml version="1.0" encoding="utf-8"?>
<styleSheet xmlns="http://schemas.openxmlformats.org/spreadsheetml/2006/main">
  <numFmts count="5">
    <numFmt numFmtId="187" formatCode="0.00\ &quot;cm.&quot;"/>
    <numFmt numFmtId="188" formatCode="&quot;@&quot;\ 0.00\ &quot;cm.&quot;"/>
    <numFmt numFmtId="189" formatCode="0\ &quot;mm.&quot;"/>
    <numFmt numFmtId="190" formatCode="0.00000"/>
    <numFmt numFmtId="191" formatCode="0.0000"/>
  </numFmts>
  <fonts count="51">
    <font>
      <sz val="16"/>
      <color theme="1"/>
      <name val="AngsanaUPC"/>
      <family val="2"/>
      <charset val="222"/>
    </font>
    <font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vertAlign val="subscript"/>
      <sz val="10"/>
      <color theme="1"/>
      <name val="Symbol"/>
      <family val="1"/>
      <charset val="2"/>
    </font>
    <font>
      <sz val="10"/>
      <color rgb="FF0070C0"/>
      <name val="Times New Roman"/>
      <family val="1"/>
    </font>
    <font>
      <vertAlign val="subscript"/>
      <sz val="10"/>
      <color theme="1"/>
      <name val="Times New Roman"/>
      <family val="1"/>
    </font>
    <font>
      <sz val="12"/>
      <color theme="1"/>
      <name val="Symbol"/>
      <family val="1"/>
      <charset val="2"/>
    </font>
    <font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ahoma"/>
      <family val="2"/>
    </font>
    <font>
      <sz val="10"/>
      <color rgb="FFFF0000"/>
      <name val="Symbol"/>
      <family val="1"/>
      <charset val="2"/>
    </font>
    <font>
      <vertAlign val="superscript"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9"/>
      <color theme="1"/>
      <name val="Symbol"/>
      <family val="1"/>
      <charset val="2"/>
    </font>
    <font>
      <vertAlign val="superscript"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Arial"/>
      <family val="2"/>
    </font>
    <font>
      <sz val="14"/>
      <color theme="1"/>
      <name val="Symbol"/>
      <family val="1"/>
      <charset val="2"/>
    </font>
    <font>
      <sz val="10"/>
      <color theme="1"/>
      <name val="Brush Script MT"/>
      <family val="4"/>
    </font>
    <font>
      <sz val="10"/>
      <color theme="1"/>
      <name val="Script MT Bold"/>
      <family val="4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2060"/>
      <name val="Times New Roman"/>
      <family val="1"/>
    </font>
    <font>
      <sz val="8"/>
      <color theme="1"/>
      <name val="Times New Roman"/>
      <family val="1"/>
    </font>
    <font>
      <sz val="16"/>
      <color theme="1"/>
      <name val="Angsana News"/>
      <family val="1"/>
    </font>
    <font>
      <b/>
      <sz val="10"/>
      <color rgb="FF00B0F0"/>
      <name val="Times New Roman"/>
      <family val="1"/>
    </font>
    <font>
      <sz val="8"/>
      <color rgb="FFFF0000"/>
      <name val="Times New Roman"/>
      <family val="1"/>
    </font>
    <font>
      <sz val="9"/>
      <color theme="1" tint="4.9989318521683403E-2"/>
      <name val="Times New Roman"/>
      <family val="1"/>
    </font>
    <font>
      <sz val="10"/>
      <color theme="1" tint="4.9989318521683403E-2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u/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0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2"/>
      <color rgb="FF00206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002060"/>
      <name val="Times New Roman"/>
      <family val="1"/>
    </font>
    <font>
      <sz val="16"/>
      <color theme="1"/>
      <name val="Symbol"/>
      <family val="1"/>
      <charset val="2"/>
    </font>
    <font>
      <sz val="16"/>
      <color rgb="FFFF0000"/>
      <name val="AngsanaUPC"/>
      <family val="2"/>
      <charset val="222"/>
    </font>
    <font>
      <sz val="16"/>
      <color rgb="FFFF0000"/>
      <name val="AngsanaUPC"/>
      <family val="1"/>
      <charset val="222"/>
    </font>
    <font>
      <sz val="14"/>
      <color rgb="FFFF0000"/>
      <name val="AngsanaUPC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rgb="FFFF0000"/>
      </bottom>
      <diagonal/>
    </border>
    <border>
      <left/>
      <right/>
      <top style="dashed">
        <color rgb="FFFF0000"/>
      </top>
      <bottom style="dashed">
        <color rgb="FFFF0000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2" fillId="0" borderId="0" xfId="0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/>
    <xf numFmtId="0" fontId="1" fillId="0" borderId="9" xfId="0" applyFont="1" applyBorder="1"/>
    <xf numFmtId="0" fontId="5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2" fontId="1" fillId="0" borderId="7" xfId="0" applyNumberFormat="1" applyFont="1" applyBorder="1"/>
    <xf numFmtId="0" fontId="26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9" fillId="0" borderId="4" xfId="0" applyFont="1" applyBorder="1"/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2" fillId="0" borderId="0" xfId="0" applyFont="1" applyBorder="1" applyAlignment="1">
      <alignment horizontal="left"/>
    </xf>
    <xf numFmtId="0" fontId="22" fillId="0" borderId="0" xfId="0" applyFont="1" applyBorder="1"/>
    <xf numFmtId="0" fontId="1" fillId="0" borderId="15" xfId="0" applyFont="1" applyBorder="1" applyAlignment="1">
      <alignment vertical="center"/>
    </xf>
    <xf numFmtId="0" fontId="1" fillId="0" borderId="15" xfId="0" applyFont="1" applyBorder="1"/>
    <xf numFmtId="0" fontId="1" fillId="0" borderId="15" xfId="0" applyFont="1" applyBorder="1" applyAlignment="1"/>
    <xf numFmtId="0" fontId="2" fillId="0" borderId="0" xfId="0" applyFont="1" applyBorder="1"/>
    <xf numFmtId="0" fontId="21" fillId="0" borderId="0" xfId="0" applyFont="1" applyBorder="1"/>
    <xf numFmtId="0" fontId="29" fillId="0" borderId="0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 applyAlignment="1"/>
    <xf numFmtId="0" fontId="1" fillId="0" borderId="21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0" fontId="1" fillId="0" borderId="20" xfId="0" applyFont="1" applyBorder="1" applyAlignment="1">
      <alignment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28" fillId="0" borderId="0" xfId="0" applyFont="1" applyBorder="1"/>
    <xf numFmtId="0" fontId="8" fillId="0" borderId="0" xfId="0" applyFont="1"/>
    <xf numFmtId="0" fontId="16" fillId="0" borderId="4" xfId="0" applyFont="1" applyBorder="1"/>
    <xf numFmtId="0" fontId="16" fillId="0" borderId="5" xfId="0" applyFont="1" applyBorder="1"/>
    <xf numFmtId="0" fontId="1" fillId="0" borderId="11" xfId="0" applyFont="1" applyBorder="1"/>
    <xf numFmtId="0" fontId="30" fillId="0" borderId="0" xfId="0" applyFont="1"/>
    <xf numFmtId="0" fontId="32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0" fillId="0" borderId="5" xfId="0" applyFont="1" applyBorder="1"/>
    <xf numFmtId="0" fontId="12" fillId="0" borderId="0" xfId="0" applyFont="1"/>
    <xf numFmtId="0" fontId="1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6" fillId="0" borderId="0" xfId="0" applyFont="1"/>
    <xf numFmtId="0" fontId="1" fillId="0" borderId="9" xfId="0" applyFont="1" applyBorder="1" applyAlignment="1"/>
    <xf numFmtId="0" fontId="8" fillId="2" borderId="1" xfId="0" applyFont="1" applyFill="1" applyBorder="1"/>
    <xf numFmtId="0" fontId="1" fillId="0" borderId="12" xfId="0" applyFont="1" applyBorder="1"/>
    <xf numFmtId="0" fontId="12" fillId="0" borderId="0" xfId="0" applyFont="1" applyAlignment="1">
      <alignment horizontal="left"/>
    </xf>
    <xf numFmtId="0" fontId="1" fillId="0" borderId="1" xfId="0" applyFont="1" applyBorder="1" applyAlignment="1"/>
    <xf numFmtId="0" fontId="28" fillId="0" borderId="1" xfId="0" applyFont="1" applyBorder="1" applyAlignment="1">
      <alignment horizontal="center"/>
    </xf>
    <xf numFmtId="0" fontId="38" fillId="0" borderId="0" xfId="0" applyFont="1"/>
    <xf numFmtId="0" fontId="28" fillId="0" borderId="1" xfId="0" applyFont="1" applyBorder="1"/>
    <xf numFmtId="0" fontId="37" fillId="0" borderId="1" xfId="0" applyFont="1" applyFill="1" applyBorder="1"/>
    <xf numFmtId="0" fontId="10" fillId="0" borderId="0" xfId="0" applyFont="1"/>
    <xf numFmtId="0" fontId="40" fillId="0" borderId="0" xfId="0" applyFont="1"/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9" xfId="0" applyFont="1" applyFill="1" applyBorder="1"/>
    <xf numFmtId="0" fontId="1" fillId="3" borderId="11" xfId="0" applyFont="1" applyFill="1" applyBorder="1"/>
    <xf numFmtId="0" fontId="37" fillId="3" borderId="9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2" fontId="1" fillId="0" borderId="0" xfId="0" applyNumberFormat="1" applyFont="1" applyBorder="1"/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0" fontId="41" fillId="4" borderId="29" xfId="0" applyFont="1" applyFill="1" applyBorder="1" applyAlignment="1">
      <alignment vertical="center"/>
    </xf>
    <xf numFmtId="0" fontId="41" fillId="4" borderId="30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42" fillId="4" borderId="33" xfId="0" applyFont="1" applyFill="1" applyBorder="1" applyAlignment="1">
      <alignment vertical="center"/>
    </xf>
    <xf numFmtId="0" fontId="41" fillId="4" borderId="34" xfId="0" applyFont="1" applyFill="1" applyBorder="1" applyAlignment="1">
      <alignment vertical="center"/>
    </xf>
    <xf numFmtId="0" fontId="41" fillId="4" borderId="35" xfId="0" applyFont="1" applyFill="1" applyBorder="1" applyAlignment="1">
      <alignment vertical="center"/>
    </xf>
    <xf numFmtId="0" fontId="42" fillId="4" borderId="28" xfId="0" applyFont="1" applyFill="1" applyBorder="1" applyAlignment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 applyAlignment="1">
      <alignment horizontal="center"/>
    </xf>
    <xf numFmtId="0" fontId="12" fillId="4" borderId="9" xfId="0" applyFont="1" applyFill="1" applyBorder="1"/>
    <xf numFmtId="0" fontId="12" fillId="4" borderId="10" xfId="0" applyFont="1" applyFill="1" applyBorder="1"/>
    <xf numFmtId="0" fontId="1" fillId="4" borderId="11" xfId="0" applyFont="1" applyFill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0" xfId="0" applyFont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2" fontId="5" fillId="0" borderId="26" xfId="0" applyNumberFormat="1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39" fillId="0" borderId="25" xfId="0" applyFont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41" fillId="0" borderId="0" xfId="0" applyFont="1" applyBorder="1"/>
    <xf numFmtId="0" fontId="41" fillId="0" borderId="0" xfId="0" applyFont="1"/>
    <xf numFmtId="190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5" xfId="0" applyNumberFormat="1" applyFont="1" applyBorder="1"/>
    <xf numFmtId="0" fontId="41" fillId="0" borderId="5" xfId="0" applyFont="1" applyBorder="1"/>
    <xf numFmtId="0" fontId="1" fillId="0" borderId="15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left"/>
    </xf>
    <xf numFmtId="0" fontId="8" fillId="0" borderId="0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28" fillId="0" borderId="0" xfId="0" applyFont="1" applyFill="1" applyBorder="1"/>
    <xf numFmtId="0" fontId="41" fillId="0" borderId="13" xfId="0" applyFont="1" applyBorder="1"/>
    <xf numFmtId="0" fontId="1" fillId="4" borderId="1" xfId="0" applyFont="1" applyFill="1" applyBorder="1" applyAlignment="1">
      <alignment horizontal="center"/>
    </xf>
    <xf numFmtId="0" fontId="45" fillId="0" borderId="0" xfId="0" applyFont="1" applyBorder="1"/>
    <xf numFmtId="0" fontId="45" fillId="0" borderId="0" xfId="0" applyFont="1"/>
    <xf numFmtId="0" fontId="10" fillId="0" borderId="0" xfId="0" applyFont="1" applyBorder="1"/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15" xfId="0" applyBorder="1"/>
    <xf numFmtId="0" fontId="0" fillId="0" borderId="37" xfId="0" applyBorder="1"/>
    <xf numFmtId="0" fontId="0" fillId="0" borderId="0" xfId="0" applyBorder="1"/>
    <xf numFmtId="0" fontId="1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9" fillId="0" borderId="34" xfId="0" applyFont="1" applyBorder="1" applyAlignment="1">
      <alignment horizontal="center" vertical="center"/>
    </xf>
    <xf numFmtId="187" fontId="1" fillId="0" borderId="0" xfId="0" applyNumberFormat="1" applyFont="1" applyAlignment="1">
      <alignment horizontal="center"/>
    </xf>
    <xf numFmtId="187" fontId="1" fillId="0" borderId="7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 horizontal="left"/>
    </xf>
    <xf numFmtId="189" fontId="1" fillId="0" borderId="2" xfId="0" applyNumberFormat="1" applyFont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91" fontId="1" fillId="0" borderId="1" xfId="0" applyNumberFormat="1" applyFont="1" applyBorder="1" applyAlignment="1">
      <alignment horizontal="center"/>
    </xf>
    <xf numFmtId="0" fontId="49" fillId="0" borderId="0" xfId="0" applyFont="1"/>
    <xf numFmtId="0" fontId="48" fillId="0" borderId="0" xfId="0" applyFont="1"/>
    <xf numFmtId="0" fontId="1" fillId="0" borderId="0" xfId="0" applyFont="1" applyAlignment="1" applyProtection="1">
      <alignment horizontal="center"/>
      <protection locked="0"/>
    </xf>
    <xf numFmtId="0" fontId="5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ser>
          <c:idx val="0"/>
          <c:order val="0"/>
          <c:tx>
            <c:v>steel1</c:v>
          </c:tx>
          <c:spPr>
            <a:ln w="0">
              <a:noFill/>
            </a:ln>
            <a:effectLst>
              <a:outerShdw blurRad="63500" sx="102000" sy="102000" algn="ctr" rotWithShape="0">
                <a:srgbClr val="00B0F0">
                  <a:alpha val="40000"/>
                </a:srgbClr>
              </a:outerShdw>
            </a:effectLst>
          </c:spPr>
          <c:marker>
            <c:symbol val="circle"/>
            <c:size val="4"/>
            <c:spPr>
              <a:solidFill>
                <a:srgbClr val="00B0F0"/>
              </a:solidFill>
              <a:ln w="3175" cmpd="sng">
                <a:solidFill>
                  <a:srgbClr val="0070C0"/>
                </a:solidFill>
              </a:ln>
              <a:effectLst>
                <a:outerShdw blurRad="63500" sx="102000" sy="102000" algn="ctr" rotWithShape="0">
                  <a:srgbClr val="00B0F0">
                    <a:alpha val="40000"/>
                  </a:srgbClr>
                </a:outerShdw>
              </a:effectLst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Sheet1!$BM$10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1"/>
          <c:order val="1"/>
          <c:tx>
            <c:v>beam2</c:v>
          </c:tx>
          <c:spPr>
            <a:ln w="2857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Sheet1!$CH$10:$CH$14</c:f>
              <c:numCache>
                <c:formatCode>General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85</c:v>
                </c:pt>
                <c:pt idx="3">
                  <c:v>85</c:v>
                </c:pt>
                <c:pt idx="4">
                  <c:v>30</c:v>
                </c:pt>
              </c:numCache>
            </c:numRef>
          </c:xVal>
          <c:yVal>
            <c:numRef>
              <c:f>Sheet1!$CI$10:$CI$14</c:f>
              <c:numCache>
                <c:formatCode>General</c:formatCode>
                <c:ptCount val="5"/>
                <c:pt idx="0">
                  <c:v>5</c:v>
                </c:pt>
                <c:pt idx="1">
                  <c:v>95</c:v>
                </c:pt>
                <c:pt idx="2">
                  <c:v>95</c:v>
                </c:pt>
                <c:pt idx="3">
                  <c:v>5</c:v>
                </c:pt>
                <c:pt idx="4">
                  <c:v>5</c:v>
                </c:pt>
              </c:numCache>
            </c:numRef>
          </c:yVal>
        </c:ser>
        <c:ser>
          <c:idx val="2"/>
          <c:order val="2"/>
          <c:tx>
            <c:v>strirup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Sheet1!$CH$17:$CH$21</c:f>
              <c:numCache>
                <c:formatCode>General</c:formatCode>
                <c:ptCount val="5"/>
                <c:pt idx="0">
                  <c:v>33.4</c:v>
                </c:pt>
                <c:pt idx="1">
                  <c:v>33.4</c:v>
                </c:pt>
                <c:pt idx="2">
                  <c:v>81.599999999999994</c:v>
                </c:pt>
                <c:pt idx="3">
                  <c:v>81.599999999999994</c:v>
                </c:pt>
                <c:pt idx="4">
                  <c:v>33.4</c:v>
                </c:pt>
              </c:numCache>
            </c:numRef>
          </c:xVal>
          <c:yVal>
            <c:numRef>
              <c:f>Sheet1!$CI$17:$CI$21</c:f>
              <c:numCache>
                <c:formatCode>General</c:formatCode>
                <c:ptCount val="5"/>
                <c:pt idx="0">
                  <c:v>7.5</c:v>
                </c:pt>
                <c:pt idx="1">
                  <c:v>92.5</c:v>
                </c:pt>
                <c:pt idx="2">
                  <c:v>92.5</c:v>
                </c:pt>
                <c:pt idx="3">
                  <c:v>7.5</c:v>
                </c:pt>
                <c:pt idx="4">
                  <c:v>7.5</c:v>
                </c:pt>
              </c:numCache>
            </c:numRef>
          </c:yVal>
        </c:ser>
        <c:ser>
          <c:idx val="3"/>
          <c:order val="3"/>
          <c:tx>
            <c:v>steel2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Sheet1!$BM$11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4"/>
          <c:order val="4"/>
          <c:tx>
            <c:v>steel3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Sheet1!$BM$12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5"/>
          <c:order val="5"/>
          <c:tx>
            <c:v>steel4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Sheet1!$BM$13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6"/>
          <c:order val="6"/>
          <c:tx>
            <c:v>steel5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Sheet1!$BM$14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42"/>
          <c:order val="7"/>
          <c:tx>
            <c:v>steel 1colum3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 cap="flat">
                <a:solidFill>
                  <a:srgbClr val="0070C0"/>
                </a:solidFill>
                <a:round/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Sheet1!$BQ$10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22"/>
          <c:order val="8"/>
          <c:tx>
            <c:v>steel1 row 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Sheet1!$BO$10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23"/>
          <c:order val="9"/>
          <c:tx>
            <c:v>steel row2 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Sheet1!$BO$11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24"/>
          <c:order val="10"/>
          <c:tx>
            <c:v>steel row2 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Sheet1!$BO$12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25"/>
          <c:order val="11"/>
          <c:tx>
            <c:v>steel row2 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Sheet1!$BO$13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26"/>
          <c:order val="12"/>
          <c:tx>
            <c:v>steel row2 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Sheet1!$BO$14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43"/>
          <c:order val="13"/>
          <c:tx>
            <c:v>col3 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 w="9525">
                <a:solidFill>
                  <a:srgbClr val="4F81BD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Sheet1!$BQ$11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44"/>
          <c:order val="14"/>
          <c:tx>
            <c:v>col3 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Sheet1!$BQ$12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45"/>
          <c:order val="15"/>
          <c:tx>
            <c:v>col3-4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Sheet1!$BQ$13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46"/>
          <c:order val="16"/>
          <c:tx>
            <c:v>col3-5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Sheet1!$BQ$14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62"/>
          <c:order val="17"/>
          <c:tx>
            <c:v>As' col1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Sheet1!$BM$33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3"/>
          <c:order val="18"/>
          <c:tx>
            <c:v>As' col2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Sheet1!$BM$34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4"/>
          <c:order val="19"/>
          <c:tx>
            <c:v>As' col3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Sheet1!$BM$35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5"/>
          <c:order val="20"/>
          <c:tx>
            <c:v>As' col4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Sheet1!$BM$36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6"/>
          <c:order val="21"/>
          <c:tx>
            <c:v>As' col1,5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Sheet1!$BM$37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7"/>
          <c:order val="22"/>
          <c:tx>
            <c:v>As' col1,6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Sheet1!$BM$38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8"/>
          <c:order val="23"/>
          <c:tx>
            <c:v>As' col1,7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Sheet1!$BM$39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69"/>
          <c:order val="24"/>
          <c:tx>
            <c:v>As' col1,8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Sheet1!$BM$40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70"/>
          <c:order val="25"/>
          <c:tx>
            <c:v>As' col1,9</c:v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Sheet1!$BM$41</c:f>
              <c:numCache>
                <c:formatCode>General</c:formatCode>
                <c:ptCount val="1"/>
                <c:pt idx="0">
                  <c:v>92</c:v>
                </c:pt>
              </c:numCache>
            </c:numRef>
          </c:yVal>
        </c:ser>
        <c:ser>
          <c:idx val="71"/>
          <c:order val="26"/>
          <c:tx>
            <c:v>As' col1,10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Sheet1!$BM$42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82"/>
          <c:order val="27"/>
          <c:tx>
            <c:v>As' col2,1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Sheet1!$BO$33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3"/>
          <c:order val="28"/>
          <c:tx>
            <c:v>As' col2,2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Sheet1!$BO$34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4"/>
          <c:order val="29"/>
          <c:tx>
            <c:v>As' col2,3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Sheet1!$BO$35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5"/>
          <c:order val="30"/>
          <c:tx>
            <c:v>As' col2,4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Sheet1!$BO$36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6"/>
          <c:order val="31"/>
          <c:tx>
            <c:v>As' col2,5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Sheet1!$BO$37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7"/>
          <c:order val="32"/>
          <c:tx>
            <c:v>As' col2,6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Sheet1!$BO$38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8"/>
          <c:order val="33"/>
          <c:tx>
            <c:v>As' col2,7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Sheet1!$BO$39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89"/>
          <c:order val="34"/>
          <c:tx>
            <c:v>As' col2,8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Sheet1!$BO$40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</c:ser>
        <c:ser>
          <c:idx val="90"/>
          <c:order val="35"/>
          <c:tx>
            <c:v>As' col2,9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Sheet1!$BO$41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1"/>
          <c:order val="36"/>
          <c:tx>
            <c:v>As' col2,10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Sheet1!$BO$42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2"/>
          <c:order val="37"/>
          <c:tx>
            <c:v>As' col3,1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Sheet1!$BQ$33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3"/>
          <c:order val="38"/>
          <c:tx>
            <c:v>As' col3,2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Sheet1!$BQ$34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4"/>
          <c:order val="39"/>
          <c:tx>
            <c:v>As' col3,3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Sheet1!$BQ$35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5"/>
          <c:order val="40"/>
          <c:tx>
            <c:v>As' col3,4</c:v>
          </c:tx>
          <c:spPr>
            <a:ln w="28575">
              <a:solidFill>
                <a:srgbClr val="00B0F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Sheet1!$BQ$36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6"/>
          <c:order val="41"/>
          <c:tx>
            <c:v>As' col3,5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Sheet1!$BQ$37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7"/>
          <c:order val="42"/>
          <c:tx>
            <c:v>As' col3,6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Sheet1!$BQ$38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8"/>
          <c:order val="43"/>
          <c:tx>
            <c:v>As' col3,7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Sheet1!$BQ$39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9"/>
          <c:order val="44"/>
          <c:tx>
            <c:v>As' col3,8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Sheet1!$BQ$40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0"/>
          <c:order val="45"/>
          <c:tx>
            <c:v>As' col3,9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Sheet1!$BQ$41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1"/>
          <c:order val="46"/>
          <c:tx>
            <c:v>As' col3,10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Sheet1!$BQ$42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"/>
          <c:order val="47"/>
          <c:tx>
            <c:v>x10-y1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Sheet1!$BM$19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8"/>
          <c:order val="48"/>
          <c:tx>
            <c:v>x6-y1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Sheet1!$BM$15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9"/>
          <c:order val="49"/>
          <c:tx>
            <c:v>x7-y1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Sheet1!$BM$16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10"/>
          <c:order val="50"/>
          <c:tx>
            <c:v>x8-y1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Sheet1!$BM$17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11"/>
          <c:order val="51"/>
          <c:tx>
            <c:v>x9-y1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Sheet1!$BM$18</c:f>
              <c:numCache>
                <c:formatCode>General</c:formatCode>
                <c:ptCount val="1"/>
                <c:pt idx="0">
                  <c:v>8.1999999999999993</c:v>
                </c:pt>
              </c:numCache>
            </c:numRef>
          </c:yVal>
        </c:ser>
        <c:ser>
          <c:idx val="12"/>
          <c:order val="52"/>
          <c:tx>
            <c:v>x6-y2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Sheet1!$BO$15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13"/>
          <c:order val="53"/>
          <c:tx>
            <c:v>x7-y2</c:v>
          </c:tx>
          <c:spPr>
            <a:ln w="28575">
              <a:solidFill>
                <a:srgbClr val="00B0F0"/>
              </a:solidFill>
            </a:ln>
          </c:spPr>
          <c:marker>
            <c:symbol val="circle"/>
            <c:size val="4"/>
            <c:spPr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Sheet1!$BO$16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14"/>
          <c:order val="54"/>
          <c:tx>
            <c:v>x8-y2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Sheet1!$BO$17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15"/>
          <c:order val="55"/>
          <c:tx>
            <c:v>x9-y2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Sheet1!$BO$18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16"/>
          <c:order val="56"/>
          <c:tx>
            <c:v>x10-y2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Sheet1!$BO$19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"/>
          <c:order val="57"/>
          <c:tx>
            <c:v>x6-y3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Sheet1!$BQ$15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18"/>
          <c:order val="58"/>
          <c:tx>
            <c:v>x7-y3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Sheet1!$BQ$16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19"/>
          <c:order val="59"/>
          <c:tx>
            <c:v>x8-y3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Sheet1!$BQ$17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20"/>
          <c:order val="60"/>
          <c:tx>
            <c:v>x9-y3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Sheet1!$BQ$18</c:f>
              <c:numCache>
                <c:formatCode>General</c:formatCode>
                <c:ptCount val="1"/>
                <c:pt idx="0">
                  <c:v>15.5</c:v>
                </c:pt>
              </c:numCache>
            </c:numRef>
          </c:yVal>
        </c:ser>
        <c:ser>
          <c:idx val="21"/>
          <c:order val="61"/>
          <c:tx>
            <c:v>x10-y3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Sheet1!$BQ$19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27"/>
          <c:order val="62"/>
          <c:tx>
            <c:v>x1-y4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Sheet1!$BS$10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28"/>
          <c:order val="63"/>
          <c:tx>
            <c:v>x2-y4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Sheet1!$BS$11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29"/>
          <c:order val="64"/>
          <c:tx>
            <c:v>x5-y4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Sheet1!$BS$14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30"/>
          <c:order val="65"/>
          <c:tx>
            <c:v>x6-y4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Sheet1!$BS$15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31"/>
          <c:order val="66"/>
          <c:tx>
            <c:v>x7-y4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Sheet1!$BO$16</c:f>
              <c:numCache>
                <c:formatCode>General</c:formatCode>
                <c:ptCount val="1"/>
                <c:pt idx="0">
                  <c:v>11.5</c:v>
                </c:pt>
              </c:numCache>
            </c:numRef>
          </c:yVal>
        </c:ser>
        <c:ser>
          <c:idx val="32"/>
          <c:order val="67"/>
          <c:tx>
            <c:v>x8-y4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Sheet1!$BS$17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33"/>
          <c:order val="68"/>
          <c:tx>
            <c:v>x9-y4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Sheet1!$BS$18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34"/>
          <c:order val="69"/>
          <c:tx>
            <c:v>x10-y4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Sheet1!$BS$19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35"/>
          <c:order val="70"/>
          <c:tx>
            <c:v>x1-y4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Sheet1!$BS$33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36"/>
          <c:order val="71"/>
          <c:tx>
            <c:v>As' x2-y4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Sheet1!$BS$34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37"/>
          <c:order val="72"/>
          <c:tx>
            <c:v>As' x3-y4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Sheet1!$BS$35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38"/>
          <c:order val="73"/>
          <c:tx>
            <c:v>As' x4-y4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Sheet1!$BS$36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39"/>
          <c:order val="74"/>
          <c:tx>
            <c:v>As' x5-y4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Sheet1!$BS$37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40"/>
          <c:order val="75"/>
          <c:tx>
            <c:v>As' x6-y4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Sheet1!$BS$38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41"/>
          <c:order val="76"/>
          <c:tx>
            <c:v>As' x7-y4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Sheet1!$BS$39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47"/>
          <c:order val="77"/>
          <c:tx>
            <c:v>As' x8-y4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Sheet1!$BS$40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48"/>
          <c:order val="78"/>
          <c:tx>
            <c:v>As' x9-y4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Sheet1!$BS$41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49"/>
          <c:order val="79"/>
          <c:tx>
            <c:v>As' x10-y4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Sheet1!$BS$42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0"/>
          <c:order val="80"/>
          <c:tx>
            <c:v>As' x1-y5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Sheet1!$BU$33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1"/>
          <c:order val="81"/>
          <c:tx>
            <c:v>As' x2-y5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Sheet1!$BU$34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2"/>
          <c:order val="82"/>
          <c:tx>
            <c:v>As' x3-y5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Sheet1!$BU$35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3"/>
          <c:order val="83"/>
          <c:tx>
            <c:v>As' x14-y5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Sheet1!$BU$36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4"/>
          <c:order val="84"/>
          <c:tx>
            <c:v>As' x5-y5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Sheet1!$BU$37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5"/>
          <c:order val="85"/>
          <c:tx>
            <c:v>As' x6-y5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Sheet1!$BU$38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6"/>
          <c:order val="86"/>
          <c:tx>
            <c:v>As' x7-y5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Sheet1!$BU$39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7"/>
          <c:order val="87"/>
          <c:tx>
            <c:v>As' x8-y5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Sheet1!$BU$40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8"/>
          <c:order val="88"/>
          <c:tx>
            <c:v>As' x9-y5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Sheet1!$BU$41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59"/>
          <c:order val="89"/>
          <c:tx>
            <c:v>As' x10-y5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Sheet1!$BU$42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60"/>
          <c:order val="90"/>
          <c:tx>
            <c:v>As' y6-x1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Sheet1!$BW$33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61"/>
          <c:order val="91"/>
          <c:tx>
            <c:v>As' y6-x2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Sheet1!$BW$34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2"/>
          <c:order val="92"/>
          <c:tx>
            <c:v>As' y6-x3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Sheet1!$BW$35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3"/>
          <c:order val="93"/>
          <c:tx>
            <c:v>As' y6-x4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Sheet1!$BW$36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4"/>
          <c:order val="94"/>
          <c:tx>
            <c:v>As' y6-x5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Sheet1!$BW$37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5"/>
          <c:order val="95"/>
          <c:tx>
            <c:v>As' y6-x6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Sheet1!$BW$38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6"/>
          <c:order val="96"/>
          <c:tx>
            <c:v>As' y6-x7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Sheet1!$BW$39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7"/>
          <c:order val="97"/>
          <c:tx>
            <c:v>As' y6-x8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Sheet1!$BW$40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8"/>
          <c:order val="98"/>
          <c:tx>
            <c:v>As' y6-x9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Sheet1!$BW$41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79"/>
          <c:order val="99"/>
          <c:tx>
            <c:v>As' y6-x10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Sheet1!$BW$42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80"/>
          <c:order val="100"/>
          <c:tx>
            <c:v>As' y7x1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Sheet1!$BY$33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81"/>
          <c:order val="101"/>
          <c:tx>
            <c:v>As' y7-x2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Sheet1!$BY$34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2"/>
          <c:order val="102"/>
          <c:tx>
            <c:v>As' y7-x3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Sheet1!$BY$35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3"/>
          <c:order val="103"/>
          <c:tx>
            <c:v>As' y7-x4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Sheet1!$BY$36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4"/>
          <c:order val="104"/>
          <c:tx>
            <c:v>As' y7-x5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Sheet1!$BY$37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5"/>
          <c:order val="105"/>
          <c:tx>
            <c:v>As' y7-x6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Sheet1!$BY$38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6"/>
          <c:order val="106"/>
          <c:tx>
            <c:v>As' y7-x7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Sheet1!$BY$39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7"/>
          <c:order val="107"/>
          <c:tx>
            <c:v>As' y7-x8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Sheet1!$BY$40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8"/>
          <c:order val="108"/>
          <c:tx>
            <c:v>As' y7-x9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Sheet1!$BY$41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99"/>
          <c:order val="109"/>
          <c:tx>
            <c:v>As' y7-x10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Sheet1!$BY$42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0"/>
          <c:order val="110"/>
          <c:tx>
            <c:v>As' y8-x1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Sheet1!$CA$33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01"/>
          <c:order val="111"/>
          <c:tx>
            <c:v>As' y8-x2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Sheet1!$CA$34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2"/>
          <c:order val="112"/>
          <c:tx>
            <c:v>As' y8-x3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Sheet1!$CA$35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3"/>
          <c:order val="113"/>
          <c:tx>
            <c:v>As' y8-x4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Sheet1!$CA$36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4"/>
          <c:order val="114"/>
          <c:tx>
            <c:v>As' y8-x5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Sheet1!$CA$37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5"/>
          <c:order val="115"/>
          <c:tx>
            <c:v>As' y8-x6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Sheet1!$CA$38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6"/>
          <c:order val="116"/>
          <c:tx>
            <c:v>As' y8-x7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Sheet1!$CA$39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7"/>
          <c:order val="117"/>
          <c:tx>
            <c:v>As' y8-x8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Sheet1!$CA$40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8"/>
          <c:order val="118"/>
          <c:tx>
            <c:v>As' y8-x9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Sheet1!$CA$41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19"/>
          <c:order val="119"/>
          <c:tx>
            <c:v>As' y8-x10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Sheet1!$CA$42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0"/>
          <c:order val="120"/>
          <c:tx>
            <c:v>As' y9-x1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Sheet1!$CC$33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1"/>
          <c:order val="121"/>
          <c:tx>
            <c:v>As' y9-x2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Sheet1!$CC$34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2"/>
          <c:order val="122"/>
          <c:tx>
            <c:v>As' y9-x3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Sheet1!$CC$35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3"/>
          <c:order val="123"/>
          <c:tx>
            <c:v>As' y9-x4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Sheet1!$CC$36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4"/>
          <c:order val="124"/>
          <c:tx>
            <c:v>As' y9-x5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Sheet1!$CC$37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5"/>
          <c:order val="125"/>
          <c:tx>
            <c:v>As' y9-x6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Sheet1!$CC$38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6"/>
          <c:order val="126"/>
          <c:tx>
            <c:v>As' y9-x7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Sheet1!$CC$39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7"/>
          <c:order val="127"/>
          <c:tx>
            <c:v>As' y9-x8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Sheet1!$CC$40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8"/>
          <c:order val="128"/>
          <c:tx>
            <c:v>As' y9-x9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Sheet1!$CC$41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29"/>
          <c:order val="129"/>
          <c:tx>
            <c:v>As' y9-x10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Sheet1!$CC$42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0"/>
          <c:order val="130"/>
          <c:tx>
            <c:v>As' y10-x1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Sheet1!$BL$33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Sheet1!$CE$33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1"/>
          <c:order val="131"/>
          <c:tx>
            <c:v>As' y10-x2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Sheet1!$BL$34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Sheet1!$CE$34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2"/>
          <c:order val="132"/>
          <c:tx>
            <c:v>As' y10-x3</c:v>
          </c:tx>
          <c:spPr>
            <a:ln w="28575">
              <a:solidFill>
                <a:srgbClr val="0070C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Sheet1!$BL$35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Sheet1!$CE$35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3"/>
          <c:order val="133"/>
          <c:tx>
            <c:v>As' y10-x4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Sheet1!$BL$36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Sheet1!$CE$36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4"/>
          <c:order val="134"/>
          <c:tx>
            <c:v>As' y10-x5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Sheet1!$BL$37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Sheet1!$CE$37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5"/>
          <c:order val="135"/>
          <c:tx>
            <c:v>As' y10-x6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Sheet1!$BL$38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Sheet1!$CE$38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6"/>
          <c:order val="136"/>
          <c:tx>
            <c:v>As' y10-x7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Sheet1!$BL$39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Sheet1!$CE$39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7"/>
          <c:order val="137"/>
          <c:tx>
            <c:v>As' y10-x8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Sheet1!$BL$40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Sheet1!$CE$40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8"/>
          <c:order val="138"/>
          <c:tx>
            <c:v>As' y10-x9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Sheet1!$BL$41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Sheet1!$CE$41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39"/>
          <c:order val="139"/>
          <c:tx>
            <c:v>As' y10-x10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Sheet1!$BL$42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Sheet1!$CE$42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40"/>
          <c:order val="140"/>
          <c:tx>
            <c:v>As y5-x1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Sheet1!$BU$10</c:f>
              <c:numCache>
                <c:formatCode>General</c:formatCode>
                <c:ptCount val="1"/>
                <c:pt idx="0">
                  <c:v>23.5</c:v>
                </c:pt>
              </c:numCache>
            </c:numRef>
          </c:yVal>
        </c:ser>
        <c:ser>
          <c:idx val="141"/>
          <c:order val="141"/>
          <c:tx>
            <c:v>As y5-x2</c:v>
          </c:tx>
          <c:spPr>
            <a:ln w="28575">
              <a:solidFill>
                <a:srgbClr val="0070C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Sheet1!$BU$11</c:f>
              <c:numCache>
                <c:formatCode>General</c:formatCode>
                <c:ptCount val="1"/>
                <c:pt idx="0">
                  <c:v>23.5</c:v>
                </c:pt>
              </c:numCache>
            </c:numRef>
          </c:yVal>
        </c:ser>
        <c:ser>
          <c:idx val="142"/>
          <c:order val="142"/>
          <c:tx>
            <c:v>As y5-x3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Sheet1!$BU$12</c:f>
              <c:numCache>
                <c:formatCode>General</c:formatCode>
                <c:ptCount val="1"/>
                <c:pt idx="0">
                  <c:v>23.5</c:v>
                </c:pt>
              </c:numCache>
            </c:numRef>
          </c:yVal>
        </c:ser>
        <c:ser>
          <c:idx val="143"/>
          <c:order val="143"/>
          <c:tx>
            <c:v>As y5-x4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Sheet1!$BU$13</c:f>
              <c:numCache>
                <c:formatCode>General</c:formatCode>
                <c:ptCount val="1"/>
                <c:pt idx="0">
                  <c:v>23.5</c:v>
                </c:pt>
              </c:numCache>
            </c:numRef>
          </c:yVal>
        </c:ser>
        <c:ser>
          <c:idx val="144"/>
          <c:order val="144"/>
          <c:tx>
            <c:v>As y5-x5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Sheet1!$BU$14</c:f>
              <c:numCache>
                <c:formatCode>General</c:formatCode>
                <c:ptCount val="1"/>
                <c:pt idx="0">
                  <c:v>23.5</c:v>
                </c:pt>
              </c:numCache>
            </c:numRef>
          </c:yVal>
        </c:ser>
        <c:ser>
          <c:idx val="145"/>
          <c:order val="145"/>
          <c:tx>
            <c:v>As y5-x6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Sheet1!$BU$15</c:f>
              <c:numCache>
                <c:formatCode>General</c:formatCode>
                <c:ptCount val="1"/>
                <c:pt idx="0">
                  <c:v>23.5</c:v>
                </c:pt>
              </c:numCache>
            </c:numRef>
          </c:yVal>
        </c:ser>
        <c:ser>
          <c:idx val="146"/>
          <c:order val="146"/>
          <c:tx>
            <c:v>As y5-x7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Sheet1!$BU$16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47"/>
          <c:order val="147"/>
          <c:tx>
            <c:v>As y5-x8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Sheet1!$BU$17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48"/>
          <c:order val="148"/>
          <c:tx>
            <c:v>As y5-x9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Sheet1!$BU$18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49"/>
          <c:order val="149"/>
          <c:tx>
            <c:v>As y5-x10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Sheet1!$BU$19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0"/>
          <c:order val="150"/>
          <c:tx>
            <c:v>As y6-x1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Sheet1!$BW$10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1"/>
          <c:order val="151"/>
          <c:tx>
            <c:v>As y6-x2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Sheet1!$BW$11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2"/>
          <c:order val="152"/>
          <c:tx>
            <c:v>As y6-x3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Sheet1!$BW$12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3"/>
          <c:order val="153"/>
          <c:tx>
            <c:v>As y6-x4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Sheet1!$BW$13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4"/>
          <c:order val="154"/>
          <c:tx>
            <c:v>As y6-x5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Sheet1!$BW$14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5"/>
          <c:order val="155"/>
          <c:tx>
            <c:v>As y6-x6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Sheet1!$BW$15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6"/>
          <c:order val="156"/>
          <c:tx>
            <c:v>As y6-x7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Sheet1!$BW$16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7"/>
          <c:order val="157"/>
          <c:tx>
            <c:v>As y6-x8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Sheet1!$BW$17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8"/>
          <c:order val="158"/>
          <c:tx>
            <c:v>As y6-x9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Sheet1!$BW$18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59"/>
          <c:order val="159"/>
          <c:tx>
            <c:v>As y6-x10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Sheet1!$BW$19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0"/>
          <c:order val="160"/>
          <c:tx>
            <c:v>As y7-x1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Sheet1!$BY$10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1"/>
          <c:order val="161"/>
          <c:tx>
            <c:v>As y7-x2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Sheet1!$BY$11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2"/>
          <c:order val="162"/>
          <c:tx>
            <c:v>As y7-x3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Sheet1!$BY$12:$BY$13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63"/>
          <c:order val="163"/>
          <c:tx>
            <c:v>As y7-x4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Sheet1!$BY$13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4"/>
          <c:order val="164"/>
          <c:tx>
            <c:v>As y7-x5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Sheet1!$BY$14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5"/>
          <c:order val="165"/>
          <c:tx>
            <c:v>As y7-x6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Sheet1!$BY$15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6"/>
          <c:order val="166"/>
          <c:tx>
            <c:v>As y7-x7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Sheet1!$BY$16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7"/>
          <c:order val="167"/>
          <c:tx>
            <c:v>As y7-x8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Sheet1!$BY$17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8"/>
          <c:order val="168"/>
          <c:tx>
            <c:v>As y7-x9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Sheet1!$BY$18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69"/>
          <c:order val="169"/>
          <c:tx>
            <c:v>As y7-x10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Sheet1!$BY$19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0"/>
          <c:order val="170"/>
          <c:tx>
            <c:v>As y8-x1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Sheet1!$CA$10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1"/>
          <c:order val="171"/>
          <c:tx>
            <c:v>As y8-x2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Sheet1!$CA$11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2"/>
          <c:order val="172"/>
          <c:tx>
            <c:v>As y8-x3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Sheet1!$CA$12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3"/>
          <c:order val="173"/>
          <c:tx>
            <c:v>As y8-x4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Sheet1!$CA$13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4"/>
          <c:order val="174"/>
          <c:tx>
            <c:v>As y8-x5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Sheet1!$CA$14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5"/>
          <c:order val="175"/>
          <c:tx>
            <c:v>As y8-x6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Sheet1!$CA$15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6"/>
          <c:order val="176"/>
          <c:tx>
            <c:v>As y8-x7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Sheet1!$CA$16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7"/>
          <c:order val="177"/>
          <c:tx>
            <c:v>As y8-x8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Sheet1!$CA$17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8"/>
          <c:order val="178"/>
          <c:tx>
            <c:v>As y8-x9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Sheet1!$CA$18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79"/>
          <c:order val="179"/>
          <c:tx>
            <c:v>As y8-x10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Sheet1!$CA$19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0"/>
          <c:order val="180"/>
          <c:tx>
            <c:v>As y9-x1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Sheet1!$CC$10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1"/>
          <c:order val="181"/>
          <c:tx>
            <c:v>As y9-x2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Sheet1!$CC$11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2"/>
          <c:order val="182"/>
          <c:tx>
            <c:v>As y9-x3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Sheet1!$CC$12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3"/>
          <c:order val="183"/>
          <c:tx>
            <c:v>As y9-x4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Sheet1!$CC$13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4"/>
          <c:order val="184"/>
          <c:tx>
            <c:v>As y9-x5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Sheet1!$CC$14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5"/>
          <c:order val="185"/>
          <c:tx>
            <c:v>As y9-x6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Sheet1!$CC$15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6"/>
          <c:order val="186"/>
          <c:tx>
            <c:v>As y9-x7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 w="9525"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Sheet1!$CC$16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7"/>
          <c:order val="187"/>
          <c:tx>
            <c:v>As y9-x8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Sheet1!$CC$17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8"/>
          <c:order val="188"/>
          <c:tx>
            <c:v>As y9-x9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Sheet1!$CC$18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89"/>
          <c:order val="189"/>
          <c:tx>
            <c:v>As y9-x10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Sheet1!$CC$19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0"/>
          <c:order val="190"/>
          <c:tx>
            <c:v>As y10-x1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Sheet1!$BL$10</c:f>
              <c:numCache>
                <c:formatCode>General</c:formatCode>
                <c:ptCount val="1"/>
                <c:pt idx="0">
                  <c:v>34</c:v>
                </c:pt>
              </c:numCache>
            </c:numRef>
          </c:xVal>
          <c:yVal>
            <c:numRef>
              <c:f>Sheet1!$CE$10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1"/>
          <c:order val="191"/>
          <c:tx>
            <c:v>As y10-x2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Sheet1!$BL$11</c:f>
              <c:numCache>
                <c:formatCode>General</c:formatCode>
                <c:ptCount val="1"/>
                <c:pt idx="0">
                  <c:v>39.875</c:v>
                </c:pt>
              </c:numCache>
            </c:numRef>
          </c:xVal>
          <c:yVal>
            <c:numRef>
              <c:f>Sheet1!$CE$11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2"/>
          <c:order val="192"/>
          <c:tx>
            <c:v>As y10-x3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Sheet1!$CE$12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3"/>
          <c:order val="193"/>
          <c:tx>
            <c:v>As y10-x4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Sheet1!$CE$13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4"/>
          <c:order val="194"/>
          <c:tx>
            <c:v>As y10-x5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Sheet1!$BL$14</c:f>
              <c:numCache>
                <c:formatCode>General</c:formatCode>
                <c:ptCount val="1"/>
                <c:pt idx="0">
                  <c:v>57.5</c:v>
                </c:pt>
              </c:numCache>
            </c:numRef>
          </c:xVal>
          <c:yVal>
            <c:numRef>
              <c:f>Sheet1!$CE$14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5"/>
          <c:order val="195"/>
          <c:tx>
            <c:v>As y10-x6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Sheet1!$BL$15</c:f>
              <c:numCache>
                <c:formatCode>General</c:formatCode>
                <c:ptCount val="1"/>
                <c:pt idx="0">
                  <c:v>63.375</c:v>
                </c:pt>
              </c:numCache>
            </c:numRef>
          </c:xVal>
          <c:yVal>
            <c:numRef>
              <c:f>Sheet1!$CE$15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6"/>
          <c:order val="196"/>
          <c:tx>
            <c:v>As y10-x7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Sheet1!$CE$16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7"/>
          <c:order val="197"/>
          <c:tx>
            <c:v>As y10-x9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Sheet1!$BL$18</c:f>
              <c:numCache>
                <c:formatCode>General</c:formatCode>
                <c:ptCount val="1"/>
                <c:pt idx="0">
                  <c:v>81</c:v>
                </c:pt>
              </c:numCache>
            </c:numRef>
          </c:xVal>
          <c:yVal>
            <c:numRef>
              <c:f>Sheet1!$CE$18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8"/>
          <c:order val="198"/>
          <c:tx>
            <c:v>As y10-x8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Sheet1!$BL$17</c:f>
              <c:numCache>
                <c:formatCode>General</c:formatCode>
                <c:ptCount val="1"/>
                <c:pt idx="0">
                  <c:v>75.125</c:v>
                </c:pt>
              </c:numCache>
            </c:numRef>
          </c:xVal>
          <c:yVal>
            <c:numRef>
              <c:f>Sheet1!$CE$17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199"/>
          <c:order val="199"/>
          <c:tx>
            <c:v>As y10-x10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strRef>
              <c:f>Sheet1!$BL$19</c:f>
              <c:strCache>
                <c:ptCount val="1"/>
                <c:pt idx="0">
                  <c:v> </c:v>
                </c:pt>
              </c:strCache>
            </c:strRef>
          </c:xVal>
          <c:yVal>
            <c:numRef>
              <c:f>Sheet1!$CE$19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</c:ser>
        <c:ser>
          <c:idx val="200"/>
          <c:order val="200"/>
          <c:tx>
            <c:v>y4-x3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Sheet1!$BL$12</c:f>
              <c:numCache>
                <c:formatCode>General</c:formatCode>
                <c:ptCount val="1"/>
                <c:pt idx="0">
                  <c:v>45.75</c:v>
                </c:pt>
              </c:numCache>
            </c:numRef>
          </c:xVal>
          <c:yVal>
            <c:numRef>
              <c:f>Sheet1!$BS$12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201"/>
          <c:order val="201"/>
          <c:tx>
            <c:v>y4-x4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Sheet1!$BL$13</c:f>
              <c:numCache>
                <c:formatCode>General</c:formatCode>
                <c:ptCount val="1"/>
                <c:pt idx="0">
                  <c:v>51.625</c:v>
                </c:pt>
              </c:numCache>
            </c:numRef>
          </c:xVal>
          <c:yVal>
            <c:numRef>
              <c:f>Sheet1!$BS$13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202"/>
          <c:order val="202"/>
          <c:tx>
            <c:v>x7-y4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B0F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Sheet1!$BL$16</c:f>
              <c:numCache>
                <c:formatCode>General</c:formatCode>
                <c:ptCount val="1"/>
                <c:pt idx="0">
                  <c:v>69.25</c:v>
                </c:pt>
              </c:numCache>
            </c:numRef>
          </c:xVal>
          <c:yVal>
            <c:numRef>
              <c:f>Sheet1!$BS$16</c:f>
              <c:numCache>
                <c:formatCode>General</c:formatCode>
                <c:ptCount val="1"/>
                <c:pt idx="0">
                  <c:v>19.5</c:v>
                </c:pt>
              </c:numCache>
            </c:numRef>
          </c:yVal>
        </c:ser>
        <c:ser>
          <c:idx val="203"/>
          <c:order val="203"/>
          <c:tx>
            <c:v>dimension y1</c:v>
          </c:tx>
          <c:spPr>
            <a:ln w="9525">
              <a:solidFill>
                <a:srgbClr val="FF0000"/>
              </a:solidFill>
              <a:headEnd type="triangle" w="sm" len="med"/>
              <a:tailEnd type="triangle" w="sm" len="med"/>
            </a:ln>
          </c:spPr>
          <c:marker>
            <c:symbol val="dash"/>
            <c:size val="45"/>
            <c:spPr>
              <a:noFill/>
            </c:spPr>
          </c:marker>
          <c:dPt>
            <c:idx val="0"/>
            <c:marker>
              <c:symbol val="none"/>
            </c:marker>
            <c:spPr>
              <a:ln w="6350">
                <a:solidFill>
                  <a:srgbClr val="FF0000"/>
                </a:solidFill>
                <a:headEnd type="triangle" w="lg" len="lg"/>
                <a:tailEnd type="triangle" w="sm" len="med"/>
              </a:ln>
            </c:spPr>
          </c:dPt>
          <c:dPt>
            <c:idx val="1"/>
            <c:marker>
              <c:symbol val="none"/>
            </c:marker>
            <c:spPr>
              <a:ln w="9525">
                <a:solidFill>
                  <a:srgbClr val="FF0000"/>
                </a:solidFill>
                <a:headEnd type="triangle" w="med" len="lg"/>
                <a:tailEnd type="triangle" w="med" len="lg"/>
              </a:ln>
            </c:spPr>
          </c:dPt>
          <c:xVal>
            <c:numRef>
              <c:f>Sheet1!$CH$23:$CH$24</c:f>
              <c:numCache>
                <c:formatCode>General</c:formatCode>
                <c:ptCount val="2"/>
                <c:pt idx="0">
                  <c:v>95</c:v>
                </c:pt>
                <c:pt idx="1">
                  <c:v>95</c:v>
                </c:pt>
              </c:numCache>
            </c:numRef>
          </c:xVal>
          <c:yVal>
            <c:numRef>
              <c:f>Sheet1!$CI$23:$CI$24</c:f>
              <c:numCache>
                <c:formatCode>General</c:formatCode>
                <c:ptCount val="2"/>
                <c:pt idx="0">
                  <c:v>5</c:v>
                </c:pt>
                <c:pt idx="1">
                  <c:v>95</c:v>
                </c:pt>
              </c:numCache>
            </c:numRef>
          </c:yVal>
        </c:ser>
        <c:ser>
          <c:idx val="204"/>
          <c:order val="204"/>
          <c:tx>
            <c:v>dimension y2</c:v>
          </c:tx>
          <c:spPr>
            <a:ln w="15875">
              <a:solidFill>
                <a:schemeClr val="tx1"/>
              </a:solidFill>
              <a:prstDash val="solid"/>
              <a:headEnd type="none"/>
            </a:ln>
          </c:spPr>
          <c:marker>
            <c:symbol val="none"/>
          </c:marker>
          <c:xVal>
            <c:numRef>
              <c:f>Sheet1!$CH$25:$CH$26</c:f>
              <c:numCache>
                <c:formatCode>General</c:formatCode>
                <c:ptCount val="2"/>
                <c:pt idx="0">
                  <c:v>87</c:v>
                </c:pt>
                <c:pt idx="1">
                  <c:v>98</c:v>
                </c:pt>
              </c:numCache>
            </c:numRef>
          </c:xVal>
          <c:yVal>
            <c:numRef>
              <c:f>Sheet1!$CI$25:$CI$26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</c:ser>
        <c:ser>
          <c:idx val="205"/>
          <c:order val="205"/>
          <c:tx>
            <c:v>dimension y3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Sheet1!$CH$27:$CH$28</c:f>
              <c:numCache>
                <c:formatCode>General</c:formatCode>
                <c:ptCount val="2"/>
                <c:pt idx="0">
                  <c:v>87</c:v>
                </c:pt>
                <c:pt idx="1">
                  <c:v>98</c:v>
                </c:pt>
              </c:numCache>
            </c:numRef>
          </c:xVal>
          <c:yVal>
            <c:numRef>
              <c:f>Sheet1!$CI$27:$CI$28</c:f>
              <c:numCache>
                <c:formatCode>General</c:formatCode>
                <c:ptCount val="2"/>
                <c:pt idx="0">
                  <c:v>95</c:v>
                </c:pt>
                <c:pt idx="1">
                  <c:v>95</c:v>
                </c:pt>
              </c:numCache>
            </c:numRef>
          </c:yVal>
        </c:ser>
        <c:ser>
          <c:idx val="206"/>
          <c:order val="206"/>
          <c:tx>
            <c:v>dimension x</c:v>
          </c:tx>
          <c:spPr>
            <a:ln w="6350">
              <a:solidFill>
                <a:srgbClr val="FF0000"/>
              </a:solidFill>
              <a:headEnd type="triangle" w="med" len="lg"/>
              <a:tailEnd type="triangle" w="med" len="lg"/>
            </a:ln>
          </c:spPr>
          <c:marker>
            <c:symbol val="none"/>
          </c:marker>
          <c:xVal>
            <c:numRef>
              <c:f>Sheet1!$CH$31:$CH$32</c:f>
              <c:numCache>
                <c:formatCode>General</c:formatCode>
                <c:ptCount val="2"/>
                <c:pt idx="0">
                  <c:v>30</c:v>
                </c:pt>
                <c:pt idx="1">
                  <c:v>85</c:v>
                </c:pt>
              </c:numCache>
            </c:numRef>
          </c:xVal>
          <c:yVal>
            <c:numRef>
              <c:f>Sheet1!$CI$31:$CI$32</c:f>
              <c:numCache>
                <c:formatCode>General</c:formatCode>
                <c:ptCount val="2"/>
                <c:pt idx="0">
                  <c:v>102</c:v>
                </c:pt>
                <c:pt idx="1">
                  <c:v>102</c:v>
                </c:pt>
              </c:numCache>
            </c:numRef>
          </c:yVal>
        </c:ser>
        <c:ser>
          <c:idx val="207"/>
          <c:order val="207"/>
          <c:tx>
            <c:v>dimension x</c:v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Sheet1!$CH$33:$CH$34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Sheet1!$CI$33:$CI$34</c:f>
              <c:numCache>
                <c:formatCode>General</c:formatCode>
                <c:ptCount val="2"/>
                <c:pt idx="0">
                  <c:v>96.5</c:v>
                </c:pt>
                <c:pt idx="1">
                  <c:v>104.5</c:v>
                </c:pt>
              </c:numCache>
            </c:numRef>
          </c:yVal>
        </c:ser>
        <c:ser>
          <c:idx val="208"/>
          <c:order val="208"/>
          <c:tx>
            <c:v>dimensionx 3</c:v>
          </c:tx>
          <c:spPr>
            <a:ln w="158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Sheet1!$CH$37:$CH$38</c:f>
              <c:numCache>
                <c:formatCode>General</c:formatCode>
                <c:ptCount val="2"/>
                <c:pt idx="0">
                  <c:v>85</c:v>
                </c:pt>
                <c:pt idx="1">
                  <c:v>85</c:v>
                </c:pt>
              </c:numCache>
            </c:numRef>
          </c:xVal>
          <c:yVal>
            <c:numRef>
              <c:f>Sheet1!$CI$37:$CI$38</c:f>
              <c:numCache>
                <c:formatCode>General</c:formatCode>
                <c:ptCount val="2"/>
                <c:pt idx="0">
                  <c:v>96.5</c:v>
                </c:pt>
                <c:pt idx="1">
                  <c:v>104.5</c:v>
                </c:pt>
              </c:numCache>
            </c:numRef>
          </c:yVal>
        </c:ser>
        <c:axId val="99719040"/>
        <c:axId val="99720576"/>
      </c:scatterChart>
      <c:valAx>
        <c:axId val="99719040"/>
        <c:scaling>
          <c:orientation val="minMax"/>
        </c:scaling>
        <c:axPos val="b"/>
        <c:numFmt formatCode="General" sourceLinked="0"/>
        <c:majorTickMark val="none"/>
        <c:tickLblPos val="none"/>
        <c:spPr>
          <a:noFill/>
        </c:spPr>
        <c:crossAx val="99720576"/>
        <c:crosses val="autoZero"/>
        <c:crossBetween val="midCat"/>
        <c:majorUnit val="5"/>
        <c:minorUnit val="2"/>
      </c:valAx>
      <c:valAx>
        <c:axId val="99720576"/>
        <c:scaling>
          <c:orientation val="minMax"/>
        </c:scaling>
        <c:axPos val="l"/>
        <c:numFmt formatCode="General" sourceLinked="1"/>
        <c:majorTickMark val="none"/>
        <c:tickLblPos val="none"/>
        <c:spPr>
          <a:noFill/>
          <a:ln>
            <a:noFill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99719040"/>
        <c:crosses val="autoZero"/>
        <c:crossBetween val="midCat"/>
        <c:majorUnit val="5"/>
        <c:minorUnit val="2"/>
      </c:valAx>
      <c:spPr>
        <a:ln w="25400">
          <a:noFill/>
        </a:ln>
      </c:spPr>
    </c:plotArea>
    <c:plotVisOnly val="1"/>
  </c:chart>
  <c:spPr>
    <a:noFill/>
    <a:ln w="79375">
      <a:solidFill>
        <a:schemeClr val="bg1"/>
      </a:solidFill>
    </a:ln>
    <a:effectLst/>
    <a:scene3d>
      <a:camera prst="orthographicFront"/>
      <a:lightRig rig="threePt" dir="t"/>
    </a:scene3d>
    <a:sp3d>
      <a:bevelB/>
    </a:sp3d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1.2713648751336751E-4"/>
          <c:y val="0"/>
          <c:w val="0.85471950391282203"/>
          <c:h val="0.91173098879967462"/>
        </c:manualLayout>
      </c:layout>
      <c:scatterChart>
        <c:scatterStyle val="lineMarker"/>
        <c:ser>
          <c:idx val="1"/>
          <c:order val="0"/>
          <c:tx>
            <c:v>Ec</c:v>
          </c:tx>
          <c:spPr>
            <a:ln w="9525">
              <a:solidFill>
                <a:schemeClr val="accent6">
                  <a:lumMod val="75000"/>
                </a:schemeClr>
              </a:solidFill>
            </a:ln>
          </c:spPr>
          <c:marker>
            <c:symbol val="star"/>
            <c:size val="4"/>
            <c:spPr>
              <a:noFill/>
              <a:ln w="3175">
                <a:solidFill>
                  <a:srgbClr val="C0504D">
                    <a:shade val="76000"/>
                    <a:shade val="95000"/>
                    <a:satMod val="105000"/>
                  </a:srgbClr>
                </a:solidFill>
              </a:ln>
            </c:spPr>
          </c:marker>
          <c:xVal>
            <c:numRef>
              <c:f>Sheet1!$CH$44:$CH$45</c:f>
              <c:numCache>
                <c:formatCode>0.0000</c:formatCode>
                <c:ptCount val="2"/>
                <c:pt idx="0" formatCode="General">
                  <c:v>0</c:v>
                </c:pt>
                <c:pt idx="1">
                  <c:v>1.6999999999999999E-3</c:v>
                </c:pt>
              </c:numCache>
            </c:numRef>
          </c:xVal>
          <c:yVal>
            <c:numRef>
              <c:f>Sheet1!$CI$44:$CI$45</c:f>
              <c:numCache>
                <c:formatCode>General</c:formatCode>
                <c:ptCount val="2"/>
                <c:pt idx="0">
                  <c:v>90</c:v>
                </c:pt>
                <c:pt idx="1">
                  <c:v>90</c:v>
                </c:pt>
              </c:numCache>
            </c:numRef>
          </c:yVal>
        </c:ser>
        <c:ser>
          <c:idx val="2"/>
          <c:order val="1"/>
          <c:tx>
            <c:v>x</c:v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Sheet1!$CH$46:$CH$47</c:f>
              <c:numCache>
                <c:formatCode>General</c:formatCode>
                <c:ptCount val="2"/>
                <c:pt idx="0">
                  <c:v>1.6999999999999999E-3</c:v>
                </c:pt>
                <c:pt idx="1">
                  <c:v>-1E-3</c:v>
                </c:pt>
              </c:numCache>
            </c:numRef>
          </c:xVal>
          <c:yVal>
            <c:numRef>
              <c:f>Sheet1!$CI$46:$CI$47</c:f>
              <c:numCache>
                <c:formatCode>0.00</c:formatCode>
                <c:ptCount val="2"/>
                <c:pt idx="0" formatCode="General">
                  <c:v>90</c:v>
                </c:pt>
                <c:pt idx="1">
                  <c:v>15.1</c:v>
                </c:pt>
              </c:numCache>
            </c:numRef>
          </c:yVal>
        </c:ser>
        <c:ser>
          <c:idx val="3"/>
          <c:order val="2"/>
          <c:tx>
            <c:v>N.A.</c:v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spPr>
              <a:ln w="15875">
                <a:solidFill>
                  <a:srgbClr val="FF0000"/>
                </a:solidFill>
                <a:prstDash val="lgDash"/>
              </a:ln>
            </c:spPr>
          </c:dPt>
          <c:xVal>
            <c:numRef>
              <c:f>Sheet1!$CH$48:$CH$49</c:f>
              <c:numCache>
                <c:formatCode>General</c:formatCode>
                <c:ptCount val="2"/>
                <c:pt idx="0">
                  <c:v>-1.9E-2</c:v>
                </c:pt>
                <c:pt idx="1">
                  <c:v>1.9E-2</c:v>
                </c:pt>
              </c:numCache>
            </c:numRef>
          </c:xVal>
          <c:yVal>
            <c:numRef>
              <c:f>Sheet1!$CI$48:$CI$49</c:f>
              <c:numCache>
                <c:formatCode>0.00</c:formatCode>
                <c:ptCount val="2"/>
                <c:pt idx="0">
                  <c:v>49.257397504456335</c:v>
                </c:pt>
                <c:pt idx="1">
                  <c:v>49.257397504456335</c:v>
                </c:pt>
              </c:numCache>
            </c:numRef>
          </c:yVal>
        </c:ser>
        <c:ser>
          <c:idx val="4"/>
          <c:order val="3"/>
          <c:tx>
            <c:v>Ey</c:v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Sheet1!$CH$50:$CH$51</c:f>
              <c:numCache>
                <c:formatCode>General</c:formatCode>
                <c:ptCount val="2"/>
                <c:pt idx="0">
                  <c:v>0</c:v>
                </c:pt>
                <c:pt idx="1">
                  <c:v>-1E-3</c:v>
                </c:pt>
              </c:numCache>
            </c:numRef>
          </c:xVal>
          <c:yVal>
            <c:numRef>
              <c:f>Sheet1!$CI$50:$CI$51</c:f>
              <c:numCache>
                <c:formatCode>0.00</c:formatCode>
                <c:ptCount val="2"/>
                <c:pt idx="0">
                  <c:v>15.1</c:v>
                </c:pt>
                <c:pt idx="1">
                  <c:v>15.1</c:v>
                </c:pt>
              </c:numCache>
            </c:numRef>
          </c:yVal>
        </c:ser>
        <c:ser>
          <c:idx val="5"/>
          <c:order val="4"/>
          <c:tx>
            <c:v>Es</c:v>
          </c:tx>
          <c:spPr>
            <a:ln w="15875">
              <a:tailEnd type="triangle" w="sm" len="med"/>
            </a:ln>
          </c:spPr>
          <c:marker>
            <c:symbol val="none"/>
          </c:marker>
          <c:xVal>
            <c:numRef>
              <c:f>Sheet1!$CH$52:$CH$53</c:f>
              <c:numCache>
                <c:formatCode>General</c:formatCode>
                <c:ptCount val="2"/>
                <c:pt idx="0">
                  <c:v>-1E-3</c:v>
                </c:pt>
                <c:pt idx="1">
                  <c:v>2.5975444049733576E-3</c:v>
                </c:pt>
              </c:numCache>
            </c:numRef>
          </c:xVal>
          <c:yVal>
            <c:numRef>
              <c:f>Sheet1!$CI$52:$CI$53</c:f>
              <c:numCache>
                <c:formatCode>0.00</c:formatCode>
                <c:ptCount val="2"/>
                <c:pt idx="0">
                  <c:v>15.1</c:v>
                </c:pt>
                <c:pt idx="1">
                  <c:v>15.1</c:v>
                </c:pt>
              </c:numCache>
            </c:numRef>
          </c:yVal>
        </c:ser>
        <c:ser>
          <c:idx val="6"/>
          <c:order val="5"/>
          <c:tx>
            <c:v>Ecu</c:v>
          </c:tx>
          <c:spPr>
            <a:ln w="12700">
              <a:solidFill>
                <a:srgbClr val="C0000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xVal>
            <c:numRef>
              <c:f>Sheet1!$CH$54:$CH$55</c:f>
              <c:numCache>
                <c:formatCode>0.0000</c:formatCode>
                <c:ptCount val="2"/>
                <c:pt idx="0" formatCode="0">
                  <c:v>0</c:v>
                </c:pt>
                <c:pt idx="1">
                  <c:v>3.0000000000000001E-3</c:v>
                </c:pt>
              </c:numCache>
            </c:numRef>
          </c:xVal>
          <c:yVal>
            <c:numRef>
              <c:f>Sheet1!$CI$54:$CI$55</c:f>
              <c:numCache>
                <c:formatCode>General</c:formatCode>
                <c:ptCount val="2"/>
                <c:pt idx="0" formatCode="0.00">
                  <c:v>44.257397504456335</c:v>
                </c:pt>
                <c:pt idx="1">
                  <c:v>44.257397504456335</c:v>
                </c:pt>
              </c:numCache>
            </c:numRef>
          </c:yVal>
        </c:ser>
        <c:ser>
          <c:idx val="0"/>
          <c:order val="6"/>
          <c:tx>
            <c:v>h</c:v>
          </c:tx>
          <c:spPr>
            <a:ln w="1587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Sheet1!$CH$42:$CH$43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Sheet1!$CI$42:$CI$43</c:f>
              <c:numCache>
                <c:formatCode>General</c:formatCode>
                <c:ptCount val="2"/>
                <c:pt idx="0">
                  <c:v>0</c:v>
                </c:pt>
                <c:pt idx="1">
                  <c:v>90</c:v>
                </c:pt>
              </c:numCache>
            </c:numRef>
          </c:yVal>
        </c:ser>
        <c:axId val="148838656"/>
        <c:axId val="148837120"/>
      </c:scatterChart>
      <c:valAx>
        <c:axId val="148838656"/>
        <c:scaling>
          <c:orientation val="minMax"/>
          <c:max val="1.0000000000000002E-2"/>
          <c:min val="-1.0000000000000002E-2"/>
        </c:scaling>
        <c:axPos val="b"/>
        <c:numFmt formatCode="General" sourceLinked="1"/>
        <c:majorTickMark val="none"/>
        <c:tickLblPos val="none"/>
        <c:crossAx val="148837120"/>
        <c:crosses val="autoZero"/>
        <c:crossBetween val="midCat"/>
      </c:valAx>
      <c:valAx>
        <c:axId val="148837120"/>
        <c:scaling>
          <c:orientation val="minMax"/>
        </c:scaling>
        <c:delete val="1"/>
        <c:axPos val="l"/>
        <c:numFmt formatCode="General" sourceLinked="1"/>
        <c:tickLblPos val="nextTo"/>
        <c:crossAx val="148838656"/>
        <c:crosses val="autoZero"/>
        <c:crossBetween val="midCat"/>
      </c:valAx>
    </c:plotArea>
    <c:legend>
      <c:legendPos val="r"/>
      <c:layout/>
    </c:legend>
    <c:plotVisOnly val="1"/>
  </c:chart>
  <c:spPr>
    <a:solidFill>
      <a:schemeClr val="bg1"/>
    </a:solidFill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288273</xdr:colOff>
      <xdr:row>27</xdr:row>
      <xdr:rowOff>196214</xdr:rowOff>
    </xdr:from>
    <xdr:to>
      <xdr:col>27</xdr:col>
      <xdr:colOff>435738</xdr:colOff>
      <xdr:row>35</xdr:row>
      <xdr:rowOff>217184</xdr:rowOff>
    </xdr:to>
    <xdr:grpSp>
      <xdr:nvGrpSpPr>
        <xdr:cNvPr id="21" name="Group 20"/>
        <xdr:cNvGrpSpPr/>
      </xdr:nvGrpSpPr>
      <xdr:grpSpPr>
        <a:xfrm>
          <a:off x="11367825" y="6261662"/>
          <a:ext cx="1046050" cy="1818140"/>
          <a:chOff x="18547319" y="361145"/>
          <a:chExt cx="693600" cy="776224"/>
        </a:xfrm>
      </xdr:grpSpPr>
      <xdr:grpSp>
        <xdr:nvGrpSpPr>
          <xdr:cNvPr id="27" name="Group 26"/>
          <xdr:cNvGrpSpPr/>
        </xdr:nvGrpSpPr>
        <xdr:grpSpPr>
          <a:xfrm>
            <a:off x="18547319" y="361145"/>
            <a:ext cx="467172" cy="776224"/>
            <a:chOff x="19606435" y="617667"/>
            <a:chExt cx="467503" cy="745677"/>
          </a:xfrm>
        </xdr:grpSpPr>
        <xdr:sp macro="" textlink="">
          <xdr:nvSpPr>
            <xdr:cNvPr id="4" name="Rectangle 3"/>
            <xdr:cNvSpPr/>
          </xdr:nvSpPr>
          <xdr:spPr>
            <a:xfrm>
              <a:off x="19606435" y="617667"/>
              <a:ext cx="467503" cy="510754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28575"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7" name="Rectangle 6"/>
            <xdr:cNvSpPr/>
          </xdr:nvSpPr>
          <xdr:spPr>
            <a:xfrm>
              <a:off x="19708974" y="698095"/>
              <a:ext cx="272143" cy="342852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8" name="Flowchart: Connector 7"/>
            <xdr:cNvSpPr/>
          </xdr:nvSpPr>
          <xdr:spPr>
            <a:xfrm>
              <a:off x="19731970" y="1013742"/>
              <a:ext cx="18000" cy="1800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9" name="Flowchart: Connector 8"/>
            <xdr:cNvSpPr/>
          </xdr:nvSpPr>
          <xdr:spPr>
            <a:xfrm>
              <a:off x="19942125" y="1009034"/>
              <a:ext cx="18000" cy="1800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th-TH" sz="1100"/>
            </a:p>
          </xdr:txBody>
        </xdr:sp>
        <xdr:sp macro="" textlink="">
          <xdr:nvSpPr>
            <xdr:cNvPr id="10" name="Flowchart: Connector 9"/>
            <xdr:cNvSpPr/>
          </xdr:nvSpPr>
          <xdr:spPr>
            <a:xfrm>
              <a:off x="19839915" y="1014239"/>
              <a:ext cx="18000" cy="18000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th-TH" sz="1100"/>
            </a:p>
          </xdr:txBody>
        </xdr:sp>
        <xdr:cxnSp macro="">
          <xdr:nvCxnSpPr>
            <xdr:cNvPr id="17" name="Straight Connector 16"/>
            <xdr:cNvCxnSpPr/>
          </xdr:nvCxnSpPr>
          <xdr:spPr>
            <a:xfrm rot="5400000">
              <a:off x="19719499" y="1126663"/>
              <a:ext cx="215655" cy="0"/>
            </a:xfrm>
            <a:prstGeom prst="line">
              <a:avLst/>
            </a:prstGeom>
            <a:ln w="6350">
              <a:solidFill>
                <a:srgbClr val="FF0000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/>
            <xdr:cNvCxnSpPr/>
          </xdr:nvCxnSpPr>
          <xdr:spPr>
            <a:xfrm rot="16200000" flipH="1">
              <a:off x="19661663" y="1125947"/>
              <a:ext cx="215655" cy="0"/>
            </a:xfrm>
            <a:prstGeom prst="line">
              <a:avLst/>
            </a:prstGeom>
            <a:ln w="6350">
              <a:solidFill>
                <a:srgbClr val="FF0000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/>
            <xdr:cNvCxnSpPr/>
          </xdr:nvCxnSpPr>
          <xdr:spPr>
            <a:xfrm>
              <a:off x="19752228" y="1215970"/>
              <a:ext cx="103738" cy="1588"/>
            </a:xfrm>
            <a:prstGeom prst="line">
              <a:avLst/>
            </a:prstGeom>
            <a:ln w="6350">
              <a:solidFill>
                <a:srgbClr val="FF0000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" name="TextBox 25"/>
            <xdr:cNvSpPr txBox="1"/>
          </xdr:nvSpPr>
          <xdr:spPr>
            <a:xfrm>
              <a:off x="19628537" y="1154354"/>
              <a:ext cx="258850" cy="2089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r"/>
              <a:r>
                <a:rPr lang="en-US" sz="1000" b="1">
                  <a:solidFill>
                    <a:srgbClr val="002060"/>
                  </a:solidFill>
                </a:rPr>
                <a:t>x</a:t>
              </a:r>
            </a:p>
            <a:p>
              <a:pPr algn="r"/>
              <a:endParaRPr lang="en-US" sz="1000" b="1">
                <a:solidFill>
                  <a:srgbClr val="002060"/>
                </a:solidFill>
              </a:endParaRPr>
            </a:p>
          </xdr:txBody>
        </xdr:sp>
      </xdr:grpSp>
      <xdr:sp macro="" textlink="">
        <xdr:nvSpPr>
          <xdr:cNvPr id="14" name="Flowchart: Connector 13"/>
          <xdr:cNvSpPr/>
        </xdr:nvSpPr>
        <xdr:spPr>
          <a:xfrm>
            <a:off x="18883876" y="680125"/>
            <a:ext cx="18000" cy="18000"/>
          </a:xfrm>
          <a:prstGeom prst="flowChartConnector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th-TH" sz="1100"/>
          </a:p>
        </xdr:txBody>
      </xdr:sp>
      <xdr:cxnSp macro="">
        <xdr:nvCxnSpPr>
          <xdr:cNvPr id="15" name="Straight Connector 14"/>
          <xdr:cNvCxnSpPr/>
        </xdr:nvCxnSpPr>
        <xdr:spPr>
          <a:xfrm rot="5400000">
            <a:off x="19011608" y="649370"/>
            <a:ext cx="0" cy="218263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rot="16200000" flipH="1">
            <a:off x="19009868" y="600497"/>
            <a:ext cx="0" cy="218263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rot="5400000">
            <a:off x="19048838" y="729203"/>
            <a:ext cx="111631" cy="1607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18980526" y="646303"/>
            <a:ext cx="260393" cy="2187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r"/>
            <a:r>
              <a:rPr lang="en-US" sz="1000" b="1">
                <a:solidFill>
                  <a:srgbClr val="002060"/>
                </a:solidFill>
              </a:rPr>
              <a:t>y</a:t>
            </a:r>
          </a:p>
          <a:p>
            <a:pPr algn="r"/>
            <a:endParaRPr lang="en-US" sz="1000" b="1">
              <a:solidFill>
                <a:srgbClr val="002060"/>
              </a:solidFill>
            </a:endParaRPr>
          </a:p>
          <a:p>
            <a:pPr algn="r"/>
            <a:endParaRPr lang="en-US" sz="1000" b="1">
              <a:solidFill>
                <a:srgbClr val="002060"/>
              </a:solidFill>
            </a:endParaRPr>
          </a:p>
          <a:p>
            <a:pPr algn="r"/>
            <a:endParaRPr lang="en-US" sz="1000" b="1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13</xdr:col>
      <xdr:colOff>38945</xdr:colOff>
      <xdr:row>21</xdr:row>
      <xdr:rowOff>67540</xdr:rowOff>
    </xdr:from>
    <xdr:to>
      <xdr:col>24</xdr:col>
      <xdr:colOff>367834</xdr:colOff>
      <xdr:row>42</xdr:row>
      <xdr:rowOff>106411</xdr:rowOff>
    </xdr:to>
    <xdr:grpSp>
      <xdr:nvGrpSpPr>
        <xdr:cNvPr id="52" name="Group 51"/>
        <xdr:cNvGrpSpPr/>
      </xdr:nvGrpSpPr>
      <xdr:grpSpPr>
        <a:xfrm>
          <a:off x="5610171" y="4785111"/>
          <a:ext cx="5387922" cy="4756442"/>
          <a:chOff x="5438469" y="5578009"/>
          <a:chExt cx="5433757" cy="3928004"/>
        </a:xfrm>
      </xdr:grpSpPr>
      <xdr:grpSp>
        <xdr:nvGrpSpPr>
          <xdr:cNvPr id="50" name="Group 49"/>
          <xdr:cNvGrpSpPr/>
        </xdr:nvGrpSpPr>
        <xdr:grpSpPr>
          <a:xfrm>
            <a:off x="5438469" y="5578009"/>
            <a:ext cx="5433757" cy="3928004"/>
            <a:chOff x="5899532" y="5537040"/>
            <a:chExt cx="5433758" cy="3625852"/>
          </a:xfrm>
        </xdr:grpSpPr>
        <xdr:graphicFrame macro="">
          <xdr:nvGraphicFramePr>
            <xdr:cNvPr id="3" name="Chart 2"/>
            <xdr:cNvGraphicFramePr/>
          </xdr:nvGraphicFramePr>
          <xdr:xfrm>
            <a:off x="5899532" y="5537040"/>
            <a:ext cx="5433758" cy="362585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$BL$6">
          <xdr:nvSpPr>
            <xdr:cNvPr id="22" name="Rectangle 21"/>
            <xdr:cNvSpPr/>
          </xdr:nvSpPr>
          <xdr:spPr>
            <a:xfrm>
              <a:off x="8600440" y="5646476"/>
              <a:ext cx="993469" cy="23556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1B52BDBB-1B8E-4EEE-8ECF-281E9B2F0E7C}" type="TxLink">
                <a:rPr lang="th-TH" sz="1100">
                  <a:solidFill>
                    <a:schemeClr val="tx1"/>
                  </a:solidFill>
                </a:rPr>
                <a:pPr algn="ctr"/>
                <a:t>55.00 cm.</a:t>
              </a:fld>
              <a:endParaRPr lang="th-TH" sz="1100">
                <a:solidFill>
                  <a:schemeClr val="tx1"/>
                </a:solidFill>
              </a:endParaRPr>
            </a:p>
          </xdr:txBody>
        </xdr:sp>
        <xdr:sp macro="" textlink="$BL$7">
          <xdr:nvSpPr>
            <xdr:cNvPr id="23" name="Rectangle 22"/>
            <xdr:cNvSpPr/>
          </xdr:nvSpPr>
          <xdr:spPr>
            <a:xfrm>
              <a:off x="10667343" y="7221654"/>
              <a:ext cx="327742" cy="9525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vert="vert" rtlCol="0" anchor="ctr"/>
            <a:lstStyle/>
            <a:p>
              <a:pPr algn="ctr"/>
              <a:fld id="{021C8AB9-E674-4023-B6CA-DBE43B584C01}" type="TxLink">
                <a:rPr lang="th-TH" sz="1100">
                  <a:solidFill>
                    <a:schemeClr val="tx1"/>
                  </a:solidFill>
                </a:rPr>
                <a:pPr algn="ctr"/>
                <a:t>90.00 cm.</a:t>
              </a:fld>
              <a:endParaRPr lang="th-TH" sz="1100">
                <a:solidFill>
                  <a:schemeClr val="tx1"/>
                </a:solidFill>
              </a:endParaRPr>
            </a:p>
          </xdr:txBody>
        </xdr:sp>
        <xdr:sp macro="" textlink="T18">
          <xdr:nvSpPr>
            <xdr:cNvPr id="36" name="Rectangle 35"/>
            <xdr:cNvSpPr/>
          </xdr:nvSpPr>
          <xdr:spPr>
            <a:xfrm>
              <a:off x="6068016" y="6581387"/>
              <a:ext cx="368710" cy="18435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F296B6CA-358E-4FB8-BBDD-C371D1B72AED}" type="TxLink">
                <a:rPr lang="th-TH" sz="900">
                  <a:solidFill>
                    <a:schemeClr val="tx1"/>
                  </a:solidFill>
                </a:rPr>
                <a:pPr algn="ctr"/>
                <a:t>17</a:t>
              </a:fld>
              <a:endParaRPr lang="th-TH" sz="900">
                <a:solidFill>
                  <a:schemeClr val="tx1"/>
                </a:solidFill>
              </a:endParaRPr>
            </a:p>
          </xdr:txBody>
        </xdr:sp>
        <xdr:sp macro="" textlink="U18">
          <xdr:nvSpPr>
            <xdr:cNvPr id="39" name="Rectangle 38"/>
            <xdr:cNvSpPr/>
          </xdr:nvSpPr>
          <xdr:spPr>
            <a:xfrm>
              <a:off x="6276397" y="6575326"/>
              <a:ext cx="368710" cy="18435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5913F2CF-1F38-4978-9286-B64A70F7610C}" type="TxLink">
                <a:rPr lang="th-TH" sz="1100">
                  <a:solidFill>
                    <a:schemeClr val="tx1"/>
                  </a:solidFill>
                </a:rPr>
                <a:pPr algn="ctr"/>
                <a:t>DB</a:t>
              </a:fld>
              <a:endParaRPr lang="th-TH" sz="1100">
                <a:solidFill>
                  <a:schemeClr val="tx1"/>
                </a:solidFill>
              </a:endParaRPr>
            </a:p>
          </xdr:txBody>
        </xdr:sp>
        <xdr:sp macro="" textlink="V18">
          <xdr:nvSpPr>
            <xdr:cNvPr id="40" name="Rectangle 39"/>
            <xdr:cNvSpPr/>
          </xdr:nvSpPr>
          <xdr:spPr>
            <a:xfrm>
              <a:off x="6385895" y="6574539"/>
              <a:ext cx="839832" cy="19459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D849AE29-5288-4F89-BDCA-1A91A7E7E3BD}" type="TxLink">
                <a:rPr lang="th-TH" sz="900">
                  <a:solidFill>
                    <a:schemeClr val="tx1"/>
                  </a:solidFill>
                </a:rPr>
                <a:pPr algn="ctr"/>
                <a:t>16 mm.</a:t>
              </a:fld>
              <a:endParaRPr lang="th-TH" sz="900">
                <a:solidFill>
                  <a:schemeClr val="tx1"/>
                </a:solidFill>
              </a:endParaRPr>
            </a:p>
          </xdr:txBody>
        </xdr:sp>
        <xdr:sp macro="" textlink="$U$19">
          <xdr:nvSpPr>
            <xdr:cNvPr id="41" name="Rectangle 40"/>
            <xdr:cNvSpPr/>
          </xdr:nvSpPr>
          <xdr:spPr>
            <a:xfrm>
              <a:off x="5966751" y="7736566"/>
              <a:ext cx="368710" cy="18435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121611F5-8E26-4080-A155-92F91E55BE1C}" type="TxLink">
                <a:rPr lang="th-TH" sz="900">
                  <a:solidFill>
                    <a:schemeClr val="tx1"/>
                  </a:solidFill>
                </a:rPr>
                <a:pPr algn="ctr"/>
                <a:t>6</a:t>
              </a:fld>
              <a:endParaRPr lang="th-TH" sz="900">
                <a:solidFill>
                  <a:schemeClr val="tx1"/>
                </a:solidFill>
              </a:endParaRPr>
            </a:p>
          </xdr:txBody>
        </xdr:sp>
        <xdr:sp macro="" textlink="$V$19">
          <xdr:nvSpPr>
            <xdr:cNvPr id="42" name="Rectangle 41"/>
            <xdr:cNvSpPr/>
          </xdr:nvSpPr>
          <xdr:spPr>
            <a:xfrm>
              <a:off x="6143226" y="7731392"/>
              <a:ext cx="368710" cy="18435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B891D993-DD6C-42C5-891C-46B10DA0F1B1}" type="TxLink">
                <a:rPr lang="th-TH" sz="1100">
                  <a:solidFill>
                    <a:schemeClr val="tx1"/>
                  </a:solidFill>
                </a:rPr>
                <a:pPr algn="ctr"/>
                <a:t>RB</a:t>
              </a:fld>
              <a:endParaRPr lang="th-TH" sz="1100">
                <a:solidFill>
                  <a:schemeClr val="tx1"/>
                </a:solidFill>
              </a:endParaRPr>
            </a:p>
          </xdr:txBody>
        </xdr:sp>
        <xdr:sp macro="" textlink="$W$19">
          <xdr:nvSpPr>
            <xdr:cNvPr id="43" name="Rectangle 42"/>
            <xdr:cNvSpPr/>
          </xdr:nvSpPr>
          <xdr:spPr>
            <a:xfrm>
              <a:off x="6210575" y="7719031"/>
              <a:ext cx="1106123" cy="21507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44F23CA1-2039-4A8B-BEE8-4CA4F4AC4A82}" type="TxLink">
                <a:rPr lang="th-TH" sz="900">
                  <a:solidFill>
                    <a:schemeClr val="tx1"/>
                  </a:solidFill>
                </a:rPr>
                <a:pPr algn="ctr"/>
                <a:t>@ 37.45 cm.</a:t>
              </a:fld>
              <a:endParaRPr lang="th-TH" sz="900">
                <a:solidFill>
                  <a:schemeClr val="tx1"/>
                </a:solidFill>
              </a:endParaRPr>
            </a:p>
          </xdr:txBody>
        </xdr:sp>
        <xdr:sp macro="" textlink="$T$17">
          <xdr:nvSpPr>
            <xdr:cNvPr id="44" name="Rectangle 43"/>
            <xdr:cNvSpPr/>
          </xdr:nvSpPr>
          <xdr:spPr>
            <a:xfrm>
              <a:off x="6036563" y="8600093"/>
              <a:ext cx="368710" cy="22615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0729456A-C0FB-4B1A-9005-07B024F639CE}" type="TxLink">
                <a:rPr lang="th-TH" sz="900">
                  <a:solidFill>
                    <a:schemeClr val="tx1"/>
                  </a:solidFill>
                </a:rPr>
                <a:pPr algn="ctr"/>
                <a:t>42</a:t>
              </a:fld>
              <a:endParaRPr lang="th-TH" sz="900">
                <a:solidFill>
                  <a:schemeClr val="tx1"/>
                </a:solidFill>
              </a:endParaRPr>
            </a:p>
          </xdr:txBody>
        </xdr:sp>
        <xdr:sp macro="" textlink="$U$17">
          <xdr:nvSpPr>
            <xdr:cNvPr id="45" name="Rectangle 44"/>
            <xdr:cNvSpPr/>
          </xdr:nvSpPr>
          <xdr:spPr>
            <a:xfrm>
              <a:off x="6206250" y="8602179"/>
              <a:ext cx="368710" cy="21677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5D27F4AB-07DF-4AA5-BFE9-BAF323A5462B}" type="TxLink">
                <a:rPr lang="th-TH" sz="1100">
                  <a:solidFill>
                    <a:schemeClr val="tx1"/>
                  </a:solidFill>
                </a:rPr>
                <a:pPr algn="ctr"/>
                <a:t>DB</a:t>
              </a:fld>
              <a:endParaRPr lang="th-TH" sz="1100">
                <a:solidFill>
                  <a:schemeClr val="tx1"/>
                </a:solidFill>
              </a:endParaRPr>
            </a:p>
          </xdr:txBody>
        </xdr:sp>
        <xdr:sp macro="" textlink="$V$17">
          <xdr:nvSpPr>
            <xdr:cNvPr id="46" name="Rectangle 45"/>
            <xdr:cNvSpPr/>
          </xdr:nvSpPr>
          <xdr:spPr>
            <a:xfrm>
              <a:off x="6309216" y="8602915"/>
              <a:ext cx="839832" cy="23519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fld id="{1C838376-22FE-458E-8119-B9E3F3F32F1C}" type="TxLink">
                <a:rPr lang="th-TH" sz="900">
                  <a:solidFill>
                    <a:schemeClr val="tx1"/>
                  </a:solidFill>
                </a:rPr>
                <a:pPr algn="ctr"/>
                <a:t>16 mm.</a:t>
              </a:fld>
              <a:endParaRPr lang="th-TH" sz="9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51" name="Rectangle 50"/>
          <xdr:cNvSpPr/>
        </xdr:nvSpPr>
        <xdr:spPr>
          <a:xfrm>
            <a:off x="5532198" y="7589275"/>
            <a:ext cx="962742" cy="32774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l"/>
            <a:r>
              <a:rPr lang="en-US" sz="1100" b="1">
                <a:solidFill>
                  <a:srgbClr val="002060"/>
                </a:solidFill>
              </a:rPr>
              <a:t>Strirup</a:t>
            </a:r>
            <a:endParaRPr lang="th-TH" sz="1100" b="1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32</xdr:col>
      <xdr:colOff>244636</xdr:colOff>
      <xdr:row>27</xdr:row>
      <xdr:rowOff>190984</xdr:rowOff>
    </xdr:from>
    <xdr:to>
      <xdr:col>35</xdr:col>
      <xdr:colOff>22423</xdr:colOff>
      <xdr:row>33</xdr:row>
      <xdr:rowOff>83554</xdr:rowOff>
    </xdr:to>
    <xdr:grpSp>
      <xdr:nvGrpSpPr>
        <xdr:cNvPr id="88" name="Group 87"/>
        <xdr:cNvGrpSpPr/>
      </xdr:nvGrpSpPr>
      <xdr:grpSpPr>
        <a:xfrm>
          <a:off x="14604023" y="6256432"/>
          <a:ext cx="1395240" cy="1240447"/>
          <a:chOff x="5794192" y="10787168"/>
          <a:chExt cx="1380242" cy="1001484"/>
        </a:xfrm>
      </xdr:grpSpPr>
      <xdr:grpSp>
        <xdr:nvGrpSpPr>
          <xdr:cNvPr id="53" name="Group 52"/>
          <xdr:cNvGrpSpPr/>
        </xdr:nvGrpSpPr>
        <xdr:grpSpPr>
          <a:xfrm>
            <a:off x="5794192" y="10793438"/>
            <a:ext cx="1286271" cy="992185"/>
            <a:chOff x="18547242" y="355602"/>
            <a:chExt cx="863142" cy="537218"/>
          </a:xfrm>
        </xdr:grpSpPr>
        <xdr:grpSp>
          <xdr:nvGrpSpPr>
            <xdr:cNvPr id="54" name="Group 26"/>
            <xdr:cNvGrpSpPr/>
          </xdr:nvGrpSpPr>
          <xdr:grpSpPr>
            <a:xfrm>
              <a:off x="18547242" y="361143"/>
              <a:ext cx="795713" cy="531677"/>
              <a:chOff x="19606435" y="617667"/>
              <a:chExt cx="796280" cy="510754"/>
            </a:xfrm>
          </xdr:grpSpPr>
          <xdr:sp macro="" textlink="">
            <xdr:nvSpPr>
              <xdr:cNvPr id="60" name="Rectangle 59"/>
              <xdr:cNvSpPr/>
            </xdr:nvSpPr>
            <xdr:spPr>
              <a:xfrm>
                <a:off x="19606435" y="617667"/>
                <a:ext cx="467503" cy="510754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28575">
                <a:solidFill>
                  <a:schemeClr val="bg1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th-TH" sz="1100"/>
              </a:p>
            </xdr:txBody>
          </xdr:sp>
          <xdr:sp macro="" textlink="">
            <xdr:nvSpPr>
              <xdr:cNvPr id="61" name="Rectangle 60"/>
              <xdr:cNvSpPr/>
            </xdr:nvSpPr>
            <xdr:spPr>
              <a:xfrm>
                <a:off x="19659769" y="661014"/>
                <a:ext cx="363637" cy="415614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 w="19050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th-TH" sz="1100"/>
              </a:p>
            </xdr:txBody>
          </xdr:sp>
          <xdr:sp macro="" textlink="">
            <xdr:nvSpPr>
              <xdr:cNvPr id="62" name="Flowchart: Connector 61"/>
              <xdr:cNvSpPr/>
            </xdr:nvSpPr>
            <xdr:spPr>
              <a:xfrm>
                <a:off x="19672466" y="1048675"/>
                <a:ext cx="18000" cy="18000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th-TH" sz="1100"/>
              </a:p>
            </xdr:txBody>
          </xdr:sp>
          <xdr:sp macro="" textlink="">
            <xdr:nvSpPr>
              <xdr:cNvPr id="63" name="Flowchart: Connector 62"/>
              <xdr:cNvSpPr/>
            </xdr:nvSpPr>
            <xdr:spPr>
              <a:xfrm>
                <a:off x="19992331" y="1047556"/>
                <a:ext cx="18000" cy="18000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th-TH" sz="1100"/>
              </a:p>
            </xdr:txBody>
          </xdr:sp>
          <xdr:sp macro="" textlink="">
            <xdr:nvSpPr>
              <xdr:cNvPr id="64" name="Flowchart: Connector 63"/>
              <xdr:cNvSpPr/>
            </xdr:nvSpPr>
            <xdr:spPr>
              <a:xfrm>
                <a:off x="19836834" y="1049076"/>
                <a:ext cx="18000" cy="18000"/>
              </a:xfrm>
              <a:prstGeom prst="flowChartConnector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rtlCol="0" anchor="ctr"/>
              <a:lstStyle/>
              <a:p>
                <a:pPr algn="ctr"/>
                <a:endParaRPr lang="th-TH" sz="1100"/>
              </a:p>
            </xdr:txBody>
          </xdr:sp>
          <xdr:sp macro="" textlink="">
            <xdr:nvSpPr>
              <xdr:cNvPr id="68" name="TextBox 67"/>
              <xdr:cNvSpPr txBox="1"/>
            </xdr:nvSpPr>
            <xdr:spPr>
              <a:xfrm>
                <a:off x="20289862" y="773226"/>
                <a:ext cx="112853" cy="17593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vert="vert" wrap="square" rtlCol="0" anchor="ctr"/>
              <a:lstStyle/>
              <a:p>
                <a:pPr algn="r"/>
                <a:r>
                  <a:rPr lang="en-US" sz="800" b="1">
                    <a:solidFill>
                      <a:srgbClr val="002060"/>
                    </a:solidFill>
                  </a:rPr>
                  <a:t>d</a:t>
                </a:r>
                <a:r>
                  <a:rPr lang="en-US" sz="800" b="1" baseline="0">
                    <a:solidFill>
                      <a:srgbClr val="002060"/>
                    </a:solidFill>
                  </a:rPr>
                  <a:t> </a:t>
                </a:r>
                <a:r>
                  <a:rPr lang="en-US" sz="800" b="1" baseline="0">
                    <a:solidFill>
                      <a:srgbClr val="FF0000"/>
                    </a:solidFill>
                  </a:rPr>
                  <a:t>use</a:t>
                </a:r>
              </a:p>
              <a:p>
                <a:pPr algn="r"/>
                <a:endParaRPr lang="en-US" sz="800" b="1">
                  <a:solidFill>
                    <a:srgbClr val="002060"/>
                  </a:solidFill>
                </a:endParaRPr>
              </a:p>
              <a:p>
                <a:pPr algn="r"/>
                <a:endParaRPr lang="en-US" sz="800" b="1">
                  <a:solidFill>
                    <a:srgbClr val="002060"/>
                  </a:solidFill>
                </a:endParaRPr>
              </a:p>
            </xdr:txBody>
          </xdr:sp>
        </xdr:grpSp>
        <xdr:sp macro="" textlink="">
          <xdr:nvSpPr>
            <xdr:cNvPr id="55" name="Flowchart: Connector 54"/>
            <xdr:cNvSpPr/>
          </xdr:nvSpPr>
          <xdr:spPr>
            <a:xfrm>
              <a:off x="18933968" y="696354"/>
              <a:ext cx="18000" cy="16077"/>
            </a:xfrm>
            <a:prstGeom prst="flowChartConnector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en-US" sz="1100"/>
                <a:t>.</a:t>
              </a:r>
              <a:endParaRPr lang="th-TH" sz="1100"/>
            </a:p>
          </xdr:txBody>
        </xdr:sp>
        <xdr:cxnSp macro="">
          <xdr:nvCxnSpPr>
            <xdr:cNvPr id="56" name="Straight Connector 55"/>
            <xdr:cNvCxnSpPr/>
          </xdr:nvCxnSpPr>
          <xdr:spPr>
            <a:xfrm rot="10800000" flipV="1">
              <a:off x="19051795" y="756625"/>
              <a:ext cx="119356" cy="0"/>
            </a:xfrm>
            <a:prstGeom prst="line">
              <a:avLst/>
            </a:prstGeom>
            <a:ln w="6350">
              <a:solidFill>
                <a:srgbClr val="FF0000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Connector 56"/>
            <xdr:cNvCxnSpPr/>
          </xdr:nvCxnSpPr>
          <xdr:spPr>
            <a:xfrm flipV="1">
              <a:off x="19051643" y="358514"/>
              <a:ext cx="358741" cy="0"/>
            </a:xfrm>
            <a:prstGeom prst="line">
              <a:avLst/>
            </a:prstGeom>
            <a:ln w="6350">
              <a:solidFill>
                <a:srgbClr val="FF0000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Straight Connector 57"/>
            <xdr:cNvCxnSpPr/>
          </xdr:nvCxnSpPr>
          <xdr:spPr>
            <a:xfrm rot="16200000" flipH="1">
              <a:off x="18948360" y="558244"/>
              <a:ext cx="405283" cy="0"/>
            </a:xfrm>
            <a:prstGeom prst="line">
              <a:avLst/>
            </a:prstGeom>
            <a:ln w="6350">
              <a:solidFill>
                <a:srgbClr val="FF0000"/>
              </a:solidFill>
              <a:prstDash val="sys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69" name="Straight Connector 68"/>
          <xdr:cNvCxnSpPr/>
        </xdr:nvCxnSpPr>
        <xdr:spPr>
          <a:xfrm rot="5400000" flipH="1" flipV="1">
            <a:off x="6396315" y="11218913"/>
            <a:ext cx="862106" cy="1289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/>
          <xdr:cNvCxnSpPr/>
        </xdr:nvCxnSpPr>
        <xdr:spPr>
          <a:xfrm rot="10800000" flipV="1">
            <a:off x="6544310" y="11644364"/>
            <a:ext cx="318856" cy="0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/>
          <xdr:cNvCxnSpPr/>
        </xdr:nvCxnSpPr>
        <xdr:spPr>
          <a:xfrm rot="5400000" flipH="1" flipV="1">
            <a:off x="6543346" y="11287265"/>
            <a:ext cx="1001484" cy="1289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/>
          <xdr:cNvCxnSpPr/>
        </xdr:nvCxnSpPr>
        <xdr:spPr>
          <a:xfrm flipV="1">
            <a:off x="6538551" y="11785560"/>
            <a:ext cx="535671" cy="0"/>
          </a:xfrm>
          <a:prstGeom prst="line">
            <a:avLst/>
          </a:prstGeom>
          <a:ln w="6350">
            <a:solidFill>
              <a:srgbClr val="FF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" name="Rectangle 85"/>
          <xdr:cNvSpPr/>
        </xdr:nvSpPr>
        <xdr:spPr>
          <a:xfrm rot="5400000">
            <a:off x="6429168" y="11137966"/>
            <a:ext cx="631320" cy="16429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800" b="1">
                <a:solidFill>
                  <a:srgbClr val="002060"/>
                </a:solidFill>
              </a:rPr>
              <a:t>d</a:t>
            </a:r>
            <a:r>
              <a:rPr lang="en-US" sz="800">
                <a:solidFill>
                  <a:srgbClr val="0070C0"/>
                </a:solidFill>
              </a:rPr>
              <a:t> </a:t>
            </a:r>
            <a:r>
              <a:rPr lang="en-US" sz="800">
                <a:solidFill>
                  <a:srgbClr val="FF0000"/>
                </a:solidFill>
              </a:rPr>
              <a:t>balance</a:t>
            </a:r>
          </a:p>
          <a:p>
            <a:pPr algn="ctr"/>
            <a:endParaRPr lang="th-TH" sz="800">
              <a:solidFill>
                <a:srgbClr val="FF0000"/>
              </a:solidFill>
            </a:endParaRPr>
          </a:p>
        </xdr:txBody>
      </xdr:sp>
      <xdr:sp macro="" textlink="">
        <xdr:nvSpPr>
          <xdr:cNvPr id="87" name="Rectangle 86"/>
          <xdr:cNvSpPr/>
        </xdr:nvSpPr>
        <xdr:spPr>
          <a:xfrm rot="5400000">
            <a:off x="6931353" y="11222656"/>
            <a:ext cx="335608" cy="15055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800" b="1">
                <a:solidFill>
                  <a:srgbClr val="002060"/>
                </a:solidFill>
              </a:rPr>
              <a:t>h</a:t>
            </a:r>
            <a:endParaRPr lang="th-TH" sz="800" b="1">
              <a:solidFill>
                <a:srgbClr val="002060"/>
              </a:solidFill>
            </a:endParaRPr>
          </a:p>
        </xdr:txBody>
      </xdr:sp>
    </xdr:grpSp>
    <xdr:clientData/>
  </xdr:twoCellAnchor>
  <xdr:twoCellAnchor editAs="oneCell">
    <xdr:from>
      <xdr:col>1</xdr:col>
      <xdr:colOff>20934</xdr:colOff>
      <xdr:row>0</xdr:row>
      <xdr:rowOff>31402</xdr:rowOff>
    </xdr:from>
    <xdr:to>
      <xdr:col>2</xdr:col>
      <xdr:colOff>430253</xdr:colOff>
      <xdr:row>2</xdr:row>
      <xdr:rowOff>212552</xdr:rowOff>
    </xdr:to>
    <xdr:pic>
      <xdr:nvPicPr>
        <xdr:cNvPr id="59" name="Picture 58" descr="SAU_LOGO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1" y="31402"/>
          <a:ext cx="859402" cy="641699"/>
        </a:xfrm>
        <a:prstGeom prst="rect">
          <a:avLst/>
        </a:prstGeom>
        <a:ln w="19050" cap="sq">
          <a:solidFill>
            <a:srgbClr val="002060"/>
          </a:solidFill>
          <a:prstDash val="solid"/>
          <a:miter lim="800000"/>
        </a:ln>
        <a:effectLst/>
      </xdr:spPr>
    </xdr:pic>
    <xdr:clientData/>
  </xdr:twoCellAnchor>
  <xdr:twoCellAnchor>
    <xdr:from>
      <xdr:col>13</xdr:col>
      <xdr:colOff>34699</xdr:colOff>
      <xdr:row>42</xdr:row>
      <xdr:rowOff>141516</xdr:rowOff>
    </xdr:from>
    <xdr:to>
      <xdr:col>24</xdr:col>
      <xdr:colOff>442232</xdr:colOff>
      <xdr:row>58</xdr:row>
      <xdr:rowOff>8505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13"/>
  <sheetViews>
    <sheetView tabSelected="1" zoomScale="106" zoomScaleNormal="106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L13" sqref="L13"/>
    </sheetView>
  </sheetViews>
  <sheetFormatPr defaultColWidth="6.7109375" defaultRowHeight="18" customHeight="1"/>
  <cols>
    <col min="1" max="1" width="1.7109375" style="1" customWidth="1"/>
    <col min="2" max="3" width="6.7109375" style="1"/>
    <col min="4" max="4" width="7" style="1" bestFit="1" customWidth="1"/>
    <col min="5" max="7" width="6.7109375" style="1"/>
    <col min="8" max="8" width="7.42578125" style="1" bestFit="1" customWidth="1"/>
    <col min="9" max="9" width="6.7109375" style="3"/>
    <col min="10" max="12" width="6.7109375" style="1"/>
    <col min="13" max="13" width="6.7109375" style="2"/>
    <col min="14" max="16" width="6.7109375" style="1"/>
    <col min="17" max="17" width="8.42578125" style="1" bestFit="1" customWidth="1"/>
    <col min="18" max="18" width="6.7109375" style="3"/>
    <col min="19" max="21" width="6.7109375" style="1"/>
    <col min="22" max="22" width="6.7109375" style="1" customWidth="1"/>
    <col min="23" max="27" width="6.7109375" style="1"/>
    <col min="28" max="28" width="8.7109375" style="3" customWidth="1"/>
    <col min="29" max="31" width="6.7109375" style="3"/>
    <col min="32" max="33" width="6.7109375" style="1"/>
    <col min="34" max="35" width="8.7109375" style="1" customWidth="1"/>
    <col min="36" max="36" width="7.7109375" style="1" customWidth="1"/>
    <col min="37" max="37" width="8.42578125" style="1" bestFit="1" customWidth="1"/>
    <col min="38" max="43" width="6.7109375" style="1"/>
    <col min="44" max="44" width="7.7109375" style="1" bestFit="1" customWidth="1"/>
    <col min="45" max="48" width="6.7109375" style="1"/>
    <col min="49" max="49" width="9.42578125" style="1" bestFit="1" customWidth="1"/>
    <col min="50" max="50" width="6.7109375" style="1"/>
    <col min="51" max="51" width="8" style="1" bestFit="1" customWidth="1"/>
    <col min="52" max="60" width="6.7109375" style="1"/>
    <col min="61" max="63" width="3.7109375" style="1" customWidth="1"/>
    <col min="64" max="65" width="6.7109375" style="1" customWidth="1"/>
    <col min="66" max="66" width="3.7109375" style="1" customWidth="1"/>
    <col min="67" max="67" width="6.7109375" style="1"/>
    <col min="68" max="68" width="3.7109375" style="1" customWidth="1"/>
    <col min="69" max="69" width="6.7109375" style="1"/>
    <col min="70" max="70" width="3.7109375" style="3" customWidth="1"/>
    <col min="71" max="71" width="6.7109375" style="1"/>
    <col min="72" max="72" width="3.7109375" style="3" customWidth="1"/>
    <col min="73" max="73" width="6.7109375" style="1"/>
    <col min="74" max="74" width="3.7109375" style="3" customWidth="1"/>
    <col min="75" max="75" width="6.7109375" style="1"/>
    <col min="76" max="76" width="3.7109375" style="3" customWidth="1"/>
    <col min="77" max="77" width="6.7109375" style="1"/>
    <col min="78" max="78" width="3.7109375" style="1" customWidth="1"/>
    <col min="79" max="79" width="6.7109375" style="1"/>
    <col min="80" max="80" width="3.7109375" style="1" customWidth="1"/>
    <col min="81" max="81" width="6.7109375" style="1"/>
    <col min="82" max="82" width="3.7109375" style="1" customWidth="1"/>
    <col min="83" max="83" width="6.7109375" style="1"/>
    <col min="84" max="84" width="3.7109375" style="1" customWidth="1"/>
    <col min="85" max="85" width="6.7109375" style="1"/>
    <col min="86" max="86" width="7.140625" style="1" bestFit="1" customWidth="1"/>
    <col min="87" max="16384" width="6.7109375" style="1"/>
  </cols>
  <sheetData>
    <row r="1" spans="1:87" ht="18" customHeight="1">
      <c r="D1" s="117" t="s">
        <v>143</v>
      </c>
      <c r="E1" s="109"/>
      <c r="F1" s="109"/>
      <c r="G1" s="110"/>
      <c r="H1" s="172" t="s">
        <v>140</v>
      </c>
      <c r="I1" s="173"/>
      <c r="J1" s="173"/>
      <c r="K1" s="173"/>
      <c r="L1" s="173"/>
      <c r="M1" s="173"/>
      <c r="N1" s="173"/>
      <c r="O1" s="173"/>
      <c r="P1" s="173"/>
      <c r="Q1" s="99"/>
      <c r="R1" s="100"/>
      <c r="S1" s="99"/>
      <c r="T1" s="99"/>
      <c r="U1" s="99"/>
      <c r="V1" s="101"/>
    </row>
    <row r="2" spans="1:87" ht="18" customHeight="1">
      <c r="D2" s="111"/>
      <c r="E2" s="112"/>
      <c r="F2" s="112"/>
      <c r="G2" s="113"/>
      <c r="H2" s="102"/>
      <c r="I2" s="103"/>
      <c r="J2" s="102"/>
      <c r="K2" s="102"/>
      <c r="L2" s="102"/>
      <c r="M2" s="103"/>
      <c r="N2" s="102"/>
      <c r="O2" s="102"/>
      <c r="P2" s="102"/>
      <c r="Q2" s="102"/>
      <c r="R2" s="103"/>
      <c r="S2" s="102"/>
      <c r="T2" s="102"/>
      <c r="U2" s="102"/>
      <c r="V2" s="104"/>
    </row>
    <row r="3" spans="1:87" ht="18" customHeight="1" thickBot="1">
      <c r="D3" s="114" t="s">
        <v>142</v>
      </c>
      <c r="E3" s="115"/>
      <c r="F3" s="115"/>
      <c r="G3" s="116"/>
      <c r="H3" s="174" t="s">
        <v>144</v>
      </c>
      <c r="I3" s="174"/>
      <c r="J3" s="174"/>
      <c r="K3" s="174"/>
      <c r="L3" s="174"/>
      <c r="M3" s="174"/>
      <c r="N3" s="105"/>
      <c r="O3" s="107" t="s">
        <v>145</v>
      </c>
      <c r="P3" s="105"/>
      <c r="Q3" s="105"/>
      <c r="R3" s="108" t="s">
        <v>141</v>
      </c>
      <c r="S3" s="107" t="s">
        <v>137</v>
      </c>
      <c r="T3" s="107"/>
      <c r="U3" s="107"/>
      <c r="V3" s="106"/>
    </row>
    <row r="4" spans="1:87" ht="18" customHeight="1" thickBot="1">
      <c r="M4" s="3"/>
    </row>
    <row r="5" spans="1:87" ht="18" customHeight="1" thickBot="1">
      <c r="B5" s="48"/>
      <c r="C5" s="183" t="s">
        <v>30</v>
      </c>
      <c r="D5" s="183"/>
      <c r="E5" s="183"/>
      <c r="F5" s="183"/>
      <c r="G5" s="183"/>
      <c r="H5" s="183"/>
      <c r="I5" s="50"/>
      <c r="J5" s="50"/>
      <c r="K5" s="49"/>
      <c r="L5" s="49"/>
      <c r="M5" s="50"/>
      <c r="N5" s="49"/>
      <c r="O5" s="49"/>
      <c r="P5" s="49"/>
      <c r="Q5" s="49"/>
      <c r="R5" s="50"/>
      <c r="S5" s="49"/>
      <c r="T5" s="49"/>
      <c r="U5" s="49"/>
      <c r="V5" s="49"/>
      <c r="W5" s="49"/>
      <c r="X5" s="49"/>
      <c r="Y5" s="49"/>
      <c r="Z5" s="49"/>
      <c r="AA5" s="49"/>
      <c r="AB5" s="50"/>
      <c r="AC5" s="50"/>
      <c r="AD5" s="50"/>
      <c r="AE5" s="50"/>
      <c r="AF5" s="49"/>
      <c r="AG5" s="49"/>
      <c r="AH5" s="49"/>
      <c r="AI5" s="49"/>
      <c r="AJ5" s="49"/>
      <c r="AK5" s="49"/>
      <c r="AL5" s="49"/>
      <c r="AM5" s="49"/>
      <c r="AN5" s="49"/>
      <c r="AO5" s="51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87" ht="18" customHeight="1">
      <c r="A6" s="5"/>
      <c r="B6" s="52"/>
      <c r="C6" s="44" t="s">
        <v>31</v>
      </c>
      <c r="D6" s="43"/>
      <c r="E6" s="9"/>
      <c r="F6" s="9"/>
      <c r="G6" s="9"/>
      <c r="H6" s="9"/>
      <c r="I6" s="8"/>
      <c r="J6" s="9"/>
      <c r="K6" s="9"/>
      <c r="L6" s="9"/>
      <c r="M6" s="8"/>
      <c r="N6" s="157">
        <v>1</v>
      </c>
      <c r="O6" s="9"/>
      <c r="P6" s="9"/>
      <c r="Q6" s="9"/>
      <c r="R6" s="8"/>
      <c r="S6" s="9"/>
      <c r="T6" s="9"/>
      <c r="U6" s="9"/>
      <c r="V6" s="9"/>
      <c r="W6" s="9"/>
      <c r="X6" s="9"/>
      <c r="Y6" s="9"/>
      <c r="Z6" s="9"/>
      <c r="AA6" s="9"/>
      <c r="AB6" s="157">
        <v>2</v>
      </c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53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I6" s="62"/>
      <c r="BK6" s="1" t="s">
        <v>89</v>
      </c>
      <c r="BL6" s="175">
        <f>$H$17*100</f>
        <v>55.000000000000007</v>
      </c>
      <c r="BM6" s="175"/>
      <c r="BN6" s="66" t="s">
        <v>92</v>
      </c>
      <c r="BP6" s="1">
        <f>H19*100</f>
        <v>2.5</v>
      </c>
      <c r="BQ6" s="1" t="s">
        <v>53</v>
      </c>
    </row>
    <row r="7" spans="1:87" ht="18" customHeight="1">
      <c r="A7" s="5"/>
      <c r="B7" s="52"/>
      <c r="C7" s="9" t="s">
        <v>0</v>
      </c>
      <c r="D7" s="9"/>
      <c r="E7" s="9"/>
      <c r="F7" s="9"/>
      <c r="G7" s="9"/>
      <c r="H7" s="127">
        <v>150</v>
      </c>
      <c r="I7" s="8" t="s">
        <v>3</v>
      </c>
      <c r="J7" s="9"/>
      <c r="K7" s="9"/>
      <c r="L7" s="9"/>
      <c r="M7" s="8"/>
      <c r="N7" s="180" t="str">
        <f>IF(H32&gt;H24," Singly Reignforced Design :"," Doubly Reignforced Design :")</f>
        <v xml:space="preserve"> Doubly Reignforced Design :</v>
      </c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2"/>
      <c r="Z7" s="9"/>
      <c r="AA7" s="9"/>
      <c r="AB7" s="150" t="s">
        <v>81</v>
      </c>
      <c r="AC7" s="184" t="s">
        <v>83</v>
      </c>
      <c r="AD7" s="185"/>
      <c r="AE7" s="185"/>
      <c r="AF7" s="185"/>
      <c r="AG7" s="185"/>
      <c r="AH7" s="185"/>
      <c r="AI7" s="185"/>
      <c r="AJ7" s="185"/>
      <c r="AK7" s="185"/>
      <c r="AL7" s="186"/>
      <c r="AM7" s="187"/>
      <c r="AN7" s="91"/>
      <c r="AO7" s="53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K7" s="1" t="s">
        <v>90</v>
      </c>
      <c r="BL7" s="176">
        <f>$H$18*100</f>
        <v>90</v>
      </c>
      <c r="BM7" s="176"/>
      <c r="BN7" s="1" t="s">
        <v>93</v>
      </c>
      <c r="BP7" s="1">
        <f>H20*100</f>
        <v>4</v>
      </c>
      <c r="BQ7" s="1" t="s">
        <v>53</v>
      </c>
    </row>
    <row r="8" spans="1:87" ht="18" customHeight="1">
      <c r="A8" s="3"/>
      <c r="B8" s="54"/>
      <c r="C8" s="44" t="s">
        <v>32</v>
      </c>
      <c r="D8" s="44"/>
      <c r="E8" s="23"/>
      <c r="F8" s="9"/>
      <c r="G8" s="9"/>
      <c r="H8" s="29"/>
      <c r="I8" s="8"/>
      <c r="J8" s="9"/>
      <c r="K8" s="9"/>
      <c r="L8" s="9"/>
      <c r="M8" s="8"/>
      <c r="N8" s="12" t="s">
        <v>27</v>
      </c>
      <c r="O8" s="9"/>
      <c r="P8" s="9"/>
      <c r="Q8" s="10">
        <f>IF(AND(D47="Tu &gt;Tu min",F33="Design as Doubly Reign."),ROUND(H37+H38+(MAX(H67,H64)/2),2),IF(AND(D47="Tu &gt;Tu min",F33="Design as Singly Reign."),ROUND(H36+MAX(H67,H64),2),IF(AND(D47="Tu &lt; Tu min",F33="Design as Doubly Reign."),ROUND(H37+H38,2),IF(AND(D47="Tu &lt; Tu min",F33="Design as Singly Reign."),H36))))</f>
        <v>82.73</v>
      </c>
      <c r="R8" s="8" t="s">
        <v>25</v>
      </c>
      <c r="S8" s="12" t="str">
        <f>IF(F33="Design as Singly Reign.","As req. for fix strirup",IF(F33="Design as Doubly Reign.","As' req.(Compresion)"))</f>
        <v>As' req.(Compresion)</v>
      </c>
      <c r="T8" s="9"/>
      <c r="U8" s="9"/>
      <c r="V8" s="9"/>
      <c r="W8" s="9"/>
      <c r="X8" s="10">
        <f>IF(F33="Design as Singly Reign.",ROUND(2*(PI()*Q9^2/400),2),IF(AND(D47="Tu &gt;Tu min",F33="Design as Doubly Reign."),ROUND(H38+(MAX(H67,H64)/2),2),H38))</f>
        <v>32.799999999999997</v>
      </c>
      <c r="Y8" s="16" t="s">
        <v>25</v>
      </c>
      <c r="Z8" s="9"/>
      <c r="AA8" s="9"/>
      <c r="AB8" s="19">
        <v>1</v>
      </c>
      <c r="AC8" s="8"/>
      <c r="AD8" s="8"/>
      <c r="AE8" s="8" t="s">
        <v>5</v>
      </c>
      <c r="AF8" s="8"/>
      <c r="AG8" s="11" t="s">
        <v>77</v>
      </c>
      <c r="AH8" s="8"/>
      <c r="AI8" s="9"/>
      <c r="AJ8" s="9"/>
      <c r="AK8" s="9"/>
      <c r="AL8" s="188" t="s">
        <v>78</v>
      </c>
      <c r="AM8" s="189"/>
      <c r="AN8" s="92"/>
      <c r="AO8" s="53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E8" s="29"/>
      <c r="BF8" s="1" t="s">
        <v>98</v>
      </c>
      <c r="BG8" s="81">
        <f>$BL$6-$BP$7*2</f>
        <v>47.000000000000007</v>
      </c>
      <c r="BH8" s="1" t="s">
        <v>53</v>
      </c>
      <c r="BJ8" s="85" t="s">
        <v>105</v>
      </c>
      <c r="BK8" s="93">
        <v>0</v>
      </c>
      <c r="BL8" s="94"/>
      <c r="BM8" s="93">
        <v>1</v>
      </c>
      <c r="BN8" s="94"/>
      <c r="BO8" s="93">
        <v>2</v>
      </c>
      <c r="BP8" s="94"/>
      <c r="BQ8" s="95">
        <v>3</v>
      </c>
      <c r="BR8" s="96"/>
      <c r="BS8" s="93">
        <v>4</v>
      </c>
      <c r="BT8" s="96"/>
      <c r="BU8" s="93">
        <v>5</v>
      </c>
      <c r="BV8" s="96"/>
      <c r="BW8" s="93">
        <v>6</v>
      </c>
      <c r="BX8" s="96"/>
      <c r="BY8" s="93">
        <v>7</v>
      </c>
      <c r="BZ8" s="94"/>
      <c r="CA8" s="93">
        <v>8</v>
      </c>
      <c r="CB8" s="94"/>
      <c r="CC8" s="93">
        <v>9</v>
      </c>
      <c r="CD8" s="94"/>
      <c r="CE8" s="97">
        <v>10</v>
      </c>
      <c r="CF8" s="94"/>
      <c r="CH8" s="1" t="s">
        <v>127</v>
      </c>
    </row>
    <row r="9" spans="1:87" ht="18" customHeight="1">
      <c r="A9" s="5"/>
      <c r="B9" s="52"/>
      <c r="C9" s="9" t="s">
        <v>1</v>
      </c>
      <c r="D9" s="9"/>
      <c r="E9" s="9"/>
      <c r="F9" s="9"/>
      <c r="G9" s="9"/>
      <c r="H9" s="127">
        <v>3000</v>
      </c>
      <c r="I9" s="8" t="s">
        <v>3</v>
      </c>
      <c r="J9" s="9"/>
      <c r="L9" s="9"/>
      <c r="M9" s="8"/>
      <c r="N9" s="12" t="str">
        <f>IF(H9&lt;3000,"Prov. RB dia Ø",IF(H9&lt;=3000,"Prov.DB dia Ø"))</f>
        <v>Prov.DB dia Ø</v>
      </c>
      <c r="O9" s="9"/>
      <c r="P9" s="9"/>
      <c r="Q9" s="130">
        <v>16</v>
      </c>
      <c r="R9" s="8" t="s">
        <v>21</v>
      </c>
      <c r="S9" s="12" t="str">
        <f>IF(H9&lt;3000,"Prov. RB dia Ø",IF(H9&lt;=3000,"Prov.DB dia Ø"))</f>
        <v>Prov.DB dia Ø</v>
      </c>
      <c r="T9" s="9"/>
      <c r="U9" s="9"/>
      <c r="V9" s="9"/>
      <c r="W9" s="9"/>
      <c r="X9" s="130">
        <v>16</v>
      </c>
      <c r="Y9" s="10" t="s">
        <v>21</v>
      </c>
      <c r="Z9" s="9"/>
      <c r="AA9" s="9"/>
      <c r="AB9" s="20"/>
      <c r="AC9" s="13"/>
      <c r="AD9" s="13"/>
      <c r="AE9" s="13">
        <f>H25</f>
        <v>8000</v>
      </c>
      <c r="AF9" s="25" t="str">
        <f>IF(AE9&gt;AG9,"&gt;","&lt;")</f>
        <v>&lt;</v>
      </c>
      <c r="AG9" s="14">
        <f>H14*0.53*H7^0.5*(H17*100)*(H22*100)</f>
        <v>22729.240922127923</v>
      </c>
      <c r="AH9" s="14"/>
      <c r="AI9" s="143" t="str">
        <f>IF(AF9="&gt;","Shear Reign. Needed","Shear Reign. Can be neglected")</f>
        <v>Shear Reign. Can be neglected</v>
      </c>
      <c r="AJ9" s="14"/>
      <c r="AK9" s="14"/>
      <c r="AL9" s="16">
        <f>IF(AF9="&gt;"," ",H22*100*0.5)</f>
        <v>37.450000000000003</v>
      </c>
      <c r="AM9" s="10" t="s">
        <v>53</v>
      </c>
      <c r="AN9" s="9"/>
      <c r="AO9" s="53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F9" s="1" t="s">
        <v>101</v>
      </c>
      <c r="BG9" s="1">
        <f>Q10</f>
        <v>42</v>
      </c>
      <c r="BH9" s="68" t="s">
        <v>97</v>
      </c>
      <c r="BJ9" s="80" t="s">
        <v>101</v>
      </c>
      <c r="BK9" s="84">
        <v>0</v>
      </c>
      <c r="BL9" s="24" t="s">
        <v>87</v>
      </c>
      <c r="BM9" s="76" t="s">
        <v>99</v>
      </c>
      <c r="BN9" s="77">
        <v>1</v>
      </c>
      <c r="BO9" s="70" t="s">
        <v>100</v>
      </c>
      <c r="BP9" s="75">
        <v>2</v>
      </c>
      <c r="BQ9" s="70" t="s">
        <v>103</v>
      </c>
      <c r="BR9" s="78">
        <v>3</v>
      </c>
      <c r="BS9" s="70" t="s">
        <v>110</v>
      </c>
      <c r="BT9" s="24">
        <v>4</v>
      </c>
      <c r="BU9" s="70" t="s">
        <v>111</v>
      </c>
      <c r="BV9" s="24">
        <v>5</v>
      </c>
      <c r="BW9" s="70" t="s">
        <v>112</v>
      </c>
      <c r="BX9" s="24">
        <v>6</v>
      </c>
      <c r="BY9" s="70" t="s">
        <v>114</v>
      </c>
      <c r="BZ9" s="24">
        <v>7</v>
      </c>
      <c r="CA9" s="70" t="s">
        <v>115</v>
      </c>
      <c r="CB9" s="24">
        <v>8</v>
      </c>
      <c r="CC9" s="70" t="s">
        <v>116</v>
      </c>
      <c r="CD9" s="24">
        <v>9</v>
      </c>
      <c r="CE9" s="70" t="s">
        <v>117</v>
      </c>
      <c r="CF9" s="24">
        <v>10</v>
      </c>
      <c r="CH9" s="28" t="s">
        <v>87</v>
      </c>
      <c r="CI9" s="65" t="s">
        <v>88</v>
      </c>
    </row>
    <row r="10" spans="1:87" ht="18" customHeight="1">
      <c r="B10" s="55"/>
      <c r="C10" s="9" t="s">
        <v>2</v>
      </c>
      <c r="D10" s="9"/>
      <c r="E10" s="9"/>
      <c r="F10" s="9"/>
      <c r="G10" s="9"/>
      <c r="H10" s="128">
        <v>2400</v>
      </c>
      <c r="I10" s="8" t="s">
        <v>3</v>
      </c>
      <c r="J10" s="9"/>
      <c r="K10" s="9"/>
      <c r="L10" s="9"/>
      <c r="M10" s="8"/>
      <c r="N10" s="12" t="str">
        <f>IF(H9&lt;3000,"Prov. No. of RB",IF(H9&lt;=3000,"Prov.No. of DB"))</f>
        <v>Prov.No. of DB</v>
      </c>
      <c r="O10" s="9"/>
      <c r="P10" s="9"/>
      <c r="Q10" s="130">
        <v>42</v>
      </c>
      <c r="R10" s="8" t="str">
        <f>IF(F33="Design as Singly Reign."," ",IF(F33="Design as Doubly Reign.","line"))</f>
        <v>line</v>
      </c>
      <c r="S10" s="12" t="str">
        <f>IF(H9&lt;3000,"Prov. No. of RB",IF(H9&lt;=3000,"Prov.No. of DB"))</f>
        <v>Prov.No. of DB</v>
      </c>
      <c r="T10" s="9"/>
      <c r="U10" s="9"/>
      <c r="V10" s="9"/>
      <c r="W10" s="9"/>
      <c r="X10" s="130">
        <v>17</v>
      </c>
      <c r="Y10" s="10" t="s">
        <v>97</v>
      </c>
      <c r="Z10" s="9"/>
      <c r="AA10" s="9"/>
      <c r="AB10" s="18">
        <v>2</v>
      </c>
      <c r="AC10" s="6"/>
      <c r="AD10" s="6"/>
      <c r="AE10" s="26" t="s">
        <v>75</v>
      </c>
      <c r="AF10" s="6"/>
      <c r="AG10" s="7" t="s">
        <v>76</v>
      </c>
      <c r="AH10" s="7"/>
      <c r="AI10" s="7"/>
      <c r="AJ10" s="7"/>
      <c r="AK10" s="7"/>
      <c r="AL10" s="16"/>
      <c r="AM10" s="10"/>
      <c r="AN10" s="9"/>
      <c r="AO10" s="53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86" t="s">
        <v>96</v>
      </c>
      <c r="BE10" s="86"/>
      <c r="BJ10" s="70">
        <v>1</v>
      </c>
      <c r="BK10" s="70">
        <v>1</v>
      </c>
      <c r="BL10" s="75">
        <f>IF(OR(OR(SUM($BJ$10:$BJ$10)&gt;$BG$12,SUM($BJ$10:$BJ$10)&gt;$BG$9),$BG$13&lt;2.5)," ",$BG$13*$BK$9+$CH$10+$BP$7)</f>
        <v>34</v>
      </c>
      <c r="BM10" s="75">
        <f>0.7+$CI$17+BG19*BK8</f>
        <v>8.1999999999999993</v>
      </c>
      <c r="BN10" s="75">
        <f>IF(BL10=" "," ",1)</f>
        <v>1</v>
      </c>
      <c r="BO10" s="75">
        <f>IF(OR($BG$19&lt;2.5,BL10=" ")," ",IF(SUM($BN$10:$BN$19,$BP$10)&lt;=$BG$9,$CI$17+BG19," "))</f>
        <v>11.5</v>
      </c>
      <c r="BP10" s="75">
        <f>IF(BL10=" "," ",1)</f>
        <v>1</v>
      </c>
      <c r="BQ10" s="75">
        <f>IF(OR($BG$19&lt;2.5,BL10=" ")," ",IF(SUM($BN$10:$BN$19,$BP$10:$BP$19,BR$10)&lt;=$BG$9,$CI$17+$BO$8*$BG$19," "))</f>
        <v>15.5</v>
      </c>
      <c r="BR10" s="78">
        <f>IF(BL10=" "," ",1)</f>
        <v>1</v>
      </c>
      <c r="BS10" s="75">
        <f>IF(OR($BG$19&lt;2.5,BL10=" ")," ",IF(SUM($BN$10:$BN$19,$BP$10:$BP$19,BR$10:BR$19,BT10)&lt;=$BG$9,$CI$17+$BQ$8*$BG$19," "))</f>
        <v>19.5</v>
      </c>
      <c r="BT10" s="24">
        <f>IF(BL10=" "," ",1)</f>
        <v>1</v>
      </c>
      <c r="BU10" s="75">
        <f>IF(OR($BG$19&lt;2.5,BL10=" ")," ",IF(SUM($BN$10:$BN$19,$BP$10:$BP$19,BR$10:BR$19,$BT$10:$BT$19,BV$10)&lt;=$BG$9,$CI$17+BS$8*$BG$19," "))</f>
        <v>23.5</v>
      </c>
      <c r="BV10" s="24">
        <f>IF(BL10=" "," ",1)</f>
        <v>1</v>
      </c>
      <c r="BW10" s="75" t="str">
        <f>IF(OR($BG$19&lt;2.5,BL10=" ")," ",IF(SUM($BN$10:$BN$19,$BP$10:$BP$19,BR$10:BR$19,$BT$10:$BT$19,BV$10:$BV$19,BX$10)&lt;=$BG$9,$CI$17+$BU$8*$BG$19," "))</f>
        <v xml:space="preserve"> </v>
      </c>
      <c r="BX10" s="24">
        <f>IF(BL10=" "," ",1)</f>
        <v>1</v>
      </c>
      <c r="BY10" s="75" t="str">
        <f>IF(OR($BG$19&lt;2.5,BL10=" ")," ",IF(SUM($BN$10:$BN$19,$BP$10:$BP$19,BR$10:BR$19,$BT$10:$BT$19,BV$10:$BV$19,$BX$10:$BX$19,BZ$10)&lt;=$BG$9,CI$17+$BW$8*$BG$19," "))</f>
        <v xml:space="preserve"> </v>
      </c>
      <c r="BZ10" s="24">
        <f>IF(BL10=" "," ",1)</f>
        <v>1</v>
      </c>
      <c r="CA10" s="75" t="str">
        <f>IF(OR($BG$19&lt;2.5,BL10=" ")," ",IF(SUM($BN$10:$BN$19,$BP$10:$BP$19,$BR$10:$BR$19,$BT$10:$BT$19,$BV$10:$BV$19,$BX$10:$BX$19,$BZ$10:$BZ$19,$CB$10)&lt;=$BG$9,CI$17+$BY$8*$BG$19," "))</f>
        <v xml:space="preserve"> </v>
      </c>
      <c r="CB10" s="24">
        <f>IF(BL10=" "," ",1)</f>
        <v>1</v>
      </c>
      <c r="CC10" s="88" t="str">
        <f>IF(BL10=" "," ",IF($BG$19&lt;2.5," ",IF(SUM($BN$10:$BN$19,$BP$10:$BP$19,BR$10:BR$19,$BT$10:$BT$19,BV$10:$BV$19,$BX$10:$BX$19,$BZ$10:$BZ$19,$CB$10:$CB$19,CD$10)&lt;=$BG$9,CI$17+$CA$8*$BG$19," ")))</f>
        <v xml:space="preserve"> </v>
      </c>
      <c r="CD10" s="24">
        <f>IF($BL10=" "," ",1)</f>
        <v>1</v>
      </c>
      <c r="CE10" s="70" t="str">
        <f>IF(OR($BG$19&lt;2.5,BL10=" ")," ",IF(SUM($BN$10:$BN$19,$BP$10:$BP$19,BR$10:BR$19,$BT$10:$BT$19,BV$10:$BV$19,$BX$10:$BX$19,$BZ$10:$BZ$19,$CB$10:$CB$19,$CD$10:$CD$19,CF$10)&lt;=$BG$9,$CI$17+$CC$8*$BG$19," "))</f>
        <v xml:space="preserve"> </v>
      </c>
      <c r="CF10" s="24">
        <f>IF($BL10=" "," ",1)</f>
        <v>1</v>
      </c>
      <c r="CH10" s="63">
        <v>30</v>
      </c>
      <c r="CI10" s="64">
        <v>5</v>
      </c>
    </row>
    <row r="11" spans="1:87" ht="18" customHeight="1">
      <c r="B11" s="55"/>
      <c r="C11" s="44" t="s">
        <v>33</v>
      </c>
      <c r="D11" s="43"/>
      <c r="E11" s="9"/>
      <c r="F11" s="9"/>
      <c r="G11" s="9"/>
      <c r="H11" s="162"/>
      <c r="I11" s="8"/>
      <c r="J11" s="9"/>
      <c r="K11" s="9"/>
      <c r="L11" s="9"/>
      <c r="M11" s="8"/>
      <c r="N11" s="12" t="s">
        <v>26</v>
      </c>
      <c r="O11" s="9"/>
      <c r="P11" s="9"/>
      <c r="Q11" s="10">
        <f>ROUND((PI()*Q9^2/400)*Q10,2)</f>
        <v>84.45</v>
      </c>
      <c r="R11" s="8" t="s">
        <v>25</v>
      </c>
      <c r="S11" s="12" t="str">
        <f>IF(F33="Design as Singly Reign.","As prov",IF(F33="Design as Doubly Reign.","As' prov."))</f>
        <v>As' prov.</v>
      </c>
      <c r="T11" s="9"/>
      <c r="U11" s="9"/>
      <c r="V11" s="9"/>
      <c r="W11" s="9"/>
      <c r="X11" s="10">
        <f>ROUND((PI()*X9^2/400)*X10,2)</f>
        <v>34.18</v>
      </c>
      <c r="Y11" s="16" t="s">
        <v>25</v>
      </c>
      <c r="Z11" s="9"/>
      <c r="AA11" s="9"/>
      <c r="AB11" s="20"/>
      <c r="AC11" s="13"/>
      <c r="AD11" s="13"/>
      <c r="AE11" s="13" t="str">
        <f>IF($AI$9="Shear Reign. Can be neglected"," ",AE9-AG9)</f>
        <v xml:space="preserve"> </v>
      </c>
      <c r="AF11" s="25" t="str">
        <f>IF(AE11&gt;AG11,"&gt;","&lt;")</f>
        <v>&gt;</v>
      </c>
      <c r="AG11" s="14">
        <f>H14*2.1*H7^0.5*(H17*100)*(H22*100)</f>
        <v>90059.256483903082</v>
      </c>
      <c r="AH11" s="14"/>
      <c r="AI11" s="142" t="str">
        <f>IF(AI9="Shear Reign. Can be neglected"," ",IF(AF11="&gt;","Change as Beam size","Beam size ok"))</f>
        <v xml:space="preserve"> </v>
      </c>
      <c r="AJ11" s="14"/>
      <c r="AK11" s="14"/>
      <c r="AL11" s="16"/>
      <c r="AM11" s="10"/>
      <c r="AN11" s="9"/>
      <c r="AO11" s="53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66" t="s">
        <v>94</v>
      </c>
      <c r="BE11" s="66" t="s">
        <v>95</v>
      </c>
      <c r="BF11" s="66" t="s">
        <v>102</v>
      </c>
      <c r="BH11" s="3"/>
      <c r="BJ11" s="70">
        <v>1</v>
      </c>
      <c r="BK11" s="70">
        <v>2</v>
      </c>
      <c r="BL11" s="75">
        <f>IF(OR(OR(SUM($BJ$10:$BJ$11)&gt;$BG$12,SUM($BJ$10:$BJ$11)&gt;$BG$9),$BG$13&lt;2.5)," ",$BG$13*$BK$10+$CH$10+$BP$7)</f>
        <v>39.875</v>
      </c>
      <c r="BM11" s="75">
        <f>0.7+$CI$17</f>
        <v>8.1999999999999993</v>
      </c>
      <c r="BN11" s="75">
        <f t="shared" ref="BN11:BN19" si="0">IF(BL11=" "," ",1)</f>
        <v>1</v>
      </c>
      <c r="BO11" s="75">
        <f>IF(OR($BG$19&lt;2.5,BL11=" ")," ",IF(SUM($BN$10:$BN$19,$BP$10:BP11)&lt;=$BG$9,$CI$17+$BG$19," "))</f>
        <v>11.5</v>
      </c>
      <c r="BP11" s="75">
        <f t="shared" ref="BP11:BP19" si="1">IF(BL11=" "," ",1)</f>
        <v>1</v>
      </c>
      <c r="BQ11" s="75">
        <f>IF(OR($BG$19&lt;2.5,BL11=" ")," ",IF(SUM($BN$10:$BN$19,$BP$10:$BP$19,$BR$10:BR11)&lt;=$BG$9,$CI$17+$BO$8*$BG$19," "))</f>
        <v>15.5</v>
      </c>
      <c r="BR11" s="78">
        <f t="shared" ref="BR11:BR19" si="2">IF(BL11=" "," ",1)</f>
        <v>1</v>
      </c>
      <c r="BS11" s="75">
        <f>IF(OR($BG$19&lt;2.5,BL11=" ")," ",IF(SUM($BN$10:$BN$19,$BP$10:$BP$19,$BR$10:$BR$19,$BT$10:BT11)&lt;=$BG$9,$CI$17+$BQ$8*$BG$19," "))</f>
        <v>19.5</v>
      </c>
      <c r="BT11" s="24">
        <f t="shared" ref="BT11:BT19" si="3">IF(BL11=" "," ",1)</f>
        <v>1</v>
      </c>
      <c r="BU11" s="75">
        <f>IF(OR($BG$19&lt;2.5,BL11=" ")," ",IF(SUM($BN$10:$BN$19,$BP$10:$BP$19,$BR$10:$BR$19,$BT$10:$BT$19,$BV$10:BV11)&lt;=$BG$9,$CI$17+$BS$8*$BG$19," "))</f>
        <v>23.5</v>
      </c>
      <c r="BV11" s="24">
        <f t="shared" ref="BV11:BV19" si="4">IF(BL11=" "," ",1)</f>
        <v>1</v>
      </c>
      <c r="BW11" s="75" t="str">
        <f>IF(OR($BG$19&lt;2.5,BL11=" ")," ",IF(SUM($BN$10:$BN$19,$BP$10:$BP$19,$BR$10:$BR$19,$BT$10:$BT$19,$BV$10:$BV$19,$BX$10:BX11)&lt;=$BG$9,$CI$17+$BU$8*$BG$19," "))</f>
        <v xml:space="preserve"> </v>
      </c>
      <c r="BX11" s="24">
        <f t="shared" ref="BX11:BX19" si="5">IF(BL11=" "," ",1)</f>
        <v>1</v>
      </c>
      <c r="BY11" s="75" t="str">
        <f>IF(OR($BG$19&lt;2.5,BL11=" ")," ",IF(SUM($BN$10:$BN$19,$BP$10:$BP$19,$BR$10:$BR$19,$BT$10:$BT$19,$BV$10:$BV$19,$BX$10:$BX$19,$BZ$10:BZ11)&lt;=$BG$9,$CI$17+$BW$8*$BG$19," "))</f>
        <v xml:space="preserve"> </v>
      </c>
      <c r="BZ11" s="24">
        <f t="shared" ref="BZ11:BZ19" si="6">IF(BL11=" "," ",1)</f>
        <v>1</v>
      </c>
      <c r="CA11" s="75" t="str">
        <f>IF(OR($BG$19&lt;2.5,BL11=" ")," ",IF(SUM($BN$10:$BN$19,$BP$10:$BP$19,$BR$10:$BR$19,$BT$10:$BT$19,$BV$10:$BV$19,$BX$10:$BX$19,$BZ$10:$BZ$19,$CB$10:CB11)&lt;=$BG$9,CI$17+$BY$8*$BG$19," "))</f>
        <v xml:space="preserve"> </v>
      </c>
      <c r="CB11" s="24">
        <f t="shared" ref="CB11:CB19" si="7">IF(BL11=" "," ",1)</f>
        <v>1</v>
      </c>
      <c r="CC11" s="88" t="str">
        <f>IF(OR($BG$19&lt;2.5,BL11=" ")," ",IF(SUM($BN$10:$BN$19,$BP$10:$BP$19,BR$10:BR$19,$BT$10:$BT$19,BV$10:$BV$19,$BX$10:$BX$19,$BZ$10:$BZ$19,$CB$10:$CB$19,CD$10:CD11)&lt;=$BG$9,CI$17+$CA$8*$BG$19," "))</f>
        <v xml:space="preserve"> </v>
      </c>
      <c r="CD11" s="24">
        <f t="shared" ref="CD11:CF19" si="8">IF($BL11=" "," ",1)</f>
        <v>1</v>
      </c>
      <c r="CE11" s="70" t="str">
        <f>IF(OR($BG$19&lt;2.5,BL11=" ")," ",IF(SUM($BN$10:$BN$19,$BP$10:$BP$19,$BR$10:$BR$19,$BT$10:$BT$19,$BV$10:$BV$19,$BX$10:$BX$19,$BZ$10:$BZ$19,$CB$10:$CB$19,$CD$10:$CD$19,$CF$10:CF11)&lt;=$BG$9,$CI$17+$CC$8*$BG$19," "))</f>
        <v xml:space="preserve"> </v>
      </c>
      <c r="CF11" s="24">
        <f t="shared" si="8"/>
        <v>1</v>
      </c>
      <c r="CH11" s="12">
        <f>$CH$10</f>
        <v>30</v>
      </c>
      <c r="CI11" s="10">
        <f>$BL$7+CI10</f>
        <v>95</v>
      </c>
    </row>
    <row r="12" spans="1:87" ht="18" customHeight="1">
      <c r="A12" s="5"/>
      <c r="B12" s="52"/>
      <c r="C12" s="9" t="s">
        <v>16</v>
      </c>
      <c r="D12" s="9"/>
      <c r="E12" s="9"/>
      <c r="F12" s="9"/>
      <c r="G12" s="9"/>
      <c r="H12" s="36" t="str">
        <f>IF(OR(H7&lt;=280),"0.85",IF(H7&lt;=560,0.85-0.05*((H7-280)/70),0.65))</f>
        <v>0.85</v>
      </c>
      <c r="I12" s="8"/>
      <c r="J12" s="9"/>
      <c r="K12" s="9"/>
      <c r="L12" s="9"/>
      <c r="M12" s="8"/>
      <c r="N12" s="35" t="s">
        <v>20</v>
      </c>
      <c r="O12" s="9"/>
      <c r="P12" s="9"/>
      <c r="Q12" s="10"/>
      <c r="R12" s="33" t="str">
        <f>IF(Q11&gt;Q8,"ok","no")</f>
        <v>ok</v>
      </c>
      <c r="S12" s="35" t="s">
        <v>20</v>
      </c>
      <c r="T12" s="9"/>
      <c r="U12" s="9"/>
      <c r="V12" s="9"/>
      <c r="W12" s="9"/>
      <c r="X12" s="10"/>
      <c r="Y12" s="34" t="str">
        <f>IF(X11&gt;=X8,"ok","no")</f>
        <v>ok</v>
      </c>
      <c r="Z12" s="9"/>
      <c r="AA12" s="9"/>
      <c r="AB12" s="18">
        <v>3</v>
      </c>
      <c r="AC12" s="6" t="s">
        <v>74</v>
      </c>
      <c r="AD12" s="6"/>
      <c r="AE12" s="6" t="s">
        <v>5</v>
      </c>
      <c r="AF12" s="6"/>
      <c r="AG12" s="7" t="s">
        <v>73</v>
      </c>
      <c r="AH12" s="7"/>
      <c r="AI12" s="7"/>
      <c r="AJ12" s="7"/>
      <c r="AK12" s="7"/>
      <c r="AL12" s="16"/>
      <c r="AM12" s="10"/>
      <c r="AN12" s="9"/>
      <c r="AO12" s="53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E12" s="74" t="s">
        <v>113</v>
      </c>
      <c r="BG12" s="89">
        <f>$AB$38</f>
        <v>9</v>
      </c>
      <c r="BH12" s="1" t="s">
        <v>97</v>
      </c>
      <c r="BJ12" s="70">
        <v>1</v>
      </c>
      <c r="BK12" s="70">
        <v>3</v>
      </c>
      <c r="BL12" s="75">
        <f>IF(OR(OR(SUM($BJ$10:$BJ$12)&gt;$BG$12,SUM($BJ$10:$BJ$12)&gt;$BG$9),$BG$13&lt;2.5)," ",$BG$13*$BK$11+$CH$10+$BP$7)</f>
        <v>45.75</v>
      </c>
      <c r="BM12" s="75">
        <f>IF(BL12=" "," ",0.7+$CI$17)</f>
        <v>8.1999999999999993</v>
      </c>
      <c r="BN12" s="75">
        <f t="shared" si="0"/>
        <v>1</v>
      </c>
      <c r="BO12" s="75">
        <f>IF(OR($BG$19&lt;2.5,BL12=" ")," ",IF(SUM($BN$10:$BN$19,$BP$10:BP12)&lt;=$BG$9,$CI$17+$BG$19," "))</f>
        <v>11.5</v>
      </c>
      <c r="BP12" s="75">
        <f t="shared" si="1"/>
        <v>1</v>
      </c>
      <c r="BQ12" s="75">
        <f>IF(OR($BG$19&lt;2.5,BL12=" ")," ",IF(SUM($BN$10:$BN$19,$BP$10:$BP$19,$BR$10:BR12)&lt;=$BG$9,$CI$17+$BO$8*$BG$19," "))</f>
        <v>15.5</v>
      </c>
      <c r="BR12" s="78">
        <f t="shared" si="2"/>
        <v>1</v>
      </c>
      <c r="BS12" s="75">
        <f>IF(OR($BG$19&lt;2.5,BL12=" ")," ",IF(SUM($BN$10:$BN$19,$BP$10:$BP$19,$BR$10:$BR$19,$BT$10:BT12)&lt;=$BG$9,$CI$17+$BQ$8*$BG$19," "))</f>
        <v>19.5</v>
      </c>
      <c r="BT12" s="24">
        <f t="shared" si="3"/>
        <v>1</v>
      </c>
      <c r="BU12" s="75">
        <f>IF(OR($BG$19&lt;2.5,BL12=" ")," ",IF(SUM($BN$10:$BN$19,$BP$10:$BP$19,$BR$10:$BR$19,$BT$10:$BT$19,$BV$10:BV12)&lt;=$BG$9,$CI$17+$BS$8*$BG$19," "))</f>
        <v>23.5</v>
      </c>
      <c r="BV12" s="24">
        <f t="shared" si="4"/>
        <v>1</v>
      </c>
      <c r="BW12" s="75" t="str">
        <f>IF(OR($BG$19&lt;2.5,BL12=" ")," ",IF(SUM($BN$10:$BN$19,$BP$10:$BP$19,$BR$10:$BR$19,$BT$10:$BT$19,$BV$10:$BV$19,$BX$10:BX12)&lt;=$BG$9,$CI$17+$BU$8*$BG$19," "))</f>
        <v xml:space="preserve"> </v>
      </c>
      <c r="BX12" s="24">
        <f t="shared" si="5"/>
        <v>1</v>
      </c>
      <c r="BY12" s="75" t="str">
        <f>IF(OR($BG$19&lt;2.5,BL12=" ")," ",IF(SUM($BN$10:$BN$19,$BP$10:$BP$19,$BR$10:$BR$19,$BT$10:$BT$19,$BV$10:$BV$19,$BX$10:$BX$19,$BZ$10:BZ12)&lt;=$BG$9,$CI$17+$BW$8*$BG$19," "))</f>
        <v xml:space="preserve"> </v>
      </c>
      <c r="BZ12" s="24">
        <f t="shared" si="6"/>
        <v>1</v>
      </c>
      <c r="CA12" s="75" t="str">
        <f>IF(OR($BG$19&lt;2.5,BL12=" ")," ",IF(SUM($BN$10:$BN$19,$BP$10:$BP$19,$BR$10:$BR$19,$BT$10:$BT$19,$BV$10:$BV$19,$BX$10:$BX$19,$BZ$10:$BZ$19,$CB$10:CB12)&lt;=$BG$9,CI$17+$BY$8*$BG$19," "))</f>
        <v xml:space="preserve"> </v>
      </c>
      <c r="CB12" s="24">
        <f t="shared" si="7"/>
        <v>1</v>
      </c>
      <c r="CC12" s="88" t="str">
        <f>IF(OR($BG$19&lt;2.5,BL12=" ")," ",IF(SUM($BN$10:$BN$19,$BP$10:$BP$19,BR$10:BR$19,$BT$10:$BT$19,BV$10:$BV$19,$BX$10:$BX$19,$BZ$10:$BZ$19,$CB$10:$CB$19,CD$10:CD12)&lt;=$BG$9,CI$17+$CA$8*$BG$19," "))</f>
        <v xml:space="preserve"> </v>
      </c>
      <c r="CD12" s="24">
        <f t="shared" si="8"/>
        <v>1</v>
      </c>
      <c r="CE12" s="70" t="str">
        <f>IF(OR($BG$19&lt;2.5,BL12=" ")," ",IF(SUM($BN$10:$BN$19,$BP$10:$BP$19,$BR$10:$BR$19,$BT$10:$BT$19,$BV$10:$BV$19,$BX$10:$BX$19,$BZ$10:$BZ$19,$CB$10:$CB$19,$CD$10:$CD$19,$CF$10:CF12)&lt;=$BG$9,$CI$17+$CC$8*$BG$19," "))</f>
        <v xml:space="preserve"> </v>
      </c>
      <c r="CF12" s="24">
        <f t="shared" si="8"/>
        <v>1</v>
      </c>
      <c r="CH12" s="12">
        <f>$BL$6+CH10</f>
        <v>85</v>
      </c>
      <c r="CI12" s="10">
        <f>CI11</f>
        <v>95</v>
      </c>
    </row>
    <row r="13" spans="1:87" ht="18" customHeight="1">
      <c r="B13" s="55"/>
      <c r="C13" s="45" t="s">
        <v>17</v>
      </c>
      <c r="D13" s="9"/>
      <c r="E13" s="9"/>
      <c r="F13" s="9"/>
      <c r="G13" s="9"/>
      <c r="H13" s="127">
        <v>0.9</v>
      </c>
      <c r="I13" s="8"/>
      <c r="J13" s="9"/>
      <c r="K13" s="9"/>
      <c r="L13" s="9"/>
      <c r="M13" s="8"/>
      <c r="N13" s="12" t="str">
        <f>IF(H10&lt;3000,"Prov. Strir. RB dia Ø",IF(H10&lt;=3000,"Prov. strir. DB dia Ø"))</f>
        <v>Prov. Strir. RB dia Ø</v>
      </c>
      <c r="O13" s="9"/>
      <c r="P13" s="9"/>
      <c r="Q13" s="130">
        <v>15</v>
      </c>
      <c r="R13" s="8" t="s">
        <v>21</v>
      </c>
      <c r="S13" s="12"/>
      <c r="T13" s="9"/>
      <c r="U13" s="9"/>
      <c r="V13" s="9"/>
      <c r="W13" s="9"/>
      <c r="X13" s="10"/>
      <c r="Y13" s="16"/>
      <c r="Z13" s="9"/>
      <c r="AA13" s="9"/>
      <c r="AB13" s="20"/>
      <c r="AC13" s="13">
        <f>AG9/2</f>
        <v>11364.620461063962</v>
      </c>
      <c r="AD13" s="25" t="str">
        <f>IF(AE13&lt;AC13,"&gt;","&lt;")</f>
        <v>&lt;</v>
      </c>
      <c r="AE13" s="13" t="str">
        <f>IF($AI$9="Shear Reign. Can be neglected"," ",AE9)</f>
        <v xml:space="preserve"> </v>
      </c>
      <c r="AF13" s="25" t="str">
        <f>IF(AG13&gt;AE13,"&lt;","&gt;")</f>
        <v>&gt;</v>
      </c>
      <c r="AG13" s="14">
        <f>AG9</f>
        <v>22729.240922127923</v>
      </c>
      <c r="AH13" s="14"/>
      <c r="AI13" s="27" t="str">
        <f>IF(AND(AC13&lt;AE13,AE13&lt;AG13),"Avmin=3.5b*s/fy="," ")</f>
        <v xml:space="preserve"> </v>
      </c>
      <c r="AJ13" s="14"/>
      <c r="AK13" s="14" t="str">
        <f>IF(AI13="Avmin=3.5b*s/fy=",ROUND(3.5*H17*100*((H22*100)/2)/H10,3)," ")</f>
        <v xml:space="preserve"> </v>
      </c>
      <c r="AL13" s="16" t="str">
        <f>IF(AND(AC13&lt;AE13,AE13&lt;AG13),MIN(2*AK13*H10/(3.5*H17*100),0.5*H22*100,60)," ")</f>
        <v xml:space="preserve"> </v>
      </c>
      <c r="AM13" s="10" t="s">
        <v>53</v>
      </c>
      <c r="AN13" s="9"/>
      <c r="AO13" s="53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74" t="s">
        <v>109</v>
      </c>
      <c r="BG13" s="1">
        <f>IF($BG$8/($BG$12-1)&lt;2.5,0,$BG$8/($BG$12-1))</f>
        <v>5.8750000000000009</v>
      </c>
      <c r="BH13" s="1" t="s">
        <v>91</v>
      </c>
      <c r="BJ13" s="70">
        <v>1</v>
      </c>
      <c r="BK13" s="70">
        <v>4</v>
      </c>
      <c r="BL13" s="75">
        <f>IF(OR(OR(SUM($BJ$10:$BJ$13)&gt;$BG$12,SUM($BJ$10:$BJ$13)&gt;$BG$9),$BG$13&lt;2.5)," ",$BG$13*$BK$12+$CH$10+$BP$7)</f>
        <v>51.625</v>
      </c>
      <c r="BM13" s="75">
        <f>IF(BL13=" "," ",IF($BG$9=2,0.7+$CI$17,IF($BG$9&gt;2,0.7+$CI$17)))</f>
        <v>8.1999999999999993</v>
      </c>
      <c r="BN13" s="75">
        <f t="shared" si="0"/>
        <v>1</v>
      </c>
      <c r="BO13" s="75">
        <f>IF(OR($BG$19&lt;2.5,BL13=" ")," ",IF(SUM($BN$10:$BN$19,$BP$10:BP13)&lt;=$BG$9,$CI$17+$BG$19," "))</f>
        <v>11.5</v>
      </c>
      <c r="BP13" s="75">
        <f t="shared" si="1"/>
        <v>1</v>
      </c>
      <c r="BQ13" s="75">
        <f>IF(OR($BG$19&lt;2.5,BL13=" ")," ",IF(SUM($BN$10:$BN$19,$BP$10:$BP$19,$BR$10:BR13)&lt;=$BG$9,$CI$17+$BO$8*$BG$19," "))</f>
        <v>15.5</v>
      </c>
      <c r="BR13" s="78">
        <f t="shared" si="2"/>
        <v>1</v>
      </c>
      <c r="BS13" s="75">
        <f>IF(OR($BG$19&lt;2.5,BL13=" ")," ",IF(SUM($BN$10:$BN$19,$BP$10:$BP$19,$BR$10:$BR$19,$BT$10:BT13)&lt;=$BG$9,$CI$17+$BQ$8*$BG$19," "))</f>
        <v>19.5</v>
      </c>
      <c r="BT13" s="24">
        <f t="shared" si="3"/>
        <v>1</v>
      </c>
      <c r="BU13" s="75">
        <f>IF(OR($BG$19&lt;2.5,BL13=" ")," ",IF(SUM($BN$10:$BN$19,$BP$10:$BP$19,$BR$10:$BR$19,$BT$10:$BT$19,$BV$10:BV13)&lt;=$BG$9,$CI$17+$BS$8*$BG$19," "))</f>
        <v>23.5</v>
      </c>
      <c r="BV13" s="24">
        <f t="shared" si="4"/>
        <v>1</v>
      </c>
      <c r="BW13" s="75" t="str">
        <f>IF(OR($BG$19&lt;2.5,BL13=" ")," ",IF(SUM($BN$10:$BN$19,$BP$10:$BP$19,$BR$10:$BR$19,$BT$10:$BT$19,$BV$10:$BV$19,$BX$10:BX13)&lt;=$BG$9,$CI$17+$BU$8*$BG$19," "))</f>
        <v xml:space="preserve"> </v>
      </c>
      <c r="BX13" s="24">
        <f t="shared" si="5"/>
        <v>1</v>
      </c>
      <c r="BY13" s="75" t="str">
        <f>IF(OR($BG$19&lt;2.5,BL13=" ")," ",IF(SUM($BN$10:$BN$19,$BP$10:$BP$19,$BR$10:$BR$19,$BT$10:$BT$19,$BV$10:$BV$19,$BX$10:$BX$19,$BZ$10:BZ13)&lt;=$BG$9,$CI$17+$BW$8*$BG$19," "))</f>
        <v xml:space="preserve"> </v>
      </c>
      <c r="BZ13" s="24">
        <f t="shared" si="6"/>
        <v>1</v>
      </c>
      <c r="CA13" s="75" t="str">
        <f>IF(OR($BG$19&lt;2.5,BL13=" ")," ",IF(SUM($BN$10:$BN$19,$BP$10:$BP$19,$BR$10:$BR$19,$BT$10:$BT$19,$BV$10:$BV$19,$BX$10:$BX$19,$BZ$10:$BZ$19,$CB$10:CB13)&lt;=$BG$9,CI$17+$BY$8*$BG$19," "))</f>
        <v xml:space="preserve"> </v>
      </c>
      <c r="CB13" s="24">
        <f t="shared" si="7"/>
        <v>1</v>
      </c>
      <c r="CC13" s="88" t="str">
        <f>IF(OR($BG$19&lt;2.5,BL13=" ")," ",IF(SUM($BN$10:$BN$19,$BP$10:$BP$19,BR$10:BR$19,$BT$10:$BT$19,BV$10:$BV$19,$BX$10:$BX$19,$BZ$10:$BZ$19,$CB$10:$CB$19,CD$10:CD13)&lt;=$BG$9,CI$17+$CA$8*$BG$19," "))</f>
        <v xml:space="preserve"> </v>
      </c>
      <c r="CD13" s="24">
        <f t="shared" si="8"/>
        <v>1</v>
      </c>
      <c r="CE13" s="70" t="str">
        <f>IF(OR($BG$19&lt;2.5,BL13=" ")," ",IF(SUM($BN$10:$BN$19,$BP$10:$BP$19,$BR$10:$BR$19,$BT$10:$BT$19,$BV$10:$BV$19,$BX$10:$BX$19,$BZ$10:$BZ$19,$CB$10:$CB$19,$CD$10:$CD$19,$CF$10:CF13)&lt;=$BG$9,$CI$17+$CC$8*$BG$19," "))</f>
        <v xml:space="preserve"> </v>
      </c>
      <c r="CF13" s="24">
        <f t="shared" si="8"/>
        <v>1</v>
      </c>
      <c r="CH13" s="12">
        <f>CH12</f>
        <v>85</v>
      </c>
      <c r="CI13" s="10">
        <f>$CI$10</f>
        <v>5</v>
      </c>
    </row>
    <row r="14" spans="1:87" ht="18" customHeight="1">
      <c r="B14" s="55"/>
      <c r="C14" s="9" t="s">
        <v>15</v>
      </c>
      <c r="D14" s="9"/>
      <c r="E14" s="9"/>
      <c r="F14" s="9"/>
      <c r="G14" s="9"/>
      <c r="H14" s="128">
        <v>0.85</v>
      </c>
      <c r="I14" s="8"/>
      <c r="J14" s="9"/>
      <c r="K14" s="9"/>
      <c r="L14" s="161"/>
      <c r="M14" s="8"/>
      <c r="N14" s="12" t="s">
        <v>72</v>
      </c>
      <c r="O14" s="9"/>
      <c r="P14" s="9"/>
      <c r="Q14" s="10" t="str">
        <f>IF($D$47="Tu &gt;Tu min"," ",IF($H$14*0.53*$H$7^0.5*($H$17*100)*($H$22*100)&lt;$H$25,IF($H$25-($H$14*0.53*$H$7^0.5*($H$17*100)*($H$22*100))&gt;2.1*$H$14*$H$7^0.5*($H$17*100)*($H$22*100),"Change as Beam Size",IF(AND(($H$14*0.53*$H$7^0.5*($H$17*100)*($H$22*100))/2&lt;$H$25,$H$25&lt;($H$14*0.53*$H$7^0.5*($H$17*100)*($H$22*100))),ROUND(MIN((2*3.5*$H$17*100*(($H$22*100)/2)/$H$10)*$H$10/(3.5*$H$17*100),0.5*$H$22*100,60),0),IF(AND($H$25&gt;($H$14*0.53*$H$7^0.5*($H$17*100)*($H$22*100)),$H$25-($H$14*0.53*$H$7^0.5*($H$17*100)*($H$22*100))&lt;=($H$14*1.1*$H$7^0.5*($H$17*100)*($H$22*100))),MIN(ROUND(($H$14*2*(PI()*$Q$13^2/400)*$H$10*$H$22*100)/($H$25-($H$14*0.53*$H$7^0.5*($H$17*100)*($H$22*100))),0),0.5*$H$22*100,60),IF(AND(($H$14*1.1*$H$7^0.5*($H$17*100)*($H$22*100))&lt;($H$25-($H$14*0.53*$H$7^0.5*($H$17*100)*($H$22*100))),($H$25-($H$14*0.53*$H$7^0.5*($H$17*100)*($H$22*100)))&lt;=($H$14*2.1*$H$7^0.5*($H$17*100*$H$22*100))),MIN(ROUND(0.25*$H$22*100,0),30))))),0.5*$H$22*100))</f>
        <v xml:space="preserve"> </v>
      </c>
      <c r="R14" s="8" t="s">
        <v>53</v>
      </c>
      <c r="S14" s="12"/>
      <c r="T14" s="9"/>
      <c r="U14" s="9"/>
      <c r="V14" s="9"/>
      <c r="W14" s="9"/>
      <c r="X14" s="9"/>
      <c r="Y14" s="16"/>
      <c r="Z14" s="9"/>
      <c r="AA14" s="9"/>
      <c r="AB14" s="18">
        <v>4</v>
      </c>
      <c r="AC14" s="6" t="s">
        <v>80</v>
      </c>
      <c r="AD14" s="6"/>
      <c r="AE14" s="6" t="s">
        <v>75</v>
      </c>
      <c r="AF14" s="6"/>
      <c r="AG14" s="7" t="s">
        <v>79</v>
      </c>
      <c r="AH14" s="7"/>
      <c r="AI14" s="7"/>
      <c r="AJ14" s="7"/>
      <c r="AK14" s="7"/>
      <c r="AL14" s="16"/>
      <c r="AM14" s="10"/>
      <c r="AN14" s="9"/>
      <c r="AO14" s="53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J14" s="70">
        <v>1</v>
      </c>
      <c r="BK14" s="70">
        <v>5</v>
      </c>
      <c r="BL14" s="75">
        <f>IF(OR(OR(SUM($BJ$10:$BJ$14)&gt;$BG$12,SUM($BJ$10:$BJ$14)&gt;$BG$9),$BG$13&lt;2.5)," ",$BG$13*$BK$13+$CH$10+$BP$7)</f>
        <v>57.5</v>
      </c>
      <c r="BM14" s="75">
        <f>IF(BL14=" "," ",IF($BG$9=2,0.7+$CI$17,IF($BG$9&gt;2,0.7+$CI$17)))</f>
        <v>8.1999999999999993</v>
      </c>
      <c r="BN14" s="75">
        <f t="shared" si="0"/>
        <v>1</v>
      </c>
      <c r="BO14" s="75">
        <f>IF(OR($BG$19&lt;2.5,BL14=" ")," ",IF(SUM($BN$10:$BN$19,$BP$10:BP14)&lt;=$BG$9,$CI$17+$BG$19," "))</f>
        <v>11.5</v>
      </c>
      <c r="BP14" s="75">
        <f t="shared" si="1"/>
        <v>1</v>
      </c>
      <c r="BQ14" s="75">
        <f>IF(OR($BG$19&lt;2.5,BL14=" ")," ",IF(SUM($BN$10:$BN$19,$BP$10:$BP$19,$BR$10:BR14)&lt;=$BG$9,$CI$17+$BO$8*$BG$19," "))</f>
        <v>15.5</v>
      </c>
      <c r="BR14" s="78">
        <f t="shared" si="2"/>
        <v>1</v>
      </c>
      <c r="BS14" s="75">
        <f>IF(OR($BG$19&lt;2.5,BL14=" ")," ",IF(SUM($BN$10:$BN$19,$BP$10:$BP$19,$BR$10:$BR$19,$BT$10:BT14)&lt;=$BG$9,$CI$17+$BQ$8*$BG$19," "))</f>
        <v>19.5</v>
      </c>
      <c r="BT14" s="24">
        <f t="shared" si="3"/>
        <v>1</v>
      </c>
      <c r="BU14" s="75">
        <f>IF(OR($BG$19&lt;2.5,BL14=" ")," ",IF(SUM($BN$10:$BN$19,$BP$10:$BP$19,$BR$10:$BR$19,$BT$10:$BT$19,$BV$10:BV14)&lt;=$BG$9,$CI$17+$BS$8*$BG$19," "))</f>
        <v>23.5</v>
      </c>
      <c r="BV14" s="24">
        <f t="shared" si="4"/>
        <v>1</v>
      </c>
      <c r="BW14" s="75" t="str">
        <f>IF(OR($BG$19&lt;2.5,BL14=" ")," ",IF(SUM($BN$10:$BN$19,$BP$10:$BP$19,$BR$10:$BR$19,$BT$10:$BT$19,$BV$10:$BV$19,$BX$10:BX14)&lt;=$BG$9,$CI$17+$BU$8*$BG$19," "))</f>
        <v xml:space="preserve"> </v>
      </c>
      <c r="BX14" s="24">
        <f t="shared" si="5"/>
        <v>1</v>
      </c>
      <c r="BY14" s="75" t="str">
        <f>IF(OR($BG$19&lt;2.5,BL14=" ")," ",IF(SUM($BN$10:$BN$19,$BP$10:$BP$19,$BR$10:$BR$19,$BT$10:$BT$19,$BV$10:$BV$19,$BX$10:$BX$19,$BZ$10:BZ14)&lt;=$BG$9,$CI$17+$BW$8*$BG$19," "))</f>
        <v xml:space="preserve"> </v>
      </c>
      <c r="BZ14" s="24">
        <f t="shared" si="6"/>
        <v>1</v>
      </c>
      <c r="CA14" s="75" t="str">
        <f>IF(OR($BG$19&lt;2.5,BL14=" ")," ",IF(SUM($BN$10:$BN$19,$BP$10:$BP$19,$BR$10:$BR$19,$BT$10:$BT$19,$BV$10:$BV$19,$BX$10:$BX$19,$BZ$10:$BZ$19,$CB$10:CB14)&lt;=$BG$9,CI$17+$BY$8*$BG$19," "))</f>
        <v xml:space="preserve"> </v>
      </c>
      <c r="CB14" s="24">
        <f t="shared" si="7"/>
        <v>1</v>
      </c>
      <c r="CC14" s="88" t="str">
        <f>IF(OR($BG$19&lt;2.5,BL14=" ")," ",IF(SUM($BN$10:$BN$19,$BP$10:$BP$19,BR$10:BR$19,$BT$10:$BT$19,BV$10:$BV$19,$BX$10:$BX$19,$BZ$10:$BZ$19,$CB$10:$CB$19,CD$10:CD14)&lt;=$BG$9,CI$17+$CA$8*$BG$19," "))</f>
        <v xml:space="preserve"> </v>
      </c>
      <c r="CD14" s="24">
        <f t="shared" si="8"/>
        <v>1</v>
      </c>
      <c r="CE14" s="70" t="str">
        <f>IF(OR($BG$19&lt;2.5,BL14=" ")," ",IF(SUM($BN$10:$BN$19,$BP$10:$BP$19,$BR$10:$BR$19,$BT$10:$BT$19,$BV$10:$BV$19,$BX$10:$BX$19,$BZ$10:$BZ$19,$CB$10:$CB$19,$CD$10:$CD$19,$CF$10:CF14)&lt;=$BG$9,$CI$17+$CC$8*$BG$19," "))</f>
        <v xml:space="preserve"> </v>
      </c>
      <c r="CF14" s="24">
        <f t="shared" si="8"/>
        <v>1</v>
      </c>
      <c r="CH14" s="31">
        <f>CH10</f>
        <v>30</v>
      </c>
      <c r="CI14" s="15">
        <f>$CI$10</f>
        <v>5</v>
      </c>
    </row>
    <row r="15" spans="1:87" ht="18" customHeight="1">
      <c r="B15" s="55"/>
      <c r="C15" s="9" t="s">
        <v>14</v>
      </c>
      <c r="D15" s="9"/>
      <c r="E15" s="9"/>
      <c r="F15" s="9"/>
      <c r="G15" s="9"/>
      <c r="H15" s="128">
        <v>0.85</v>
      </c>
      <c r="I15" s="8"/>
      <c r="J15" s="9"/>
      <c r="K15" s="9"/>
      <c r="L15" s="9"/>
      <c r="M15" s="8"/>
      <c r="N15" s="31"/>
      <c r="O15" s="32"/>
      <c r="P15" s="14"/>
      <c r="Q15" s="15"/>
      <c r="R15" s="13"/>
      <c r="S15" s="31"/>
      <c r="T15" s="14"/>
      <c r="U15" s="14"/>
      <c r="V15" s="14"/>
      <c r="W15" s="14"/>
      <c r="X15" s="14"/>
      <c r="Y15" s="17"/>
      <c r="Z15" s="9"/>
      <c r="AA15" s="9"/>
      <c r="AB15" s="20"/>
      <c r="AC15" s="13" t="str">
        <f>IF(AE9&gt;AG9,"yes","no")</f>
        <v>no</v>
      </c>
      <c r="AD15" s="13"/>
      <c r="AE15" s="13" t="str">
        <f>AE11</f>
        <v xml:space="preserve"> </v>
      </c>
      <c r="AF15" s="25" t="str">
        <f t="shared" ref="AF15:AF17" si="9">IF(AG15&gt;AE15,"&lt;","&gt;")</f>
        <v>&gt;</v>
      </c>
      <c r="AG15" s="14">
        <f>H14*1.1*H7^0.5*(H17*100)*(H22*100)</f>
        <v>47173.896253473053</v>
      </c>
      <c r="AH15" s="14"/>
      <c r="AI15" s="14"/>
      <c r="AJ15" s="14"/>
      <c r="AK15" s="14"/>
      <c r="AL15" s="16" t="str">
        <f>IF(AND(AC15="yes",AG15&gt;AE15),MIN((H14*(PI()*2*Q13^2/400)*H10*H22*100)/AE11,0.5*H22*100,60)," ")</f>
        <v xml:space="preserve"> </v>
      </c>
      <c r="AM15" s="10" t="s">
        <v>53</v>
      </c>
      <c r="AN15" s="9"/>
      <c r="AO15" s="53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J15" s="70">
        <v>1</v>
      </c>
      <c r="BK15" s="70">
        <v>6</v>
      </c>
      <c r="BL15" s="75">
        <f>IF(OR(OR(SUM($BJ$10:$BJ$15)&gt;$BG$12,SUM($BJ$10:$BJ$15)&gt;$BG$9),$BG$13&lt;2.5)," ",$BG$13*$BK$14+$CH$10+$BP$7)</f>
        <v>63.375</v>
      </c>
      <c r="BM15" s="75">
        <f t="shared" ref="BM15:BM19" si="10">IF(BL15=" "," ",IF($BG$9=2,0.7+$CI$17,IF($BG$9&gt;2,0.7+$CI$17)))</f>
        <v>8.1999999999999993</v>
      </c>
      <c r="BN15" s="75">
        <f t="shared" si="0"/>
        <v>1</v>
      </c>
      <c r="BO15" s="75">
        <f>IF(OR($BG$19&lt;2.5,BL15=" ")," ",IF(SUM($BN$10:$BN$19,$BP$10:BP15)&lt;=$BG$9,$CI$17+$BG$19," "))</f>
        <v>11.5</v>
      </c>
      <c r="BP15" s="75">
        <f t="shared" si="1"/>
        <v>1</v>
      </c>
      <c r="BQ15" s="75">
        <f>IF(OR($BG$19&lt;2.5,BL15=" ")," ",IF(SUM($BN$10:$BN$19,$BP$10:$BP$19,$BR$10:BR15)&lt;=$BG$9,$CI$17+$BO$8*$BG$19," "))</f>
        <v>15.5</v>
      </c>
      <c r="BR15" s="78">
        <f t="shared" si="2"/>
        <v>1</v>
      </c>
      <c r="BS15" s="75">
        <f>IF(OR($BG$19&lt;2.5,BL15=" ")," ",IF(SUM($BN$10:$BN$19,$BP$10:$BP$19,$BR$10:$BR$19,$BT$10:BT15)&lt;=$BG$9,$CI$17+$BQ$8*$BG$19," "))</f>
        <v>19.5</v>
      </c>
      <c r="BT15" s="24">
        <f t="shared" si="3"/>
        <v>1</v>
      </c>
      <c r="BU15" s="75">
        <f>IF(OR($BG$19&lt;2.5,BL15=" ")," ",IF(SUM($BN$10:$BN$19,$BP$10:$BP$19,$BR$10:$BR$19,$BT$10:$BT$19,$BV$10:BV15)&lt;=$BG$9,$CI$17+$BS$8*$BG$19," "))</f>
        <v>23.5</v>
      </c>
      <c r="BV15" s="24">
        <f t="shared" si="4"/>
        <v>1</v>
      </c>
      <c r="BW15" s="75" t="str">
        <f>IF(OR($BG$19&lt;2.5,BL15=" ")," ",IF(SUM($BN$10:$BN$19,$BP$10:$BP$19,$BR$10:$BR$19,$BT$10:$BT$19,$BV$10:$BV$19,$BX$10:BX15)&lt;=$BG$9,$CI$17+$BU$8*$BG$19," "))</f>
        <v xml:space="preserve"> </v>
      </c>
      <c r="BX15" s="24">
        <f t="shared" si="5"/>
        <v>1</v>
      </c>
      <c r="BY15" s="75" t="str">
        <f>IF(OR($BG$19&lt;2.5,BL15=" ")," ",IF(SUM($BN$10:$BN$19,$BP$10:$BP$19,$BR$10:$BR$19,$BT$10:$BT$19,$BV$10:$BV$19,$BX$10:$BX$19,$BZ$10:BZ15)&lt;=$BG$9,$CI$17+$BW$8*$BG$19," "))</f>
        <v xml:space="preserve"> </v>
      </c>
      <c r="BZ15" s="24">
        <f t="shared" si="6"/>
        <v>1</v>
      </c>
      <c r="CA15" s="75" t="str">
        <f>IF(OR($BG$19&lt;2.5,BL15=" ")," ",IF(SUM($BN$10:$BN$19,$BP$10:$BP$19,$BR$10:$BR$19,$BT$10:$BT$19,$BV$10:$BV$19,$BX$10:$BX$19,$BZ$10:$BZ$19,$CB$10:CB15)&lt;=$BG$9,CI$17+$BY$8*$BG$19," "))</f>
        <v xml:space="preserve"> </v>
      </c>
      <c r="CB15" s="24">
        <f t="shared" si="7"/>
        <v>1</v>
      </c>
      <c r="CC15" s="88" t="str">
        <f>IF(OR($BG$19&lt;2.5,BL15=" ")," ",IF(SUM($BN$10:$BN$19,$BP$10:$BP$19,BR$10:BR$19,$BT$10:$BT$19,BV$10:$BV$19,$BX$10:$BX$19,$BZ$10:$BZ$19,$CB$10:$CB$19,CD$10:CD15)&lt;=$BG$9,CI$17+$CA$8*$BG$19," "))</f>
        <v xml:space="preserve"> </v>
      </c>
      <c r="CD15" s="24">
        <f t="shared" si="8"/>
        <v>1</v>
      </c>
      <c r="CE15" s="70" t="str">
        <f>IF(OR($BG$19&lt;2.5,BL15=" ")," ",IF(SUM($BN$10:$BN$19,$BP$10:$BP$19,$BR$10:$BR$19,$BT$10:$BT$19,$BV$10:$BV$19,$BX$10:$BX$19,$BZ$10:$BZ$19,$CB$10:$CB$19,$CD$10:$CD$19,$CF$10:CF15)&lt;=$BG$9,$CI$17+$CC$8*$BG$19," "))</f>
        <v xml:space="preserve"> </v>
      </c>
      <c r="CF15" s="24">
        <f t="shared" si="8"/>
        <v>1</v>
      </c>
      <c r="CH15" s="1" t="s">
        <v>126</v>
      </c>
    </row>
    <row r="16" spans="1:87" ht="18" customHeight="1">
      <c r="B16" s="55"/>
      <c r="C16" s="44" t="s">
        <v>34</v>
      </c>
      <c r="D16" s="43"/>
      <c r="E16" s="9"/>
      <c r="F16" s="9"/>
      <c r="G16" s="9"/>
      <c r="H16" s="29"/>
      <c r="I16" s="8"/>
      <c r="J16" s="9"/>
      <c r="K16" s="9"/>
      <c r="L16" s="9"/>
      <c r="M16" s="8"/>
      <c r="N16" s="118" t="s">
        <v>82</v>
      </c>
      <c r="O16" s="119"/>
      <c r="P16" s="119"/>
      <c r="Q16" s="119"/>
      <c r="R16" s="120"/>
      <c r="S16" s="121" t="str">
        <f>IF(N7=" Doubly Reignforced Design :","Doubly Reignforced Design","Singly Reignforced Design")</f>
        <v>Doubly Reignforced Design</v>
      </c>
      <c r="T16" s="119"/>
      <c r="U16" s="119"/>
      <c r="V16" s="122" t="str">
        <f>IF($D$47="Tu &gt;Tu min","and Torsion Reignforced Design"," ")</f>
        <v>and Torsion Reignforced Design</v>
      </c>
      <c r="W16" s="119"/>
      <c r="X16" s="119"/>
      <c r="Y16" s="123"/>
      <c r="Z16" s="9"/>
      <c r="AA16" s="9"/>
      <c r="AB16" s="19">
        <v>5</v>
      </c>
      <c r="AC16" s="9" t="s">
        <v>79</v>
      </c>
      <c r="AD16" s="8"/>
      <c r="AE16" s="8" t="s">
        <v>75</v>
      </c>
      <c r="AF16" s="8"/>
      <c r="AG16" s="9" t="s">
        <v>76</v>
      </c>
      <c r="AH16" s="9"/>
      <c r="AI16" s="9"/>
      <c r="AJ16" s="9"/>
      <c r="AK16" s="9"/>
      <c r="AL16" s="16"/>
      <c r="AM16" s="10"/>
      <c r="AN16" s="9"/>
      <c r="AO16" s="53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G16" s="148"/>
      <c r="BJ16" s="70">
        <v>1</v>
      </c>
      <c r="BK16" s="70">
        <v>7</v>
      </c>
      <c r="BL16" s="75">
        <f>IF(OR(OR(SUM($BJ$10:$BJ$16)&gt;$BG$12,SUM($BJ$10:$BJ$16)&gt;$BG$9),$BG$13&lt;2.5)," ",$BG$13*$BK$15+$CH$10+$BP$7)</f>
        <v>69.25</v>
      </c>
      <c r="BM16" s="75">
        <f t="shared" si="10"/>
        <v>8.1999999999999993</v>
      </c>
      <c r="BN16" s="75">
        <f t="shared" si="0"/>
        <v>1</v>
      </c>
      <c r="BO16" s="75">
        <f>IF(OR($BG$19&lt;2.5,BL16=" ")," ",IF(SUM($BN$10:$BN$19,$BP$10:BP16)&lt;=$BG$9,$CI$17+$BG$19," "))</f>
        <v>11.5</v>
      </c>
      <c r="BP16" s="75">
        <f t="shared" si="1"/>
        <v>1</v>
      </c>
      <c r="BQ16" s="75">
        <f>IF(OR($BG$19&lt;2.5,BL16=" ")," ",IF(SUM($BN$10:$BN$19,$BP$10:$BP$19,$BR$10:BR16)&lt;=$BG$9,$CI$17+$BO$8*$BG$19," "))</f>
        <v>15.5</v>
      </c>
      <c r="BR16" s="78">
        <f t="shared" si="2"/>
        <v>1</v>
      </c>
      <c r="BS16" s="75">
        <f>IF(OR($BG$19&lt;2.5,BL16=" ")," ",IF(SUM($BN$10:$BN$19,$BP$10:$BP$19,$BR$10:$BR$19,$BT$10:BT16)&lt;=$BG$9,$CI$17+$BQ$8*$BG$19," "))</f>
        <v>19.5</v>
      </c>
      <c r="BT16" s="24">
        <f t="shared" si="3"/>
        <v>1</v>
      </c>
      <c r="BU16" s="75" t="str">
        <f>IF(OR($BG$19&lt;2.5,BL16=" ")," ",IF(SUM($BN$10:$BN$19,$BP$10:$BP$19,$BR$10:$BR$19,$BT$10:$BT$19,$BV$10:BV16)&lt;=$BG$9,$CI$17+$BS$8*$BG$19," "))</f>
        <v xml:space="preserve"> </v>
      </c>
      <c r="BV16" s="24">
        <f t="shared" si="4"/>
        <v>1</v>
      </c>
      <c r="BW16" s="75" t="str">
        <f>IF(OR($BG$19&lt;2.5,BL16=" ")," ",IF(SUM($BN$10:$BN$19,$BP$10:$BP$19,$BR$10:$BR$19,$BT$10:$BT$19,$BV$10:$BV$19,$BX$10:BX16)&lt;=$BG$9,$CI$17+$BU$8*$BG$19," "))</f>
        <v xml:space="preserve"> </v>
      </c>
      <c r="BX16" s="24">
        <f t="shared" si="5"/>
        <v>1</v>
      </c>
      <c r="BY16" s="75" t="str">
        <f>IF(OR($BG$19&lt;2.5,BL16=" ")," ",IF(SUM($BN$10:$BN$19,$BP$10:$BP$19,$BR$10:$BR$19,$BT$10:$BT$19,$BV$10:$BV$19,$BX$10:$BX$19,$BZ$10:BZ16)&lt;=$BG$9,$CI$17+$BW$8*$BG$19," "))</f>
        <v xml:space="preserve"> </v>
      </c>
      <c r="BZ16" s="24">
        <f t="shared" si="6"/>
        <v>1</v>
      </c>
      <c r="CA16" s="75" t="str">
        <f>IF(OR($BG$19&lt;2.5,BL16=" ")," ",IF(SUM($BN$10:$BN$19,$BP$10:$BP$19,$BR$10:$BR$19,$BT$10:$BT$19,$BV$10:$BV$19,$BX$10:$BX$19,$BZ$10:$BZ$19,$CB$10:CB16)&lt;=$BG$9,CI$17+$BY$8*$BG$19," "))</f>
        <v xml:space="preserve"> </v>
      </c>
      <c r="CB16" s="24">
        <f t="shared" si="7"/>
        <v>1</v>
      </c>
      <c r="CC16" s="88" t="str">
        <f>IF(OR($BG$19&lt;2.5,BL16=" ")," ",IF(SUM($BN$10:$BN$19,$BP$10:$BP$19,BR$10:BR$19,$BT$10:$BT$19,BV$10:$BV$19,$BX$10:$BX$19,$BZ$10:$BZ$19,$CB$10:$CB$19,CD$10:CD16)&lt;=$BG$9,CI$17+$CA$8*$BG$19," "))</f>
        <v xml:space="preserve"> </v>
      </c>
      <c r="CD16" s="24">
        <f t="shared" si="8"/>
        <v>1</v>
      </c>
      <c r="CE16" s="70" t="str">
        <f>IF(OR($BG$19&lt;2.5,BL16=" ")," ",IF(SUM($BN$10:$BN$19,$BP$10:$BP$19,$BR$10:$BR$19,$BT$10:$BT$19,$BV$10:$BV$19,$BX$10:$BX$19,$BZ$10:$BZ$19,$CB$10:$CB$19,$CD$10:$CD$19,$CF$10:CF16)&lt;=$BG$9,$CI$17+$CC$8*$BG$19," "))</f>
        <v xml:space="preserve"> </v>
      </c>
      <c r="CF16" s="24">
        <f t="shared" si="8"/>
        <v>1</v>
      </c>
      <c r="CH16" s="28" t="s">
        <v>87</v>
      </c>
      <c r="CI16" s="65" t="s">
        <v>88</v>
      </c>
    </row>
    <row r="17" spans="1:87" ht="18" customHeight="1">
      <c r="A17" s="5"/>
      <c r="B17" s="52"/>
      <c r="C17" s="9" t="s">
        <v>9</v>
      </c>
      <c r="D17" s="9"/>
      <c r="E17" s="9"/>
      <c r="F17" s="9"/>
      <c r="G17" s="9"/>
      <c r="H17" s="127">
        <v>0.55000000000000004</v>
      </c>
      <c r="I17" s="8" t="s">
        <v>11</v>
      </c>
      <c r="J17" s="9"/>
      <c r="K17" s="9"/>
      <c r="L17" s="9"/>
      <c r="M17" s="8"/>
      <c r="N17" s="12" t="s">
        <v>71</v>
      </c>
      <c r="O17" s="9"/>
      <c r="P17" s="9"/>
      <c r="Q17" s="9">
        <f>IF(D47="Tu &gt;Tu min",ROUND(MAX(H61,H62),4)," ")</f>
        <v>0.15540000000000001</v>
      </c>
      <c r="R17" s="18" t="s">
        <v>68</v>
      </c>
      <c r="S17" s="12" t="s">
        <v>134</v>
      </c>
      <c r="T17" s="9">
        <f>Q10</f>
        <v>42</v>
      </c>
      <c r="U17" s="8" t="str">
        <f>IF(N10="Prov.No. of DB","DB","RB")</f>
        <v>DB</v>
      </c>
      <c r="V17" s="179">
        <f>Q9</f>
        <v>16</v>
      </c>
      <c r="W17" s="179"/>
      <c r="X17" s="9"/>
      <c r="Y17" s="10"/>
      <c r="Z17" s="9"/>
      <c r="AA17" s="9"/>
      <c r="AB17" s="19"/>
      <c r="AC17" s="8">
        <f>AG15</f>
        <v>47173.896253473053</v>
      </c>
      <c r="AD17" s="22" t="str">
        <f>IF(AC17&gt;AE17,"&gt;","&lt;")</f>
        <v>&lt;</v>
      </c>
      <c r="AE17" s="8" t="str">
        <f>AE15</f>
        <v xml:space="preserve"> </v>
      </c>
      <c r="AF17" s="22" t="str">
        <f t="shared" si="9"/>
        <v>&gt;</v>
      </c>
      <c r="AG17" s="9">
        <f>AG11</f>
        <v>90059.256483903082</v>
      </c>
      <c r="AH17" s="9"/>
      <c r="AI17" s="9"/>
      <c r="AJ17" s="9"/>
      <c r="AK17" s="9"/>
      <c r="AL17" s="16" t="str">
        <f>IF(AND(AG17&gt;=AE17,AE17&gt;AC17),MIN(0.25*H22*100,30)," ")</f>
        <v xml:space="preserve"> </v>
      </c>
      <c r="AM17" s="10" t="s">
        <v>53</v>
      </c>
      <c r="AN17" s="9"/>
      <c r="AO17" s="53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G17" s="190"/>
      <c r="BJ17" s="70">
        <v>1</v>
      </c>
      <c r="BK17" s="70">
        <v>8</v>
      </c>
      <c r="BL17" s="75">
        <f>IF(OR(OR(SUM($BJ$10:$BJ$17)&gt;$BG$12,SUM($BJ$10:$BJ$17)&gt;$BG$9),$BG$13&lt;2.5)," ",$BG$13*$BK$16+$CH$10+$BP$7)</f>
        <v>75.125</v>
      </c>
      <c r="BM17" s="75">
        <f t="shared" si="10"/>
        <v>8.1999999999999993</v>
      </c>
      <c r="BN17" s="75">
        <f t="shared" si="0"/>
        <v>1</v>
      </c>
      <c r="BO17" s="75">
        <f>IF(OR($BG$19&lt;2.5,BL17=" ")," ",IF(SUM($BN$10:$BN$19,$BP$10:BP17)&lt;=$BG$9,$CI$17+$BG$19," "))</f>
        <v>11.5</v>
      </c>
      <c r="BP17" s="75">
        <f t="shared" si="1"/>
        <v>1</v>
      </c>
      <c r="BQ17" s="75">
        <f>IF(OR($BG$19&lt;2.5,BL17=" ")," ",IF(SUM($BN$10:$BN$19,$BP$10:$BP$19,$BR$10:BR17)&lt;=$BG$9,$CI$17+$BO$8*$BG$19," "))</f>
        <v>15.5</v>
      </c>
      <c r="BR17" s="78">
        <f t="shared" si="2"/>
        <v>1</v>
      </c>
      <c r="BS17" s="75">
        <f>IF(OR($BG$19&lt;2.5,BL17=" ")," ",IF(SUM($BN$10:$BN$19,$BP$10:$BP$19,$BR$10:$BR$19,$BT$10:BT17)&lt;=$BG$9,$CI$17+$BQ$8*$BG$19," "))</f>
        <v>19.5</v>
      </c>
      <c r="BT17" s="24">
        <f t="shared" si="3"/>
        <v>1</v>
      </c>
      <c r="BU17" s="75" t="str">
        <f>IF(OR($BG$19&lt;2.5,BL17=" ")," ",IF(SUM($BN$10:$BN$19,$BP$10:$BP$19,$BR$10:$BR$19,$BT$10:$BT$19,$BV$10:BV17)&lt;=$BG$9,$CI$17+$BS$8*$BG$19," "))</f>
        <v xml:space="preserve"> </v>
      </c>
      <c r="BV17" s="24">
        <f t="shared" si="4"/>
        <v>1</v>
      </c>
      <c r="BW17" s="75" t="str">
        <f>IF(OR($BG$19&lt;2.5,BL17=" ")," ",IF(SUM($BN$10:$BN$19,$BP$10:$BP$19,$BR$10:$BR$19,$BT$10:$BT$19,$BV$10:$BV$19,$BX$10:BX17)&lt;=$BG$9,$CI$17+$BU$8*$BG$19," "))</f>
        <v xml:space="preserve"> </v>
      </c>
      <c r="BX17" s="24">
        <f t="shared" si="5"/>
        <v>1</v>
      </c>
      <c r="BY17" s="75" t="str">
        <f>IF(OR($BG$19&lt;2.5,BL17=" ")," ",IF(SUM($BN$10:$BN$19,$BP$10:$BP$19,$BR$10:$BR$19,$BT$10:$BT$19,$BV$10:$BV$19,$BX$10:$BX$19,$BZ$10:BZ17)&lt;=$BG$9,$CI$17+$BW$8*$BG$19," "))</f>
        <v xml:space="preserve"> </v>
      </c>
      <c r="BZ17" s="24">
        <f t="shared" si="6"/>
        <v>1</v>
      </c>
      <c r="CA17" s="75" t="str">
        <f>IF(OR($BG$19&lt;2.5,BL17=" ")," ",IF(SUM($BN$10:$BN$19,$BP$10:$BP$19,$BR$10:$BR$19,$BT$10:$BT$19,$BV$10:$BV$19,$BX$10:$BX$19,$BZ$10:$BZ$19,$CB$10:CB17)&lt;=$BG$9,CI$17+$BY$8*$BG$19," "))</f>
        <v xml:space="preserve"> </v>
      </c>
      <c r="CB17" s="24">
        <f t="shared" si="7"/>
        <v>1</v>
      </c>
      <c r="CC17" s="88" t="str">
        <f>IF(OR($BG$19&lt;2.5,BL17=" ")," ",IF(SUM($BN$10:$BN$19,$BP$10:$BP$19,BR$10:BR$19,$BT$10:$BT$19,BV$10:$BV$19,$BX$10:$BX$19,$BZ$10:$BZ$19,$CB$10:$CB$19,CD$10:CD17)&lt;=$BG$9,CI$17+$CA$8*$BG$19," "))</f>
        <v xml:space="preserve"> </v>
      </c>
      <c r="CD17" s="24">
        <f t="shared" si="8"/>
        <v>1</v>
      </c>
      <c r="CE17" s="70" t="str">
        <f>IF(OR($BG$19&lt;2.5,BL17=" ")," ",IF(SUM($BN$10:$BN$19,$BP$10:$BP$19,$BR$10:$BR$19,$BT$10:$BT$19,$BV$10:$BV$19,$BX$10:$BX$19,$BZ$10:$BZ$19,$CB$10:$CB$19,$CD$10:$CD$19,$CF$10:CF17)&lt;=$BG$9,$CI$17+$CC$8*$BG$19," "))</f>
        <v xml:space="preserve"> </v>
      </c>
      <c r="CF17" s="24">
        <f t="shared" si="8"/>
        <v>1</v>
      </c>
      <c r="CH17" s="12">
        <f>$CH$10+$BP$7-0.6</f>
        <v>33.4</v>
      </c>
      <c r="CI17" s="10">
        <f>$CI$10+$BP$6</f>
        <v>7.5</v>
      </c>
    </row>
    <row r="18" spans="1:87" ht="18" customHeight="1">
      <c r="B18" s="55"/>
      <c r="C18" s="9" t="s">
        <v>10</v>
      </c>
      <c r="D18" s="9"/>
      <c r="E18" s="9"/>
      <c r="F18" s="9"/>
      <c r="G18" s="9"/>
      <c r="H18" s="129">
        <v>0.9</v>
      </c>
      <c r="I18" s="8" t="s">
        <v>11</v>
      </c>
      <c r="J18" s="9"/>
      <c r="K18" s="9"/>
      <c r="L18" s="9"/>
      <c r="M18" s="8"/>
      <c r="N18" s="12" t="str">
        <f>IF(H15&lt;3000,"Prov. Strir. RB dia Ø",IF(H15&lt;=3000,"Prov. strir. DB dia Ø"))</f>
        <v>Prov. Strir. RB dia Ø</v>
      </c>
      <c r="O18" s="9"/>
      <c r="P18" s="9"/>
      <c r="Q18" s="130">
        <v>6</v>
      </c>
      <c r="R18" s="30" t="s">
        <v>21</v>
      </c>
      <c r="S18" s="12" t="s">
        <v>135</v>
      </c>
      <c r="T18" s="9">
        <f>$X$10</f>
        <v>17</v>
      </c>
      <c r="U18" s="8" t="str">
        <f>IF($H$9&lt;3000,"RB","DB")</f>
        <v>DB</v>
      </c>
      <c r="V18" s="178">
        <f>$X$9</f>
        <v>16</v>
      </c>
      <c r="W18" s="178"/>
      <c r="X18" s="9"/>
      <c r="Y18" s="10"/>
      <c r="Z18" s="9"/>
      <c r="AA18" s="9"/>
      <c r="AB18" s="20"/>
      <c r="AC18" s="13"/>
      <c r="AD18" s="13"/>
      <c r="AE18" s="13"/>
      <c r="AF18" s="13"/>
      <c r="AG18" s="14"/>
      <c r="AH18" s="14"/>
      <c r="AI18" s="14"/>
      <c r="AJ18" s="14"/>
      <c r="AK18" s="14"/>
      <c r="AL18" s="17"/>
      <c r="AM18" s="15"/>
      <c r="AN18" s="9"/>
      <c r="AO18" s="53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G18" s="79"/>
      <c r="BJ18" s="70">
        <v>1</v>
      </c>
      <c r="BK18" s="70">
        <v>9</v>
      </c>
      <c r="BL18" s="75">
        <f>IF(OR(OR(SUM($BJ$10:$BJ$18)&gt;$BG$12,SUM($BJ$10:$BJ$18)&gt;$BG$9),$BG$13&lt;2.5)," ",$BG$13*$BK$17+$CH$10+$BP$7)</f>
        <v>81</v>
      </c>
      <c r="BM18" s="75">
        <f t="shared" si="10"/>
        <v>8.1999999999999993</v>
      </c>
      <c r="BN18" s="75">
        <f t="shared" si="0"/>
        <v>1</v>
      </c>
      <c r="BO18" s="75">
        <f>IF(OR($BG$19&lt;2.5,BL18=" ")," ",IF(SUM($BN$10:$BN$19,$BP$10:BP18)&lt;=$BG$9,$CI$17+$BG$19," "))</f>
        <v>11.5</v>
      </c>
      <c r="BP18" s="75">
        <f t="shared" si="1"/>
        <v>1</v>
      </c>
      <c r="BQ18" s="75">
        <f>IF(OR($BG$19&lt;2.5,BL18=" ")," ",IF(SUM($BN$10:$BN$19,$BP$10:$BP$19,$BR$10:BR18)&lt;=$BG$9,$CI$17+$BO$8*$BG$19," "))</f>
        <v>15.5</v>
      </c>
      <c r="BR18" s="78">
        <f t="shared" si="2"/>
        <v>1</v>
      </c>
      <c r="BS18" s="75">
        <f>IF(OR($BG$19&lt;2.5,BL18=" ")," ",IF(SUM($BN$10:$BN$19,$BP$10:$BP$19,$BR$10:$BR$19,$BT$10:BT18)&lt;=$BG$9,$CI$17+$BQ$8*$BG$19," "))</f>
        <v>19.5</v>
      </c>
      <c r="BT18" s="24">
        <f t="shared" si="3"/>
        <v>1</v>
      </c>
      <c r="BU18" s="75" t="str">
        <f>IF(OR($BG$19&lt;2.5,BL18=" ")," ",IF(SUM($BN$10:$BN$19,$BP$10:$BP$19,$BR$10:$BR$19,$BT$10:$BT$19,$BV$10:BV18)&lt;=$BG$9,$CI$17+$BS$8*$BG$19," "))</f>
        <v xml:space="preserve"> </v>
      </c>
      <c r="BV18" s="24">
        <f t="shared" si="4"/>
        <v>1</v>
      </c>
      <c r="BW18" s="75" t="str">
        <f>IF(OR($BG$19&lt;2.5,BL18=" ")," ",IF(SUM($BN$10:$BN$19,$BP$10:$BP$19,$BR$10:$BR$19,$BT$10:$BT$19,$BV$10:$BV$19,$BX$10:BX18)&lt;=$BG$9,$CI$17+$BU$8*$BG$19," "))</f>
        <v xml:space="preserve"> </v>
      </c>
      <c r="BX18" s="24">
        <f t="shared" si="5"/>
        <v>1</v>
      </c>
      <c r="BY18" s="75" t="str">
        <f>IF(OR($BG$19&lt;2.5,BL18=" ")," ",IF(SUM($BN$10:$BN$19,$BP$10:$BP$19,$BR$10:$BR$19,$BT$10:$BT$19,$BV$10:$BV$19,$BX$10:$BX$19,$BZ$10:BZ18)&lt;=$BG$9,$CI$17+$BW$8*$BG$19," "))</f>
        <v xml:space="preserve"> </v>
      </c>
      <c r="BZ18" s="24">
        <f t="shared" si="6"/>
        <v>1</v>
      </c>
      <c r="CA18" s="75" t="str">
        <f>IF(OR($BG$19&lt;2.5,BL18=" ")," ",IF(SUM($BN$10:$BN$19,$BP$10:$BP$19,$BR$10:$BR$19,$BT$10:$BT$19,$BV$10:$BV$19,$BX$10:$BX$19,$BZ$10:$BZ$19,$CB$10:CB18)&lt;=$BG$9,CI$17+$BY$8*$BG$19," "))</f>
        <v xml:space="preserve"> </v>
      </c>
      <c r="CB18" s="24">
        <f t="shared" si="7"/>
        <v>1</v>
      </c>
      <c r="CC18" s="88" t="str">
        <f>IF(OR($BG$19&lt;2.5,BL18=" ")," ",IF(SUM($BN$10:$BN$19,$BP$10:$BP$19,BR$10:BR$19,$BT$10:$BT$19,BV$10:$BV$19,$BX$10:$BX$19,$BZ$10:$BZ$19,$CB$10:$CB$19,CD$10:CD18)&lt;=$BG$9,CI$17+$CA$8*$BG$19," "))</f>
        <v xml:space="preserve"> </v>
      </c>
      <c r="CD18" s="24">
        <f t="shared" si="8"/>
        <v>1</v>
      </c>
      <c r="CE18" s="70" t="str">
        <f>IF(OR($BG$19&lt;2.5,BL18=" ")," ",IF(SUM($BN$10:$BN$19,$BP$10:$BP$19,$BR$10:$BR$19,$BT$10:$BT$19,$BV$10:$BV$19,$BX$10:$BX$19,$BZ$10:$BZ$19,$CB$10:$CB$19,$CD$10:$CD$19,$CF$10:CF18)&lt;=$BG$9,$CI$17+$CC$8*$BG$19," "))</f>
        <v xml:space="preserve"> </v>
      </c>
      <c r="CF18" s="24">
        <f t="shared" si="8"/>
        <v>1</v>
      </c>
      <c r="CH18" s="12">
        <f>CH10+BP7-0.6</f>
        <v>33.4</v>
      </c>
      <c r="CI18" s="10">
        <f>CI11-BP6</f>
        <v>92.5</v>
      </c>
    </row>
    <row r="19" spans="1:87" ht="18" customHeight="1">
      <c r="B19" s="55"/>
      <c r="C19" s="9" t="s">
        <v>50</v>
      </c>
      <c r="D19" s="9"/>
      <c r="E19" s="9"/>
      <c r="F19" s="9"/>
      <c r="G19" s="9"/>
      <c r="H19" s="128">
        <v>2.5000000000000001E-2</v>
      </c>
      <c r="I19" s="8" t="s">
        <v>11</v>
      </c>
      <c r="J19" s="9"/>
      <c r="K19" s="9"/>
      <c r="L19" s="9"/>
      <c r="M19" s="8"/>
      <c r="N19" s="12" t="s">
        <v>72</v>
      </c>
      <c r="O19" s="9"/>
      <c r="P19" s="9"/>
      <c r="Q19" s="9">
        <f>IF($D$47="Tu &lt; Tu min"," ",IF(AND($D$47="Tu &gt; Tu min",$H$25-$H$51&gt;($H$14*2.1*$H$7^0.5*($H$17*100*$H$22*100))),"Change asBeam size",IF(AND($D$47="Tu &gt; Tu min",$H$25-$H$51&lt;=($H$14*1.1*$H$7^0.5*($H$17*100*$H$22*100))),MIN(0.5*$H$22*100,(PI()*$Q$18^2/400)/MAX($H$61,$H$62),($D$56+$D$57)/4,60),IF(AND($D$47="Tu &gt; Tu min",$H$25-$H$51&gt;($H$14*1.1*$H$7^0.5*($H$17*100*$H$22*100))),MIN(0.5*$H$22*100,(PI()*$Q$18^2/400)/MAX($H$61,$H$62),($D$56+$D$57)/4,60),0.5*$H$22*100))))</f>
        <v>37.450000000000003</v>
      </c>
      <c r="R19" s="19" t="s">
        <v>53</v>
      </c>
      <c r="S19" s="74" t="s">
        <v>136</v>
      </c>
      <c r="U19" s="9">
        <f>IF($D$47="Tu &gt;Tu min",Q18,Q13)</f>
        <v>6</v>
      </c>
      <c r="V19" s="8" t="str">
        <f>IF($H$10&lt;3000,"RB","DB")</f>
        <v>RB</v>
      </c>
      <c r="W19" s="177">
        <f>IF($D$47="Tu &gt;Tu min",$Q$19,$Q$14)</f>
        <v>37.450000000000003</v>
      </c>
      <c r="X19" s="177"/>
      <c r="Y19" s="10"/>
      <c r="Z19" s="9"/>
      <c r="AA19" s="9"/>
      <c r="AB19" s="8"/>
      <c r="AC19" s="8"/>
      <c r="AD19" s="8"/>
      <c r="AE19" s="8"/>
      <c r="AF19" s="9"/>
      <c r="AG19" s="9"/>
      <c r="AH19" s="9"/>
      <c r="AI19" s="9"/>
      <c r="AJ19" s="9"/>
      <c r="AK19" s="9"/>
      <c r="AL19" s="9"/>
      <c r="AM19" s="9"/>
      <c r="AN19" s="9"/>
      <c r="AO19" s="53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E19" s="83" t="s">
        <v>121</v>
      </c>
      <c r="BG19" s="1">
        <f>$AB$41</f>
        <v>4</v>
      </c>
      <c r="BH19" s="1" t="s">
        <v>53</v>
      </c>
      <c r="BJ19" s="70">
        <v>1</v>
      </c>
      <c r="BK19" s="70">
        <v>10</v>
      </c>
      <c r="BL19" s="75" t="str">
        <f>IF(OR(OR(SUM(BJ$10:BJ19)&gt;$BG$12,SUM($BJ$10:BJ19)&gt;$BG$9),$BG$13&lt;2.5)," ",$BG$13*BK18+$CH$10+$BP$7)</f>
        <v xml:space="preserve"> </v>
      </c>
      <c r="BM19" s="75" t="str">
        <f t="shared" si="10"/>
        <v xml:space="preserve"> </v>
      </c>
      <c r="BN19" s="75" t="str">
        <f t="shared" si="0"/>
        <v xml:space="preserve"> </v>
      </c>
      <c r="BO19" s="75" t="str">
        <f>IF(OR($BG$19&lt;2.5,BL19=" ")," ",IF(SUM($BN$10:$BN$19,$BP$10:BP19)&lt;=$BG$9,$CI$17+$BG$19," "))</f>
        <v xml:space="preserve"> </v>
      </c>
      <c r="BP19" s="75" t="str">
        <f t="shared" si="1"/>
        <v xml:space="preserve"> </v>
      </c>
      <c r="BQ19" s="75" t="str">
        <f>IF(OR($BG$19&lt;2.5,BL19=" ")," ",IF(SUM($BN$10:$BN$19,$BP$10:$BP$19,$BR$10:BR19)&lt;=$BG$9,$CI$17+$BO$8*$BG$19," "))</f>
        <v xml:space="preserve"> </v>
      </c>
      <c r="BR19" s="78" t="str">
        <f t="shared" si="2"/>
        <v xml:space="preserve"> </v>
      </c>
      <c r="BS19" s="75" t="str">
        <f>IF(OR($BG$19&lt;2.5,BL19=" ")," ",IF(SUM($BN$10:$BN$19,$BP$10:$BP$19,$BR$10:$BR$19,$BT$10:BT19)&lt;=$BG$9,$CI$17+$BQ$8*$BG$19," "))</f>
        <v xml:space="preserve"> </v>
      </c>
      <c r="BT19" s="24" t="str">
        <f t="shared" si="3"/>
        <v xml:space="preserve"> </v>
      </c>
      <c r="BU19" s="75" t="str">
        <f>IF(OR($BG$19&lt;2.5,BL19=" ")," ",IF(SUM($BN$10:$BN$19,$BP$10:$BP$19,$BR$10:$BR$19,$BT$10:$BT$19,$BV$10:BV19)&lt;=$BG$9,$CI$17+$BS$8*$BG$19," "))</f>
        <v xml:space="preserve"> </v>
      </c>
      <c r="BV19" s="24" t="str">
        <f t="shared" si="4"/>
        <v xml:space="preserve"> </v>
      </c>
      <c r="BW19" s="75" t="str">
        <f>IF(OR($BG$19&lt;2.5,BL19=" ")," ",IF(SUM($BN$10:$BN$19,$BP$10:$BP$19,$BR$10:$BR$19,$BT$10:$BT$19,$BV$10:$BV$19,$BX$10:BX19)&lt;=$BG$9,$CI$17+$BU$8*$BG$19," "))</f>
        <v xml:space="preserve"> </v>
      </c>
      <c r="BX19" s="24" t="str">
        <f t="shared" si="5"/>
        <v xml:space="preserve"> </v>
      </c>
      <c r="BY19" s="75" t="str">
        <f>IF(OR($BG$19&lt;2.5,BL19=" ")," ",IF(SUM($BN$10:$BN$19,$BP$10:$BP$19,$BR$10:$BR$19,$BT$10:$BT$19,$BV$10:$BV$19,$BX$10:$BX$19,$BZ$10:BZ19)&lt;=$BG$9,$CI$17+$BW$8*$BG$19," "))</f>
        <v xml:space="preserve"> </v>
      </c>
      <c r="BZ19" s="24" t="str">
        <f t="shared" si="6"/>
        <v xml:space="preserve"> </v>
      </c>
      <c r="CA19" s="75" t="str">
        <f>IF(OR($BG$19&lt;2.5,BL19=" ")," ",IF(SUM($BN$10:$BN$19,$BP$10:$BP$19,$BR$10:$BR$19,$BT$10:$BT$19,$BV$10:$BV$19,$BX$10:$BX$19,$BZ$10:$BZ$19,$CB$10:CB19)&lt;=$BG$9,CI$17+$BY$8*$BG$19," "))</f>
        <v xml:space="preserve"> </v>
      </c>
      <c r="CB19" s="24" t="str">
        <f t="shared" si="7"/>
        <v xml:space="preserve"> </v>
      </c>
      <c r="CC19" s="88" t="str">
        <f>IF(OR($BG$19&lt;2.5,BL19=" ")," ",IF(SUM($BN$10:$BN$19,$BP$10:$BP$19,BR$10:BR$19,$BT$10:$BT$19,BV$10:$BV$19,$BX$10:$BX$19,$BZ$10:$BZ$19,$CB$10:$CB$19,CD$10:CD19)&lt;=$BG$9,CI$17+$CA$8*$BG$19," "))</f>
        <v xml:space="preserve"> </v>
      </c>
      <c r="CD19" s="24" t="str">
        <f t="shared" si="8"/>
        <v xml:space="preserve"> </v>
      </c>
      <c r="CE19" s="70" t="str">
        <f>IF(OR($BG$19&lt;2.5,BL19=" ")," ",IF(SUM($BN$10:$BN$19,$BP$10:$BP$19,$BR$10:$BR$19,$BT$10:$BT$19,$BV$10:$BV$19,$BX$10:$BX$19,$BZ$10:$BZ$19,$CB$10:$CB$19,$CD$10:$CD$19,$CF$10:CF19)&lt;=$BG$9,$CI$17+$CC$8*$BG$19," "))</f>
        <v xml:space="preserve"> </v>
      </c>
      <c r="CF19" s="24" t="str">
        <f t="shared" si="8"/>
        <v xml:space="preserve"> </v>
      </c>
      <c r="CH19" s="12">
        <f>BL6+CH10-BP7+0.6</f>
        <v>81.599999999999994</v>
      </c>
      <c r="CI19" s="10">
        <f>$CI$18</f>
        <v>92.5</v>
      </c>
    </row>
    <row r="20" spans="1:87" ht="18" customHeight="1">
      <c r="B20" s="55"/>
      <c r="C20" s="9" t="s">
        <v>51</v>
      </c>
      <c r="D20" s="9"/>
      <c r="E20" s="9"/>
      <c r="F20" s="9"/>
      <c r="G20" s="9"/>
      <c r="H20" s="128">
        <v>0.04</v>
      </c>
      <c r="I20" s="8" t="s">
        <v>11</v>
      </c>
      <c r="J20" s="9"/>
      <c r="K20" s="9"/>
      <c r="L20" s="9"/>
      <c r="M20" s="8"/>
      <c r="N20" s="31"/>
      <c r="O20" s="14"/>
      <c r="P20" s="14"/>
      <c r="Q20" s="14"/>
      <c r="R20" s="20"/>
      <c r="S20" s="31"/>
      <c r="T20" s="14"/>
      <c r="U20" s="14"/>
      <c r="V20" s="14"/>
      <c r="W20" s="14"/>
      <c r="X20" s="14"/>
      <c r="Y20" s="15"/>
      <c r="Z20" s="9"/>
      <c r="AA20" s="9"/>
      <c r="AB20" s="8"/>
      <c r="AC20" s="8"/>
      <c r="AD20" s="8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53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J20" s="1" t="s">
        <v>158</v>
      </c>
      <c r="BK20" s="71" t="s">
        <v>138</v>
      </c>
      <c r="BL20" s="144">
        <f>SUBTOTAL(2,$BM$10,$BO$10,$BQ$10,$BS$10,$BU$10,$BW$10,$BY$10,$CA$10,$CC$10,$CE$10)</f>
        <v>5</v>
      </c>
      <c r="BM20" s="71"/>
      <c r="BN20" s="71"/>
      <c r="BO20" s="71"/>
      <c r="BP20" s="71"/>
      <c r="BQ20" s="71"/>
      <c r="BR20" s="72"/>
      <c r="CE20" s="1" t="s">
        <v>118</v>
      </c>
      <c r="CF20" s="147">
        <f>SUBTOTAL(2,$BL$10:$BL$19,$BO$10:$BO$19,$BQ$10:$BQ$19,$BS$10:$BS$19,$BU$10:$BU$19,$BW$10:$BW$19,$BY$10:$BY$19,$CA$10:$CA$19,$CC$10:$CC$19,$CE$10:$CE$19)</f>
        <v>42</v>
      </c>
      <c r="CG20" s="1" t="s">
        <v>119</v>
      </c>
      <c r="CH20" s="12">
        <f>$CH$19</f>
        <v>81.599999999999994</v>
      </c>
      <c r="CI20" s="73">
        <f>CI10+BP6</f>
        <v>7.5</v>
      </c>
    </row>
    <row r="21" spans="1:87" ht="18" customHeight="1">
      <c r="B21" s="55"/>
      <c r="C21" s="9" t="s">
        <v>18</v>
      </c>
      <c r="D21" s="9"/>
      <c r="E21" s="9"/>
      <c r="F21" s="9"/>
      <c r="G21" s="9"/>
      <c r="H21" s="9">
        <f>($H$19*100+($U$19/10)+((($BL$20-1)*$AB$41+$BL$20*$Q$9/10)/2))/100</f>
        <v>0.151</v>
      </c>
      <c r="I21" s="8" t="s">
        <v>11</v>
      </c>
      <c r="J21" s="9"/>
      <c r="K21" s="9"/>
      <c r="L21" s="9"/>
      <c r="M21" s="8"/>
      <c r="N21" s="9"/>
      <c r="O21" s="9"/>
      <c r="P21" s="9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8"/>
      <c r="AC21" s="8"/>
      <c r="AD21" s="8"/>
      <c r="AE21" s="8"/>
      <c r="AF21" s="9"/>
      <c r="AG21" s="9"/>
      <c r="AH21" s="9"/>
      <c r="AI21" s="9"/>
      <c r="AJ21" s="9"/>
      <c r="AK21" s="9"/>
      <c r="AL21" s="9"/>
      <c r="AM21" s="9"/>
      <c r="AN21" s="9"/>
      <c r="AO21" s="53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K21" s="71"/>
      <c r="BL21" s="71"/>
      <c r="BM21" s="71"/>
      <c r="BN21" s="71"/>
      <c r="BO21" s="71"/>
      <c r="BP21" s="71"/>
      <c r="BQ21" s="71"/>
      <c r="BR21" s="72"/>
      <c r="CH21" s="31">
        <f>CH10+BP7-0.6</f>
        <v>33.4</v>
      </c>
      <c r="CI21" s="15">
        <f>CI20</f>
        <v>7.5</v>
      </c>
    </row>
    <row r="22" spans="1:87" ht="18" customHeight="1">
      <c r="B22" s="55"/>
      <c r="C22" s="9" t="str">
        <f>IF($BL$20-1&lt;$BL$20,"d balance","d use")</f>
        <v>d balance</v>
      </c>
      <c r="D22" s="9"/>
      <c r="E22" s="9"/>
      <c r="F22" s="9"/>
      <c r="G22" s="9"/>
      <c r="H22" s="98">
        <f>H18-H21</f>
        <v>0.749</v>
      </c>
      <c r="I22" s="8" t="s">
        <v>11</v>
      </c>
      <c r="J22" s="9"/>
      <c r="K22" s="39"/>
      <c r="L22" s="9"/>
      <c r="M22" s="8"/>
      <c r="N22" s="9"/>
      <c r="O22" s="9"/>
      <c r="P22" s="9"/>
      <c r="Q22" s="9"/>
      <c r="R22" s="8"/>
      <c r="S22" s="9"/>
      <c r="T22" s="9"/>
      <c r="U22" s="9"/>
      <c r="V22" s="9"/>
      <c r="W22" s="9"/>
      <c r="X22" s="9"/>
      <c r="Y22" s="9"/>
      <c r="Z22" s="22" t="s">
        <v>104</v>
      </c>
      <c r="AA22" s="9"/>
      <c r="AB22" s="8"/>
      <c r="AC22" s="8"/>
      <c r="AD22" s="8"/>
      <c r="AE22" s="8"/>
      <c r="AF22" s="9"/>
      <c r="AG22" s="9"/>
      <c r="AH22" s="9"/>
      <c r="AI22" s="9"/>
      <c r="AJ22" s="9"/>
      <c r="AK22" s="9"/>
      <c r="AL22" s="9"/>
      <c r="AM22" s="9"/>
      <c r="AN22" s="9"/>
      <c r="AO22" s="53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L22" s="71"/>
      <c r="BM22" s="71"/>
      <c r="BN22" s="71"/>
      <c r="BO22" s="71"/>
      <c r="BP22" s="71"/>
      <c r="BQ22" s="71"/>
      <c r="BR22" s="72"/>
      <c r="CH22" s="28" t="s">
        <v>128</v>
      </c>
      <c r="CI22" s="65"/>
    </row>
    <row r="23" spans="1:87" ht="18" customHeight="1">
      <c r="B23" s="55"/>
      <c r="C23" s="44" t="s">
        <v>84</v>
      </c>
      <c r="D23" s="43"/>
      <c r="E23" s="9"/>
      <c r="F23" s="9"/>
      <c r="G23" s="9"/>
      <c r="H23" s="9"/>
      <c r="I23" s="8"/>
      <c r="J23" s="9"/>
      <c r="K23" s="9"/>
      <c r="L23" s="9"/>
      <c r="M23" s="8"/>
      <c r="N23" s="9"/>
      <c r="O23" s="9"/>
      <c r="P23" s="9"/>
      <c r="Q23" s="9"/>
      <c r="R23" s="8"/>
      <c r="S23" s="9"/>
      <c r="T23" s="9"/>
      <c r="U23" s="9"/>
      <c r="V23" s="9"/>
      <c r="W23" s="9"/>
      <c r="X23" s="9"/>
      <c r="Y23" s="9"/>
      <c r="Z23" s="156" t="s">
        <v>87</v>
      </c>
      <c r="AA23" s="11" t="s">
        <v>139</v>
      </c>
      <c r="AB23" s="8">
        <f>X10</f>
        <v>17</v>
      </c>
      <c r="AC23" s="8" t="s">
        <v>97</v>
      </c>
      <c r="AD23" s="163" t="s">
        <v>196</v>
      </c>
      <c r="AE23" s="21">
        <f>CF43</f>
        <v>17</v>
      </c>
      <c r="AF23" s="9" t="s">
        <v>97</v>
      </c>
      <c r="AG23" s="22" t="str">
        <f>IF(AE23=AB23,"ok","no")</f>
        <v>ok</v>
      </c>
      <c r="AH23" s="9"/>
      <c r="AI23" s="9"/>
      <c r="AJ23" s="9"/>
      <c r="AK23" s="9"/>
      <c r="AL23" s="9"/>
      <c r="AM23" s="9"/>
      <c r="AN23" s="9"/>
      <c r="AO23" s="53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K23" s="71"/>
      <c r="BL23" s="71"/>
      <c r="BM23" s="71"/>
      <c r="BN23" s="71"/>
      <c r="BO23" s="71"/>
      <c r="BP23" s="71"/>
      <c r="BQ23" s="71"/>
      <c r="BR23" s="72"/>
      <c r="CH23" s="70">
        <f>$CH$12+10</f>
        <v>95</v>
      </c>
      <c r="CI23" s="65">
        <f>$CI$10</f>
        <v>5</v>
      </c>
    </row>
    <row r="24" spans="1:87" ht="18" customHeight="1">
      <c r="B24" s="55"/>
      <c r="C24" s="9" t="s">
        <v>4</v>
      </c>
      <c r="D24" s="9"/>
      <c r="E24" s="9"/>
      <c r="F24" s="9"/>
      <c r="G24" s="9"/>
      <c r="H24" s="127">
        <v>100000</v>
      </c>
      <c r="I24" s="8" t="s">
        <v>19</v>
      </c>
      <c r="J24" s="9"/>
      <c r="K24" s="9"/>
      <c r="L24" s="9"/>
      <c r="M24" s="8"/>
      <c r="N24" s="9"/>
      <c r="O24" s="9"/>
      <c r="P24" s="9"/>
      <c r="Q24" s="9"/>
      <c r="R24" s="8"/>
      <c r="S24" s="9"/>
      <c r="T24" s="9"/>
      <c r="U24" s="9"/>
      <c r="V24" s="9"/>
      <c r="W24" s="9"/>
      <c r="X24" s="9"/>
      <c r="Y24" s="9"/>
      <c r="Z24" s="9" t="s">
        <v>131</v>
      </c>
      <c r="AA24" s="9" t="s">
        <v>101</v>
      </c>
      <c r="AB24" s="131">
        <v>9</v>
      </c>
      <c r="AC24" s="8" t="s">
        <v>97</v>
      </c>
      <c r="AD24" s="8"/>
      <c r="AE24" s="8"/>
      <c r="AF24" s="9"/>
      <c r="AG24" s="9"/>
      <c r="AH24" s="9"/>
      <c r="AI24" s="9"/>
      <c r="AJ24" s="9"/>
      <c r="AK24" s="9"/>
      <c r="AL24" s="9"/>
      <c r="AM24" s="9"/>
      <c r="AN24" s="9"/>
      <c r="AO24" s="53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K24" s="71"/>
      <c r="BL24" s="71"/>
      <c r="BM24" s="71"/>
      <c r="BN24" s="71"/>
      <c r="BO24" s="71"/>
      <c r="BP24" s="71"/>
      <c r="BQ24" s="71"/>
      <c r="BR24" s="72"/>
      <c r="CH24" s="70">
        <f>$CH$23</f>
        <v>95</v>
      </c>
      <c r="CI24" s="65">
        <f>$CI$11</f>
        <v>95</v>
      </c>
    </row>
    <row r="25" spans="1:87" ht="18" customHeight="1">
      <c r="B25" s="55"/>
      <c r="C25" s="9" t="s">
        <v>5</v>
      </c>
      <c r="D25" s="9"/>
      <c r="E25" s="9"/>
      <c r="F25" s="9"/>
      <c r="G25" s="9"/>
      <c r="H25" s="128">
        <v>8000</v>
      </c>
      <c r="I25" s="8" t="s">
        <v>7</v>
      </c>
      <c r="J25" s="9"/>
      <c r="K25" s="9"/>
      <c r="L25" s="9"/>
      <c r="M25" s="8"/>
      <c r="N25" s="9"/>
      <c r="O25" s="9"/>
      <c r="P25" s="9"/>
      <c r="Q25" s="9"/>
      <c r="R25" s="8"/>
      <c r="S25" s="9"/>
      <c r="T25" s="9"/>
      <c r="U25" s="9"/>
      <c r="V25" s="9"/>
      <c r="W25" s="9"/>
      <c r="X25" s="9"/>
      <c r="Y25" s="9"/>
      <c r="Z25" s="9" t="s">
        <v>130</v>
      </c>
      <c r="AA25" s="9"/>
      <c r="AB25" s="8">
        <f>$BG$37</f>
        <v>5.8750000000000009</v>
      </c>
      <c r="AC25" s="8" t="s">
        <v>53</v>
      </c>
      <c r="AD25" s="21" t="str">
        <f>IF(AB25&gt;=2.5,"ok","no")</f>
        <v>ok</v>
      </c>
      <c r="AE25" s="8"/>
      <c r="AF25" s="9"/>
      <c r="AG25" s="9"/>
      <c r="AH25" s="9"/>
      <c r="AI25" s="9"/>
      <c r="AJ25" s="9"/>
      <c r="AK25" s="9"/>
      <c r="AL25" s="9"/>
      <c r="AM25" s="9"/>
      <c r="AN25" s="9"/>
      <c r="AO25" s="53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K25" s="71"/>
      <c r="BL25" s="71"/>
      <c r="BM25" s="71"/>
      <c r="BN25" s="71"/>
      <c r="BO25" s="71"/>
      <c r="BP25" s="71"/>
      <c r="BQ25" s="71"/>
      <c r="BR25" s="72"/>
      <c r="CH25" s="70">
        <f>CH23-8</f>
        <v>87</v>
      </c>
      <c r="CI25" s="65">
        <f>CI23</f>
        <v>5</v>
      </c>
    </row>
    <row r="26" spans="1:87" ht="18" customHeight="1">
      <c r="B26" s="55"/>
      <c r="C26" s="9" t="s">
        <v>6</v>
      </c>
      <c r="D26" s="9"/>
      <c r="E26" s="9"/>
      <c r="F26" s="9"/>
      <c r="G26" s="9"/>
      <c r="H26" s="128">
        <v>20000</v>
      </c>
      <c r="I26" s="8" t="s">
        <v>19</v>
      </c>
      <c r="J26" s="9"/>
      <c r="K26" s="9"/>
      <c r="L26" s="9"/>
      <c r="M26" s="8"/>
      <c r="N26" s="9"/>
      <c r="O26" s="9"/>
      <c r="P26" s="9"/>
      <c r="Q26" s="9"/>
      <c r="R26" s="8"/>
      <c r="S26" s="9"/>
      <c r="T26" s="9"/>
      <c r="U26" s="9"/>
      <c r="V26" s="9"/>
      <c r="W26" s="9"/>
      <c r="X26" s="9"/>
      <c r="Y26" s="9"/>
      <c r="Z26" s="155" t="s">
        <v>88</v>
      </c>
      <c r="AA26" s="9"/>
      <c r="AB26" s="8"/>
      <c r="AC26" s="8"/>
      <c r="AD26" s="8"/>
      <c r="AE26" s="8"/>
      <c r="AF26" s="9"/>
      <c r="AG26" s="9"/>
      <c r="AH26" s="9"/>
      <c r="AI26" s="9"/>
      <c r="AJ26" s="9"/>
      <c r="AK26" s="9"/>
      <c r="AL26" s="9"/>
      <c r="AM26" s="9"/>
      <c r="AN26" s="9"/>
      <c r="AO26" s="53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K26" s="71"/>
      <c r="BL26" s="71"/>
      <c r="BM26" s="71"/>
      <c r="BN26" s="71"/>
      <c r="BO26" s="71"/>
      <c r="BP26" s="71"/>
      <c r="BQ26" s="71"/>
      <c r="BR26" s="72"/>
      <c r="CH26" s="16">
        <f>$CH$24+3</f>
        <v>98</v>
      </c>
      <c r="CI26" s="10">
        <f>$CI$25</f>
        <v>5</v>
      </c>
    </row>
    <row r="27" spans="1:87" ht="18" customHeight="1">
      <c r="B27" s="55"/>
      <c r="C27" s="44" t="s">
        <v>29</v>
      </c>
      <c r="D27" s="43"/>
      <c r="E27" s="43"/>
      <c r="F27" s="43"/>
      <c r="G27" s="9"/>
      <c r="H27" s="29"/>
      <c r="I27" s="8"/>
      <c r="J27" s="9"/>
      <c r="K27" s="9"/>
      <c r="L27" s="9"/>
      <c r="M27" s="8"/>
      <c r="N27" s="9"/>
      <c r="O27" s="9"/>
      <c r="P27" s="9"/>
      <c r="Q27" s="9"/>
      <c r="R27" s="8"/>
      <c r="S27" s="9"/>
      <c r="T27" s="9"/>
      <c r="U27" s="9"/>
      <c r="V27" s="9"/>
      <c r="W27" s="9"/>
      <c r="X27" s="9"/>
      <c r="Y27" s="9"/>
      <c r="Z27" s="9" t="s">
        <v>130</v>
      </c>
      <c r="AA27" s="9"/>
      <c r="AB27" s="131">
        <v>3</v>
      </c>
      <c r="AC27" s="8" t="s">
        <v>53</v>
      </c>
      <c r="AD27" s="8"/>
      <c r="AE27" s="8"/>
      <c r="AF27" s="9"/>
      <c r="AG27" s="9"/>
      <c r="AH27" s="9"/>
      <c r="AI27" s="9"/>
      <c r="AJ27" s="9"/>
      <c r="AK27" s="9"/>
      <c r="AL27" s="9"/>
      <c r="AM27" s="9"/>
      <c r="AN27" s="9"/>
      <c r="AO27" s="53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K27" s="71"/>
      <c r="BL27" s="71"/>
      <c r="BM27" s="71"/>
      <c r="BN27" s="71"/>
      <c r="BO27" s="71"/>
      <c r="BP27" s="71"/>
      <c r="BQ27" s="71"/>
      <c r="BR27" s="72"/>
      <c r="CH27" s="70">
        <f>$CH$25</f>
        <v>87</v>
      </c>
      <c r="CI27" s="65">
        <f>$CI$24</f>
        <v>95</v>
      </c>
    </row>
    <row r="28" spans="1:87" ht="18" customHeight="1">
      <c r="A28" s="4"/>
      <c r="B28" s="56"/>
      <c r="C28" s="9" t="s">
        <v>12</v>
      </c>
      <c r="D28" s="9"/>
      <c r="E28" s="9"/>
      <c r="F28" s="9"/>
      <c r="G28" s="9"/>
      <c r="H28" s="9">
        <f>($H$12*(0.85*$H$7/$H$9))*(6120/(6120+$H$9))</f>
        <v>2.4241776315789474E-2</v>
      </c>
      <c r="I28" s="8"/>
      <c r="J28" s="9"/>
      <c r="K28" s="9"/>
      <c r="L28" s="9"/>
      <c r="M28" s="8"/>
      <c r="N28" s="9"/>
      <c r="O28" s="9"/>
      <c r="P28" s="9"/>
      <c r="Q28" s="9"/>
      <c r="R28" s="8"/>
      <c r="S28" s="9"/>
      <c r="T28" s="9"/>
      <c r="U28" s="9"/>
      <c r="V28" s="9"/>
      <c r="W28" s="9"/>
      <c r="X28" s="9"/>
      <c r="Y28" s="9"/>
      <c r="AD28" s="8"/>
      <c r="AE28" s="8"/>
      <c r="AF28" s="9"/>
      <c r="AG28" s="9"/>
      <c r="AH28" s="9"/>
      <c r="AI28" s="9"/>
      <c r="AJ28" s="9"/>
      <c r="AK28" s="9"/>
      <c r="AL28" s="9"/>
      <c r="AM28" s="9"/>
      <c r="AN28" s="9"/>
      <c r="AO28" s="53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K28" s="71"/>
      <c r="BL28" s="71"/>
      <c r="BM28" s="71"/>
      <c r="BN28" s="71"/>
      <c r="BO28" s="71"/>
      <c r="BP28" s="71"/>
      <c r="BQ28" s="71"/>
      <c r="BR28" s="72"/>
      <c r="CH28" s="17">
        <f>$CH$26</f>
        <v>98</v>
      </c>
      <c r="CI28" s="15">
        <f>$CI$27</f>
        <v>95</v>
      </c>
    </row>
    <row r="29" spans="1:87" ht="18" customHeight="1">
      <c r="A29" s="4"/>
      <c r="B29" s="56"/>
      <c r="C29" s="9" t="s">
        <v>86</v>
      </c>
      <c r="D29" s="9">
        <f>14/H9</f>
        <v>4.6666666666666671E-3</v>
      </c>
      <c r="E29" s="9"/>
      <c r="F29" s="9"/>
      <c r="G29" s="9" t="s">
        <v>85</v>
      </c>
      <c r="H29" s="9">
        <f>0.75*H28</f>
        <v>1.8181332236842106E-2</v>
      </c>
      <c r="I29" s="8"/>
      <c r="J29" s="9"/>
      <c r="K29" s="9"/>
      <c r="L29" s="9"/>
      <c r="M29" s="8"/>
      <c r="N29" s="9"/>
      <c r="O29" s="9"/>
      <c r="P29" s="9"/>
      <c r="Q29" s="9"/>
      <c r="R29" s="8"/>
      <c r="S29" s="9"/>
      <c r="T29" s="9"/>
      <c r="U29" s="9"/>
      <c r="V29" s="9"/>
      <c r="W29" s="9"/>
      <c r="X29" s="9"/>
      <c r="Y29" s="9"/>
      <c r="AD29" s="8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53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K29" s="71"/>
      <c r="BL29" s="71"/>
      <c r="BM29" s="71"/>
      <c r="BN29" s="71"/>
      <c r="BO29" s="71"/>
      <c r="BP29" s="71"/>
      <c r="BQ29" s="71"/>
      <c r="BR29" s="72"/>
      <c r="CH29" s="28" t="s">
        <v>129</v>
      </c>
      <c r="CI29" s="65"/>
    </row>
    <row r="30" spans="1:87" ht="18" customHeight="1">
      <c r="B30" s="55"/>
      <c r="C30" s="9" t="s">
        <v>13</v>
      </c>
      <c r="D30" s="9"/>
      <c r="E30" s="9"/>
      <c r="F30" s="127">
        <v>0.5</v>
      </c>
      <c r="G30" s="9" t="s">
        <v>124</v>
      </c>
      <c r="H30" s="9">
        <f>F30*H28</f>
        <v>1.2120888157894737E-2</v>
      </c>
      <c r="I30" s="21" t="str">
        <f>IF(AND(D29&lt;H30,H30&lt;=H29),"ok","no")</f>
        <v>ok</v>
      </c>
      <c r="J30" s="9"/>
      <c r="K30" s="9"/>
      <c r="L30" s="9"/>
      <c r="M30" s="8"/>
      <c r="N30" s="9"/>
      <c r="O30" s="9"/>
      <c r="P30" s="9"/>
      <c r="Q30" s="9"/>
      <c r="R30" s="8"/>
      <c r="S30" s="9"/>
      <c r="T30" s="9"/>
      <c r="U30" s="9"/>
      <c r="V30" s="9"/>
      <c r="W30" s="9"/>
      <c r="X30" s="9"/>
      <c r="Y30" s="9"/>
      <c r="AC30" s="92" t="s">
        <v>132</v>
      </c>
      <c r="AD30" s="8"/>
      <c r="AE30" s="8"/>
      <c r="AF30" s="9"/>
      <c r="AG30" s="9"/>
      <c r="AJ30" s="9"/>
      <c r="AK30" s="9"/>
      <c r="AL30" s="9"/>
      <c r="AM30" s="9"/>
      <c r="AN30" s="9"/>
      <c r="AO30" s="53"/>
      <c r="AP30" s="9"/>
      <c r="AV30" s="9"/>
      <c r="AW30" s="9"/>
      <c r="AX30" s="9"/>
      <c r="AY30" s="9"/>
      <c r="AZ30" s="9"/>
      <c r="BA30" s="9"/>
      <c r="BB30" s="9"/>
      <c r="BC30" s="9"/>
      <c r="BK30" s="9"/>
      <c r="BL30" s="9"/>
      <c r="BM30" s="9"/>
      <c r="BN30" s="71"/>
      <c r="BO30" s="71"/>
      <c r="BP30" s="71"/>
      <c r="BQ30" s="71"/>
      <c r="BR30" s="72"/>
      <c r="CH30" s="24" t="s">
        <v>87</v>
      </c>
      <c r="CI30" s="24" t="s">
        <v>88</v>
      </c>
    </row>
    <row r="31" spans="1:87" ht="18" customHeight="1">
      <c r="B31" s="55"/>
      <c r="C31" s="9" t="s">
        <v>8</v>
      </c>
      <c r="D31" s="9"/>
      <c r="E31" s="9"/>
      <c r="F31" s="9"/>
      <c r="G31" s="9"/>
      <c r="H31" s="9">
        <f>ROUND(H30*H9*(1-0.59*(H30*H9/H7)),2)</f>
        <v>31.16</v>
      </c>
      <c r="I31" s="8" t="s">
        <v>3</v>
      </c>
      <c r="J31" s="9"/>
      <c r="K31" s="9"/>
      <c r="L31" s="9"/>
      <c r="M31" s="8"/>
      <c r="N31" s="9"/>
      <c r="O31" s="45"/>
      <c r="P31" s="9"/>
      <c r="Q31" s="9"/>
      <c r="R31" s="8"/>
      <c r="S31" s="9"/>
      <c r="T31" s="9"/>
      <c r="U31" s="9"/>
      <c r="V31" s="9"/>
      <c r="W31" s="9"/>
      <c r="X31" s="9"/>
      <c r="Y31" s="9"/>
      <c r="AC31" s="66" t="s">
        <v>95</v>
      </c>
      <c r="AD31" s="8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53"/>
      <c r="AP31" s="9"/>
      <c r="AV31" s="9"/>
      <c r="AW31" s="9"/>
      <c r="AX31" s="9"/>
      <c r="AY31" s="9"/>
      <c r="AZ31" s="9"/>
      <c r="BA31" s="9"/>
      <c r="BB31" s="9"/>
      <c r="BC31" s="9"/>
      <c r="BJ31" s="87" t="s">
        <v>104</v>
      </c>
      <c r="BK31" s="70">
        <v>0</v>
      </c>
      <c r="BL31" s="70">
        <v>1</v>
      </c>
      <c r="BM31" s="165">
        <v>1</v>
      </c>
      <c r="BN31" s="166"/>
      <c r="BO31" s="165">
        <v>2</v>
      </c>
      <c r="BP31" s="166"/>
      <c r="BQ31" s="165">
        <v>3</v>
      </c>
      <c r="BR31" s="166"/>
      <c r="BS31" s="165">
        <v>4</v>
      </c>
      <c r="BT31" s="166"/>
      <c r="BU31" s="165">
        <v>5</v>
      </c>
      <c r="BV31" s="166"/>
      <c r="BW31" s="165">
        <v>6</v>
      </c>
      <c r="BX31" s="166"/>
      <c r="BY31" s="165">
        <v>7</v>
      </c>
      <c r="BZ31" s="166"/>
      <c r="CA31" s="165">
        <v>8</v>
      </c>
      <c r="CB31" s="166"/>
      <c r="CC31" s="165">
        <v>9</v>
      </c>
      <c r="CD31" s="166"/>
      <c r="CE31" s="165">
        <v>10</v>
      </c>
      <c r="CF31" s="166"/>
      <c r="CH31" s="17">
        <f>$CH$10</f>
        <v>30</v>
      </c>
      <c r="CI31" s="17">
        <f>$CI$11+7</f>
        <v>102</v>
      </c>
    </row>
    <row r="32" spans="1:87" ht="18" customHeight="1">
      <c r="B32" s="55"/>
      <c r="C32" s="9" t="s">
        <v>23</v>
      </c>
      <c r="D32" s="9"/>
      <c r="E32" s="9"/>
      <c r="F32" s="9"/>
      <c r="G32" s="9"/>
      <c r="H32" s="9">
        <f>($H$13*$H$31*$H$17*100*($H$22*100)^2)/100</f>
        <v>86529.916242000007</v>
      </c>
      <c r="I32" s="8" t="s">
        <v>19</v>
      </c>
      <c r="J32" s="9"/>
      <c r="K32" s="9"/>
      <c r="L32" s="9"/>
      <c r="M32" s="8"/>
      <c r="N32" s="9"/>
      <c r="O32" s="9"/>
      <c r="P32" s="9"/>
      <c r="Q32" s="9"/>
      <c r="R32" s="8"/>
      <c r="S32" s="9"/>
      <c r="T32" s="9"/>
      <c r="U32" s="9"/>
      <c r="V32" s="9"/>
      <c r="W32" s="9"/>
      <c r="X32" s="9"/>
      <c r="Y32" s="9"/>
      <c r="AC32" s="1" t="s">
        <v>133</v>
      </c>
      <c r="AD32" s="8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53"/>
      <c r="AP32" s="9"/>
      <c r="AV32" s="9"/>
      <c r="AW32" s="9"/>
      <c r="AX32" s="9"/>
      <c r="AY32" s="9"/>
      <c r="AZ32" s="9"/>
      <c r="BA32" s="9"/>
      <c r="BB32" s="9"/>
      <c r="BC32" s="9"/>
      <c r="BE32" s="1" t="s">
        <v>122</v>
      </c>
      <c r="BF32" s="1" t="s">
        <v>98</v>
      </c>
      <c r="BG32" s="62">
        <f>BL6-BP7*2</f>
        <v>47.000000000000007</v>
      </c>
      <c r="BH32" s="69" t="s">
        <v>11</v>
      </c>
      <c r="BJ32" s="70" t="s">
        <v>101</v>
      </c>
      <c r="BK32" s="20">
        <v>0</v>
      </c>
      <c r="BL32" s="20" t="s">
        <v>87</v>
      </c>
      <c r="BM32" s="17" t="s">
        <v>106</v>
      </c>
      <c r="BN32" s="17">
        <v>1</v>
      </c>
      <c r="BO32" s="17" t="s">
        <v>107</v>
      </c>
      <c r="BP32" s="17">
        <v>2</v>
      </c>
      <c r="BQ32" s="17" t="s">
        <v>108</v>
      </c>
      <c r="BR32" s="20">
        <v>3</v>
      </c>
      <c r="BS32" s="17" t="s">
        <v>110</v>
      </c>
      <c r="BT32" s="20">
        <v>4</v>
      </c>
      <c r="BU32" s="17" t="s">
        <v>110</v>
      </c>
      <c r="BV32" s="20">
        <v>5</v>
      </c>
      <c r="BW32" s="17" t="s">
        <v>110</v>
      </c>
      <c r="BX32" s="20">
        <v>6</v>
      </c>
      <c r="BY32" s="17" t="s">
        <v>110</v>
      </c>
      <c r="BZ32" s="20">
        <v>7</v>
      </c>
      <c r="CA32" s="17" t="s">
        <v>110</v>
      </c>
      <c r="CB32" s="20">
        <v>8</v>
      </c>
      <c r="CC32" s="17" t="s">
        <v>110</v>
      </c>
      <c r="CD32" s="20">
        <v>9</v>
      </c>
      <c r="CE32" s="17" t="s">
        <v>110</v>
      </c>
      <c r="CF32" s="20">
        <v>10</v>
      </c>
      <c r="CH32" s="17">
        <f>$CH$12</f>
        <v>85</v>
      </c>
      <c r="CI32" s="17">
        <f>$CI$31</f>
        <v>102</v>
      </c>
    </row>
    <row r="33" spans="2:88" ht="18" customHeight="1">
      <c r="B33" s="55"/>
      <c r="C33" s="9" t="s">
        <v>20</v>
      </c>
      <c r="D33" s="37" t="str">
        <f>IF(H32&gt;H24,"Mcu &gt; Mu","Mu &lt; Mcu")</f>
        <v>Mu &lt; Mcu</v>
      </c>
      <c r="E33" s="9"/>
      <c r="F33" s="38" t="str">
        <f>IF(H32&gt;H24,"Design as Singly Reign.","Design as Doubly Reign.")</f>
        <v>Design as Doubly Reign.</v>
      </c>
      <c r="G33" s="9"/>
      <c r="H33" s="9"/>
      <c r="I33" s="8"/>
      <c r="J33" s="9"/>
      <c r="K33" s="9"/>
      <c r="L33" s="9"/>
      <c r="M33" s="8"/>
      <c r="N33" s="9"/>
      <c r="O33" s="9"/>
      <c r="P33" s="9"/>
      <c r="Q33" s="9"/>
      <c r="R33" s="8"/>
      <c r="S33" s="9"/>
      <c r="T33" s="9"/>
      <c r="U33" s="9"/>
      <c r="V33" s="9"/>
      <c r="W33" s="9"/>
      <c r="X33" s="9"/>
      <c r="Y33" s="9"/>
      <c r="AD33" s="8"/>
      <c r="AE33" s="8"/>
      <c r="AF33" s="9"/>
      <c r="AG33" s="9"/>
      <c r="AH33" s="9"/>
      <c r="AI33" s="9"/>
      <c r="AJ33" s="9"/>
      <c r="AK33" s="9"/>
      <c r="AL33" s="9"/>
      <c r="AM33" s="9"/>
      <c r="AN33" s="9"/>
      <c r="AO33" s="53"/>
      <c r="AP33" s="9"/>
      <c r="AV33" s="9"/>
      <c r="AW33" s="9"/>
      <c r="AX33" s="9"/>
      <c r="AY33" s="9"/>
      <c r="AZ33" s="9"/>
      <c r="BA33" s="9"/>
      <c r="BB33" s="9"/>
      <c r="BC33" s="9"/>
      <c r="BF33" s="3" t="s">
        <v>101</v>
      </c>
      <c r="BG33" s="1">
        <f>X10</f>
        <v>17</v>
      </c>
      <c r="BH33" s="1" t="s">
        <v>97</v>
      </c>
      <c r="BJ33" s="70">
        <v>1</v>
      </c>
      <c r="BK33" s="70">
        <v>1</v>
      </c>
      <c r="BL33" s="75">
        <f>IF(OR(OR($BJ$33&gt;$BG$36,BG37&lt;2.5),BG33&lt;BJ33)," ",$CH$10+$BP$7+$BG$37*BK32)</f>
        <v>34</v>
      </c>
      <c r="BM33" s="70">
        <f>IF(BG37&lt;2.5," ",$CI$19-0.5)</f>
        <v>92</v>
      </c>
      <c r="BN33" s="70">
        <f>IF(BL33=" "," ",1)</f>
        <v>1</v>
      </c>
      <c r="BO33" s="70">
        <f>IF(BL33=" "," ",IF(SUM($BN$33:$BN$42,$BP$33)&lt;=$BG$33,$CI$19-0.5-$BG$41," "))</f>
        <v>89</v>
      </c>
      <c r="BP33" s="70">
        <f>IF(BL33=" "," ",1)</f>
        <v>1</v>
      </c>
      <c r="BQ33" s="70" t="str">
        <f>IF($BL33=" "," ",IF(SUM($BN$33:$BN$42,$BP$33:$BP$42,$BR$33)&lt;=$BG$33,$CI$19-0.5-$BG$41*$BO31," "))</f>
        <v xml:space="preserve"> </v>
      </c>
      <c r="BR33" s="24">
        <f>IF($BL33=" "," ",1)</f>
        <v>1</v>
      </c>
      <c r="BS33" s="70" t="str">
        <f>IF($BL33=" "," ",IF(SUM($BN$33:$BN$42,$BP$33:$BP$42,$BR$33:$BR$42,$BT$33)&lt;=$BG$33,$CI$19-0.5-$BG$41*$BQ31," "))</f>
        <v xml:space="preserve"> </v>
      </c>
      <c r="BT33" s="24">
        <f>IF($BL33=" "," ",1)</f>
        <v>1</v>
      </c>
      <c r="BU33" s="70" t="str">
        <f>IF($BL33=" "," ",IF(SUM($BN$33:$BN$42,$BP$33:$BP$42,$BR$33:$BR$42,$BT$33:BT42,$BV$33)&lt;=$BG$33,$CI$19-0.5-$BG$41*$BS$31," "))</f>
        <v xml:space="preserve"> </v>
      </c>
      <c r="BV33" s="78">
        <f>IF($BL33=" "," ",1)</f>
        <v>1</v>
      </c>
      <c r="BW33" s="75" t="str">
        <f>IF($BL33=" "," ",IF(SUM($BN$33:$BN$42,$BP$33:$BP$42,$BR$33:$BR$42,$BT$33:BT42,$BV$33:BV42,BX33)&lt;=$BG$33,$CI$19-0.5-$BG$41*$BU$31," "))</f>
        <v xml:space="preserve"> </v>
      </c>
      <c r="BX33" s="24">
        <f>IF($BL33=" "," ",1)</f>
        <v>1</v>
      </c>
      <c r="BY33" s="75" t="str">
        <f>IF($BL33=" "," ",IF(SUM($BN$33:$BN$42,$BP$33:$BP$42,$BR$33:$BR$42,$BT$33:$BT$42,$BV$33:$BV$42,$BX$33:$BX$42,BZ33)&lt;=$BG$33,$CI$19-0.5-$BG$41*$BW$31," "))</f>
        <v xml:space="preserve"> </v>
      </c>
      <c r="BZ33" s="24">
        <f>IF($BL33=" "," ",1)</f>
        <v>1</v>
      </c>
      <c r="CA33" s="75" t="str">
        <f>IF(BL33=" "," ",IF(SUM($BN$33:$BN$42,$BP$33:$BP$42,$BR$33:$BR$42,$BT$33:$BT$42,$BV$33:$BV$42,$BX$33:$BX$42,$BZ$33:$BZ$42,$CB$33)&lt;=$BG$33,$CI$19-0.5-$BG$41*$BY$31," "))</f>
        <v xml:space="preserve"> </v>
      </c>
      <c r="CB33" s="24">
        <f>IF($BL33=" "," ",1)</f>
        <v>1</v>
      </c>
      <c r="CC33" s="75" t="str">
        <f>IF(BL33=" "," ",IF(SUM($BN$33:$BN$42,$BP$33:$BP$42,$BR$33:$BR$42,$BT$33:$BT$42,$BV$33:$BV$42,$BX$33:$BX$42,$BZ$33:$BZ$42,$CB$33:$CB$42,$CD$33:CD33)&lt;=$BG$33,$CI$19-0.5-$BG$41*$CA$31," "))</f>
        <v xml:space="preserve"> </v>
      </c>
      <c r="CD33" s="24">
        <f>IF($BL33=" "," ",1)</f>
        <v>1</v>
      </c>
      <c r="CE33" s="70" t="str">
        <f>IF(BL33=" "," ",IF(SUM($BN$33:$BN$42,$BP$33:$BP$42,$BR$33:$BR$42,$BT$33:$BT$42,$BV$33:$BV$42,$BX$33:$BX$42,$BZ$33:$BZ$42,$CB$33:$CB$42,$CD$33:$CD$33:$CD$42,$CF$33)&lt;=$BG$33,$CI$19-0.5-$BG$41*$CC$31," "))</f>
        <v xml:space="preserve"> </v>
      </c>
      <c r="CF33" s="24">
        <f>IF($BL33=" "," ",1)</f>
        <v>1</v>
      </c>
      <c r="CH33" s="16">
        <f>$CH$31</f>
        <v>30</v>
      </c>
      <c r="CI33" s="16">
        <f>$CI$18+4</f>
        <v>96.5</v>
      </c>
    </row>
    <row r="34" spans="2:88" ht="18" customHeight="1">
      <c r="B34" s="55"/>
      <c r="C34" s="9" t="s">
        <v>22</v>
      </c>
      <c r="D34" s="9"/>
      <c r="E34" s="9"/>
      <c r="F34" s="9"/>
      <c r="G34" s="9"/>
      <c r="H34" s="9">
        <f>IF(F33="Design as Singly Reign.",ROUND(H24*100/(H13*(H17*100)*(H22*100)^2),2),IF(F33="Design as Doubly Reign.",H31))</f>
        <v>31.16</v>
      </c>
      <c r="I34" s="8" t="s">
        <v>24</v>
      </c>
      <c r="J34" s="9"/>
      <c r="K34" s="9"/>
      <c r="L34" s="9"/>
      <c r="M34" s="8"/>
      <c r="N34" s="9"/>
      <c r="O34" s="9"/>
      <c r="P34" s="9"/>
      <c r="Q34" s="9"/>
      <c r="R34" s="8"/>
      <c r="S34" s="9"/>
      <c r="T34" s="9"/>
      <c r="U34" s="9"/>
      <c r="V34" s="9"/>
      <c r="W34" s="9"/>
      <c r="X34" s="9"/>
      <c r="Y34" s="9"/>
      <c r="Z34" s="9"/>
      <c r="AA34" s="9"/>
      <c r="AB34" s="8"/>
      <c r="AC34" s="8"/>
      <c r="AD34" s="8"/>
      <c r="AE34" s="8"/>
      <c r="AF34" s="9"/>
      <c r="AG34" s="9"/>
      <c r="AH34" s="9"/>
      <c r="AI34" s="9"/>
      <c r="AJ34" s="9"/>
      <c r="AK34" s="9"/>
      <c r="AL34" s="9"/>
      <c r="AM34" s="9"/>
      <c r="AN34" s="9"/>
      <c r="AO34" s="53"/>
      <c r="AP34" s="9"/>
      <c r="AV34" s="9"/>
      <c r="AW34" s="9"/>
      <c r="AX34" s="9"/>
      <c r="AY34" s="9"/>
      <c r="AZ34" s="9"/>
      <c r="BA34" s="9"/>
      <c r="BB34" s="9"/>
      <c r="BC34" s="9"/>
      <c r="BE34" s="66" t="s">
        <v>94</v>
      </c>
      <c r="BF34" s="66" t="s">
        <v>95</v>
      </c>
      <c r="BG34" s="67"/>
      <c r="BH34" s="3"/>
      <c r="BI34" s="62"/>
      <c r="BJ34" s="70">
        <v>1</v>
      </c>
      <c r="BK34" s="70">
        <v>2</v>
      </c>
      <c r="BL34" s="75">
        <f>IF(OR(OR(SUM($BJ$33:BJ34)&gt;$BG$36,$BG$37&lt;2.5),SUM($BJ$33:BJ34)&gt;$BG$33)," ",$CH$10+$BP$7+$BG$37*BK33)</f>
        <v>39.875</v>
      </c>
      <c r="BM34" s="70">
        <f>IF(BG37&lt;2.5," ",$CI$19-0.5)</f>
        <v>92</v>
      </c>
      <c r="BN34" s="70">
        <f t="shared" ref="BN34" si="11">IF(BL34=" "," ",1)</f>
        <v>1</v>
      </c>
      <c r="BO34" s="70">
        <f>IF($BL34=" "," ",IF(SUM($BN$33:$BN$42,$BP$33:BP34)&lt;=$BG$33,$CI$19-0.5-$BG$41," "))</f>
        <v>89</v>
      </c>
      <c r="BP34" s="70">
        <f t="shared" ref="BP34" si="12">IF(BL34=" "," ",1)</f>
        <v>1</v>
      </c>
      <c r="BQ34" s="70" t="str">
        <f>IF($BL34=" "," ",IF(SUM($BN$33:$BN$42,$BP$33:$BP$42,$BR$33:BR34)&lt;=$BG$33,$CI$19-0.5-$BG$41*$BO$31," "))</f>
        <v xml:space="preserve"> </v>
      </c>
      <c r="BR34" s="24">
        <f t="shared" ref="BR34" si="13">IF(BL34=" "," ",1)</f>
        <v>1</v>
      </c>
      <c r="BS34" s="70" t="str">
        <f>IF($BL34=" "," ",IF(SUM($BN$33:$BN$42,$BP$33:$BP$42,$BR$33:$BR$42,$BT$33:BT34)&lt;=$BG$33,$CI$19-0.5-$BG$41*BQ$31," "))</f>
        <v xml:space="preserve"> </v>
      </c>
      <c r="BT34" s="24">
        <f t="shared" ref="BT34" si="14">IF($BL34=" "," ",1)</f>
        <v>1</v>
      </c>
      <c r="BU34" s="70" t="str">
        <f>IF($BL34=" "," ",IF(SUM($BN$33:$BN$42,$BP$33:$BP$42,$BR$33:$BR$42,$BT$33:$BT$42,$BV$33:BV34)&lt;=$BG$33,$CI$19-0.5-$BG$41*$BS$31," "))</f>
        <v xml:space="preserve"> </v>
      </c>
      <c r="BV34" s="78">
        <f t="shared" ref="BV34" si="15">IF($BL34=" "," ",1)</f>
        <v>1</v>
      </c>
      <c r="BW34" s="75" t="str">
        <f>IF($BL34=" "," ",IF(SUM($BN$33:$BN$42,$BP$33:$BP$42,$BR$33:$BR$42,$BT$33:$BT$42,$BV$33:$BV$42,$BX$33:BX34)&lt;=$BG$33,$CI$19-0.5-$BG$41*$BU$31," "))</f>
        <v xml:space="preserve"> </v>
      </c>
      <c r="BX34" s="24">
        <f t="shared" ref="BX34" si="16">IF($BL34=" "," ",1)</f>
        <v>1</v>
      </c>
      <c r="BY34" s="75" t="str">
        <f>IF(BL34=" "," ",IF(SUM($BN$33:$BN$42,$BP$33:$BP$42,$BR$33:$BR$42,$BT$33:$BT$42,$BV$33:$BV$42,$BX$33:$BX$42,$BZ$33:BZ34)&lt;=$BG$33,$CI$19-0.5-$BG$41*$BW$31," "))</f>
        <v xml:space="preserve"> </v>
      </c>
      <c r="BZ34" s="24">
        <f t="shared" ref="BZ34" si="17">IF($BL34=" "," ",1)</f>
        <v>1</v>
      </c>
      <c r="CA34" s="75" t="str">
        <f>IF(BL34=" "," ",IF(SUM($BN$33:$BN$42,$BP$33:$BP$42,$BR$33:$BR$42,$BT$33:$BT$42,$BV$33:$BV$42,$BX$33:$BX$42,$BZ$33:$BZ$42,$CB$33:CB34)&lt;=$BG$33,$CI$19-0.5-$BG$41*$BY$31," "))</f>
        <v xml:space="preserve"> </v>
      </c>
      <c r="CB34" s="24">
        <f t="shared" ref="CB34" si="18">IF($BL34=" "," ",1)</f>
        <v>1</v>
      </c>
      <c r="CC34" s="75" t="str">
        <f>IF(BL34=" "," ",IF(SUM($BN$33:$BN$42,$BP$33:$BP$42,$BR$33:$BR$42,$BT$33:$BT$42,$BV$33:$BV$42,$BX$33:$BX$42,$BZ$33:$BZ$42,$CB$33:$CB$42,$CD$33:CD34)&lt;=$BG$33,$CI$19-0.5-$BG$41*$CA$31," "))</f>
        <v xml:space="preserve"> </v>
      </c>
      <c r="CD34" s="24">
        <f t="shared" ref="CD34" si="19">IF($BL34=" "," ",1)</f>
        <v>1</v>
      </c>
      <c r="CE34" s="70" t="str">
        <f>IF(BL34=" "," ",IF(SUM($BN$33:$BN$42,$BP$33:$BP$42,$BR$33:$BR$42,$BT$33:$BT$42,$BV$33:$BV$42,$BX$33:$BX$42,$BZ$33:$BZ$42,$CB$33:$CB$42,$CD$33:$CD$33:$CD$42,$CF$33:CF34)&lt;=$BG$33,$CI$19-0.5-$BG$41*$CC$31," "))</f>
        <v xml:space="preserve"> </v>
      </c>
      <c r="CF34" s="24">
        <f t="shared" ref="CF34" si="20">IF($BL34=" "," ",1)</f>
        <v>1</v>
      </c>
      <c r="CH34" s="70">
        <f>$CH$33</f>
        <v>30</v>
      </c>
      <c r="CI34" s="70">
        <f>$CI$33+8</f>
        <v>104.5</v>
      </c>
    </row>
    <row r="35" spans="2:88" ht="18" customHeight="1">
      <c r="B35" s="55"/>
      <c r="C35" s="9" t="str">
        <f>IF(F33="Design as Singly Reign.","P req.",IF(F33="Design as Doubly Reign.","Mu1"))</f>
        <v>Mu1</v>
      </c>
      <c r="D35" s="9"/>
      <c r="E35" s="9"/>
      <c r="F35" s="9"/>
      <c r="G35" s="9"/>
      <c r="H35" s="9">
        <f>IF(F33="Design as Singly Reign.",ROUND(0.85*(H7/H9)*(1-(1-(2*H34)/(0.85*H7))^0.5),4),IF(F33="Design as Doubly Reign.",ROUND((H13*H34*(H17*100)*(H22*100)^2)/100,2)))</f>
        <v>86529.919999999998</v>
      </c>
      <c r="I35" s="8" t="s">
        <v>19</v>
      </c>
      <c r="J35" s="9"/>
      <c r="K35" s="9"/>
      <c r="L35" s="9"/>
      <c r="M35" s="137"/>
      <c r="N35" s="9"/>
      <c r="O35" s="9"/>
      <c r="P35" s="9"/>
      <c r="Q35" s="9"/>
      <c r="R35" s="137"/>
      <c r="S35" s="9"/>
      <c r="T35" s="9"/>
      <c r="U35" s="9"/>
      <c r="V35" s="9"/>
      <c r="W35" s="9"/>
      <c r="X35" s="9"/>
      <c r="Y35" s="9"/>
      <c r="Z35" s="9"/>
      <c r="AA35" s="9"/>
      <c r="AB35" s="137"/>
      <c r="AC35" s="137"/>
      <c r="AD35" s="137"/>
      <c r="AE35" s="137"/>
      <c r="AF35" s="151" t="s">
        <v>159</v>
      </c>
      <c r="AG35" s="9"/>
      <c r="AH35" s="141">
        <f>$BL$7-($H$19*100+($U$19/10)+((($BL$20-1)*$AB$41+$BL$20*$Q$9/10)/2))</f>
        <v>74.900000000000006</v>
      </c>
      <c r="AI35" s="9" t="s">
        <v>53</v>
      </c>
      <c r="AJ35" s="9"/>
      <c r="AK35" s="9"/>
      <c r="AL35" s="9"/>
      <c r="AM35" s="9"/>
      <c r="AN35" s="9"/>
      <c r="AO35" s="53"/>
      <c r="AP35" s="9"/>
      <c r="AV35" s="9"/>
      <c r="AW35" s="9"/>
      <c r="AX35" s="9"/>
      <c r="AY35" s="9"/>
      <c r="AZ35" s="9"/>
      <c r="BA35" s="9"/>
      <c r="BB35" s="9"/>
      <c r="BC35" s="9"/>
      <c r="BE35" s="66"/>
      <c r="BF35" s="66"/>
      <c r="BG35" s="67"/>
      <c r="BH35" s="3"/>
      <c r="BI35" s="62"/>
      <c r="BJ35" s="70">
        <v>1</v>
      </c>
      <c r="BK35" s="70">
        <v>3</v>
      </c>
      <c r="BL35" s="75">
        <f>IF(OR(OR(SUM($BJ$33:BJ35)&gt;$BG$36,$BG$37&lt;2.5),SUM($BJ$33:BJ35)&gt;$BG$33)," ",$CH$10+$BP$7+$BG$37*BK34)</f>
        <v>45.75</v>
      </c>
      <c r="BM35" s="70">
        <f t="shared" ref="BM35" si="21">IF(BL35=" "," ",$CI$19-0.5)</f>
        <v>92</v>
      </c>
      <c r="BN35" s="70">
        <f t="shared" ref="BN35:BN42" si="22">IF(BL35=" "," ",1)</f>
        <v>1</v>
      </c>
      <c r="BO35" s="70">
        <f>IF($BL35=" "," ",IF(SUM($BN$33:$BN$42,$BP$33:BP35)&lt;=$BG$33,$CI$19-0.5-$BG$41," "))</f>
        <v>89</v>
      </c>
      <c r="BP35" s="70">
        <f t="shared" ref="BP35:BP42" si="23">IF(BL35=" "," ",1)</f>
        <v>1</v>
      </c>
      <c r="BQ35" s="70" t="str">
        <f>IF($BL35=" "," ",IF(SUM($BN$33:$BN$42,$BP$33:$BP$42,$BR$33:BR35)&lt;=$BG$33,$CI$19-0.5-$BG$41*$BO$31," "))</f>
        <v xml:space="preserve"> </v>
      </c>
      <c r="BR35" s="24">
        <f t="shared" ref="BR35:BR42" si="24">IF(BL35=" "," ",1)</f>
        <v>1</v>
      </c>
      <c r="BS35" s="70" t="str">
        <f>IF($BL35=" "," ",IF(SUM($BN$33:$BN$42,$BP$33:$BP$42,$BR$33:$BR$42,$BT$33:BT35)&lt;=$BG$33,$CI$19-0.5-$BG$41*BQ$31," "))</f>
        <v xml:space="preserve"> </v>
      </c>
      <c r="BT35" s="24">
        <f t="shared" ref="BT35:BT42" si="25">IF($BL35=" "," ",1)</f>
        <v>1</v>
      </c>
      <c r="BU35" s="70" t="str">
        <f>IF($BL35=" "," ",IF(SUM($BN$33:$BN$42,$BP$33:$BP$42,$BR$33:$BR$42,$BT$33:$BT$42,$BV$33:BV35)&lt;=$BG$33,$CI$19-0.5-$BG$41*$BS$31," "))</f>
        <v xml:space="preserve"> </v>
      </c>
      <c r="BV35" s="78">
        <f t="shared" ref="BV35:BV42" si="26">IF($BL35=" "," ",1)</f>
        <v>1</v>
      </c>
      <c r="BW35" s="75" t="str">
        <f>IF($BL35=" "," ",IF(SUM($BN$33:$BN$42,$BP$33:$BP$42,$BR$33:$BR$42,$BT$33:$BT$42,$BV$33:$BV$42,$BX$33:BX35)&lt;=$BG$33,$CI$19-0.5-$BG$41*$BU$31," "))</f>
        <v xml:space="preserve"> </v>
      </c>
      <c r="BX35" s="24">
        <f t="shared" ref="BX35:BX42" si="27">IF($BL35=" "," ",1)</f>
        <v>1</v>
      </c>
      <c r="BY35" s="75" t="str">
        <f>IF(BL35=" "," ",IF(SUM($BN$33:$BN$42,$BP$33:$BP$42,$BR$33:$BR$42,$BT$33:$BT$42,$BV$33:$BV$42,$BX$33:$BX$42,$BZ$33:BZ35)&lt;=$BG$33,$CI$19-0.5-$BG$41*$BW$31," "))</f>
        <v xml:space="preserve"> </v>
      </c>
      <c r="BZ35" s="24">
        <f t="shared" ref="BZ35:BZ42" si="28">IF($BL35=" "," ",1)</f>
        <v>1</v>
      </c>
      <c r="CA35" s="75" t="str">
        <f>IF(BL35=" "," ",IF(SUM($BN$33:$BN$42,$BP$33:$BP$42,$BR$33:$BR$42,$BT$33:$BT$42,$BV$33:$BV$42,$BX$33:$BX$42,$BZ$33:$BZ$42,$CB$33:CB35)&lt;=$BG$33,$CI$19-0.5-$BG$41*$BY$31," "))</f>
        <v xml:space="preserve"> </v>
      </c>
      <c r="CB35" s="24">
        <f t="shared" ref="CB35:CB43" si="29">IF($BL35=" "," ",1)</f>
        <v>1</v>
      </c>
      <c r="CC35" s="75" t="str">
        <f>IF(BL35=" "," ",IF(SUM($BN$33:$BN$42,$BP$33:$BP$42,$BR$33:$BR$42,$BT$33:$BT$42,$BV$33:$BV$42,$BX$33:$BX$42,$BZ$33:$BZ$42,$CB$33:$CB$42,$CD$33:CD35)&lt;=$BG$33,$CI$19-0.5-$BG$41*$CA$31," "))</f>
        <v xml:space="preserve"> </v>
      </c>
      <c r="CD35" s="24">
        <f t="shared" ref="CD35:CD43" si="30">IF($BL35=" "," ",1)</f>
        <v>1</v>
      </c>
      <c r="CE35" s="70" t="str">
        <f>IF(BL35=" "," ",IF(SUM($BN$33:$BN$42,$BP$33:$BP$42,$BR$33:$BR$42,$BT$33:$BT$42,$BV$33:$BV$42,$BX$33:$BX$42,$BZ$33:$BZ$42,$CB$33:$CB$42,$CD$33:$CD$33:$CD$42,$CF$33:CF35)&lt;=$BG$33,$CI$19-0.5-$BG$41*$CC$31," "))</f>
        <v xml:space="preserve"> </v>
      </c>
      <c r="CF35" s="24">
        <f t="shared" ref="CF35:CF42" si="31">IF($BL35=" "," ",1)</f>
        <v>1</v>
      </c>
      <c r="CH35" s="17"/>
      <c r="CI35" s="17"/>
    </row>
    <row r="36" spans="2:88" ht="18" customHeight="1">
      <c r="B36" s="55"/>
      <c r="C36" s="9" t="str">
        <f>IF(F33="Design as Singly Reign.","As",IF(F33="Design as Doubly Reign.","Mu2"))</f>
        <v>Mu2</v>
      </c>
      <c r="D36" s="9"/>
      <c r="E36" s="9"/>
      <c r="F36" s="9"/>
      <c r="G36" s="9"/>
      <c r="H36" s="9">
        <f>IF(F33="Design as Singly Reign.",ROUND(MAX(H35,D29)*H17*100*H22*100,3),IF(F33="Design as Doubly Reign.",H24-H35))</f>
        <v>13470.080000000002</v>
      </c>
      <c r="I36" s="8" t="str">
        <f>IF(F33="Design as Singly Reign.","cm²",IF(F33="Design as Doubly Reign.","kg-m."))</f>
        <v>kg-m.</v>
      </c>
      <c r="J36" s="153"/>
      <c r="K36" s="153"/>
      <c r="L36" s="153"/>
      <c r="M36" s="137"/>
      <c r="N36" s="9"/>
      <c r="O36" s="9"/>
      <c r="P36" s="9"/>
      <c r="Q36" s="9"/>
      <c r="R36" s="137"/>
      <c r="S36" s="9"/>
      <c r="T36" s="9"/>
      <c r="U36" s="9"/>
      <c r="V36" s="9"/>
      <c r="W36" s="9"/>
      <c r="X36" s="9"/>
      <c r="Y36" s="9"/>
      <c r="Z36" s="154" t="s">
        <v>105</v>
      </c>
      <c r="AA36" s="1" t="s">
        <v>101</v>
      </c>
      <c r="AB36" s="8"/>
      <c r="AC36" s="8"/>
      <c r="AD36" s="137"/>
      <c r="AE36" s="137"/>
      <c r="AF36" s="9"/>
      <c r="AG36" s="9"/>
      <c r="AH36" s="9"/>
      <c r="AI36" s="9"/>
      <c r="AJ36" s="9"/>
      <c r="AK36" s="9"/>
      <c r="AL36" s="9"/>
      <c r="AM36" s="9"/>
      <c r="AN36" s="9"/>
      <c r="AO36" s="53"/>
      <c r="AP36" s="9"/>
      <c r="AV36" s="9"/>
      <c r="AW36" s="9"/>
      <c r="AX36" s="9"/>
      <c r="AY36" s="9"/>
      <c r="AZ36" s="9"/>
      <c r="BA36" s="9"/>
      <c r="BB36" s="9"/>
      <c r="BC36" s="9"/>
      <c r="BE36" s="74" t="s">
        <v>113</v>
      </c>
      <c r="BG36" s="90">
        <f>$AB$24</f>
        <v>9</v>
      </c>
      <c r="BH36" s="1" t="s">
        <v>119</v>
      </c>
      <c r="BJ36" s="70">
        <v>1</v>
      </c>
      <c r="BK36" s="70">
        <v>4</v>
      </c>
      <c r="BL36" s="75">
        <f>IF(OR(OR(SUM($BJ$33:BJ36)&gt;$BG$36,$BG$37&lt;2.5),SUM($BJ$33:BJ36)&gt;$BG$33)," ",$CH$10+$BP$7+$BG$37*BK35)</f>
        <v>51.625</v>
      </c>
      <c r="BM36" s="70">
        <f t="shared" ref="BM36:BM42" si="32">IF(BL36=" "," ",$CI$19-0.5)</f>
        <v>92</v>
      </c>
      <c r="BN36" s="70">
        <f t="shared" si="22"/>
        <v>1</v>
      </c>
      <c r="BO36" s="70">
        <f>IF($BL36=" "," ",IF(SUM($BN$33:$BN$42,$BP$33:BP36)&lt;=$BG$33,$CI$19-0.5-$BG$41," "))</f>
        <v>89</v>
      </c>
      <c r="BP36" s="70">
        <f t="shared" si="23"/>
        <v>1</v>
      </c>
      <c r="BQ36" s="70" t="str">
        <f>IF($BL36=" "," ",IF(SUM($BN$33:$BN$42,$BP$33:$BP$42,$BR$33:BR36)&lt;=$BG$33,$CI$19-0.5-$BG$41*$BO$31," "))</f>
        <v xml:space="preserve"> </v>
      </c>
      <c r="BR36" s="24">
        <f t="shared" si="24"/>
        <v>1</v>
      </c>
      <c r="BS36" s="70" t="str">
        <f>IF($BL36=" "," ",IF(SUM($BN$33:$BN$42,$BP$33:$BP$42,$BR$33:$BR$42,$BT$33:BT36)&lt;=$BG$33,$CI$19-0.5-$BG$41*BQ$31," "))</f>
        <v xml:space="preserve"> </v>
      </c>
      <c r="BT36" s="24">
        <f t="shared" si="25"/>
        <v>1</v>
      </c>
      <c r="BU36" s="70" t="str">
        <f>IF($BL36=" "," ",IF(SUM($BN$33:$BN$42,$BP$33:$BP$42,$BR$33:$BR$42,$BT$33:$BT$42,$BV$33:BV36)&lt;=$BG$33,$CI$19-0.5-$BG$41*$BS$31," "))</f>
        <v xml:space="preserve"> </v>
      </c>
      <c r="BV36" s="78">
        <f t="shared" si="26"/>
        <v>1</v>
      </c>
      <c r="BW36" s="75" t="str">
        <f>IF($BL36=" "," ",IF(SUM($BN$33:$BN$42,$BP$33:$BP$42,$BR$33:$BR$42,$BT$33:$BT$42,$BV$33:$BV$42,$BX$33:BX36)&lt;=$BG$33,$CI$19-0.5-$BG$41*$BU$31," "))</f>
        <v xml:space="preserve"> </v>
      </c>
      <c r="BX36" s="24">
        <f t="shared" si="27"/>
        <v>1</v>
      </c>
      <c r="BY36" s="75" t="str">
        <f>IF(BL36=" "," ",IF(SUM($BN$33:$BN$42,$BP$33:$BP$42,$BR$33:$BR$42,$BT$33:$BT$42,$BV$33:$BV$42,$BX$33:$BX$42,$BZ$33:BZ36)&lt;=$BG$33,$CI$19-0.5-$BG$41*$BW$31," "))</f>
        <v xml:space="preserve"> </v>
      </c>
      <c r="BZ36" s="24">
        <f t="shared" si="28"/>
        <v>1</v>
      </c>
      <c r="CA36" s="75" t="str">
        <f>IF(BL36=" "," ",IF(SUM($BN$33:$BN$42,$BP$33:$BP$42,$BR$33:$BR$42,$BT$33:$BT$42,$BV$33:$BV$42,$BX$33:$BX$42,$BZ$33:$BZ$42,$CB$33:CB36)&lt;=$BG$33,$CI$19-0.5-$BG$41*$BY$31," "))</f>
        <v xml:space="preserve"> </v>
      </c>
      <c r="CB36" s="24">
        <f t="shared" si="29"/>
        <v>1</v>
      </c>
      <c r="CC36" s="75" t="str">
        <f>IF(BL36=" "," ",IF(SUM($BN$33:$BN$42,$BP$33:$BP$42,$BR$33:$BR$42,$BT$33:$BT$42,$BV$33:$BV$42,$BX$33:$BX$42,$BZ$33:$BZ$42,$CB$33:$CB$42,$CD$33:CD36)&lt;=$BG$33,$CI$19-0.5-$BG$41*$CA$31," "))</f>
        <v xml:space="preserve"> </v>
      </c>
      <c r="CD36" s="24">
        <f t="shared" si="30"/>
        <v>1</v>
      </c>
      <c r="CE36" s="70" t="str">
        <f>IF(BL36=" "," ",IF(SUM($BN$33:$BN$42,$BP$33:$BP$42,$BR$33:$BR$42,$BT$33:$BT$42,$BV$33:$BV$42,$BX$33:$BX$42,$BZ$33:$BZ$42,$CB$33:$CB$42,$CD$33:$CD$33:$CD$42,$CF$33:CF36)&lt;=$BG$33,$CI$19-0.5-$BG$41*$CC$31," "))</f>
        <v xml:space="preserve"> </v>
      </c>
      <c r="CF36" s="24">
        <f t="shared" si="31"/>
        <v>1</v>
      </c>
      <c r="CH36" s="17"/>
      <c r="CI36" s="17"/>
    </row>
    <row r="37" spans="2:88" ht="18" customHeight="1">
      <c r="B37" s="55"/>
      <c r="C37" s="1" t="str">
        <f>IF(F33="Design as Singly Reign.","As","As1")</f>
        <v>As1</v>
      </c>
      <c r="H37" s="1">
        <f>H30*H17*100*H22*100</f>
        <v>49.931998766447371</v>
      </c>
      <c r="I37" s="3" t="s">
        <v>68</v>
      </c>
      <c r="J37" s="9"/>
      <c r="K37" s="9"/>
      <c r="L37" s="9"/>
      <c r="M37" s="8"/>
      <c r="N37" s="9"/>
      <c r="O37" s="9"/>
      <c r="P37" s="9"/>
      <c r="Q37" s="9"/>
      <c r="R37" s="8"/>
      <c r="S37" s="9"/>
      <c r="T37" s="9"/>
      <c r="U37" s="9"/>
      <c r="V37" s="9"/>
      <c r="W37" s="9"/>
      <c r="X37" s="9"/>
      <c r="Y37" s="9"/>
      <c r="Z37" s="156" t="s">
        <v>87</v>
      </c>
      <c r="AA37" s="11" t="s">
        <v>139</v>
      </c>
      <c r="AB37" s="8">
        <f>$Q$10</f>
        <v>42</v>
      </c>
      <c r="AC37" s="8" t="s">
        <v>119</v>
      </c>
      <c r="AD37" s="1" t="s">
        <v>196</v>
      </c>
      <c r="AE37" s="21">
        <f>CF20</f>
        <v>42</v>
      </c>
      <c r="AF37" s="1" t="s">
        <v>97</v>
      </c>
      <c r="AG37" s="33" t="str">
        <f>IF(AB37=AE37,"ok","no")</f>
        <v>ok</v>
      </c>
      <c r="AI37" s="9"/>
      <c r="AJ37" s="9"/>
      <c r="AK37" s="9"/>
      <c r="AL37" s="9"/>
      <c r="AM37" s="9"/>
      <c r="AN37" s="9"/>
      <c r="AO37" s="53"/>
      <c r="AP37" s="9"/>
      <c r="AV37" s="9"/>
      <c r="AW37" s="9"/>
      <c r="AX37" s="9"/>
      <c r="AY37" s="9"/>
      <c r="AZ37" s="9"/>
      <c r="BA37" s="9"/>
      <c r="BB37" s="9"/>
      <c r="BC37" s="9"/>
      <c r="BE37" s="74" t="s">
        <v>109</v>
      </c>
      <c r="BG37" s="1">
        <f>IF(BG32/(BG36-1)&lt;2.5,0,BG32/(BG36-1))</f>
        <v>5.8750000000000009</v>
      </c>
      <c r="BH37" s="1" t="s">
        <v>53</v>
      </c>
      <c r="BJ37" s="70">
        <v>1</v>
      </c>
      <c r="BK37" s="70">
        <v>5</v>
      </c>
      <c r="BL37" s="75">
        <f>IF(OR(OR(SUM($BJ$33:BJ37)&gt;$BG$36,$BG$37&lt;2.5),SUM($BJ$33:BJ37)&gt;$BG$33)," ",$CH$10+$BP$7+$BG$37*BK36)</f>
        <v>57.5</v>
      </c>
      <c r="BM37" s="70">
        <f t="shared" si="32"/>
        <v>92</v>
      </c>
      <c r="BN37" s="70">
        <f t="shared" si="22"/>
        <v>1</v>
      </c>
      <c r="BO37" s="70">
        <f>IF($BL37=" "," ",IF(SUM($BN$33:$BN$42,$BP$33:BP37)&lt;=$BG$33,$CI$19-0.5-$BG$41," "))</f>
        <v>89</v>
      </c>
      <c r="BP37" s="70">
        <f t="shared" si="23"/>
        <v>1</v>
      </c>
      <c r="BQ37" s="70" t="str">
        <f>IF($BL37=" "," ",IF(SUM($BN$33:$BN$42,$BP$33:$BP$42,$BR$33:BR37)&lt;=$BG$33,$CI$19-0.5-$BG$41*$BO$31," "))</f>
        <v xml:space="preserve"> </v>
      </c>
      <c r="BR37" s="24">
        <f t="shared" si="24"/>
        <v>1</v>
      </c>
      <c r="BS37" s="70" t="str">
        <f>IF($BL37=" "," ",IF(SUM($BN$33:$BN$42,$BP$33:$BP$42,$BR$33:$BR$42,$BT$33:BT37)&lt;=$BG$33,$CI$19-0.5-$BG$41*BQ$31," "))</f>
        <v xml:space="preserve"> </v>
      </c>
      <c r="BT37" s="24">
        <f t="shared" si="25"/>
        <v>1</v>
      </c>
      <c r="BU37" s="70" t="str">
        <f>IF($BL37=" "," ",IF(SUM($BN$33:$BN$42,$BP$33:$BP$42,$BR$33:$BR$42,$BT$33:$BT$42,$BV$33:BV37)&lt;=$BG$33,$CI$19-0.5-$BG$41*$BS$31," "))</f>
        <v xml:space="preserve"> </v>
      </c>
      <c r="BV37" s="78">
        <f t="shared" si="26"/>
        <v>1</v>
      </c>
      <c r="BW37" s="75" t="str">
        <f>IF($BL37=" "," ",IF(SUM($BN$33:$BN$42,$BP$33:$BP$42,$BR$33:$BR$42,$BT$33:$BT$42,$BV$33:$BV$42,$BX$33:BX37)&lt;=$BG$33,$CI$19-0.5-$BG$41*$BU$31," "))</f>
        <v xml:space="preserve"> </v>
      </c>
      <c r="BX37" s="24">
        <f t="shared" si="27"/>
        <v>1</v>
      </c>
      <c r="BY37" s="75" t="str">
        <f>IF(BL37=" "," ",IF(SUM($BN$33:$BN$42,$BP$33:$BP$42,$BR$33:$BR$42,$BT$33:$BT$42,$BV$33:$BV$42,$BX$33:$BX$42,$BZ$33:BZ37)&lt;=$BG$33,$CI$19-0.5-$BG$41*$BW$31," "))</f>
        <v xml:space="preserve"> </v>
      </c>
      <c r="BZ37" s="24">
        <f t="shared" si="28"/>
        <v>1</v>
      </c>
      <c r="CA37" s="75" t="str">
        <f>IF(BL37=" "," ",IF(SUM($BN$33:$BN$42,$BP$33:$BP$42,$BR$33:$BR$42,$BT$33:$BT$42,$BV$33:$BV$42,$BX$33:$BX$42,$BZ$33:$BZ$42,$CB$33:CB37)&lt;=$BG$33,$CI$19-0.5-$BG$41*$BY$31," "))</f>
        <v xml:space="preserve"> </v>
      </c>
      <c r="CB37" s="24">
        <f t="shared" si="29"/>
        <v>1</v>
      </c>
      <c r="CC37" s="75" t="str">
        <f>IF($BL37=" "," ",IF(SUM($BN$33:$BN$42,$BP$33:$BP$42,$BR$33:$BR$42,$BT$33:$BT$42,$BV$33:$BV$42,$BX$33:$BX$42,$BZ$33:$BZ$42,$CB$33:$CB$42,$CD$33:CD37)&lt;=$BG$33,$CI$19-0.5-$BG$41*$CA$31," "))</f>
        <v xml:space="preserve"> </v>
      </c>
      <c r="CD37" s="24">
        <f t="shared" si="30"/>
        <v>1</v>
      </c>
      <c r="CE37" s="70" t="str">
        <f>IF(BL37=" "," ",IF(SUM($BN$33:$BN$42,$BP$33:$BP$42,$BR$33:$BR$42,$BT$33:$BT$42,$BV$33:$BV$42,$BX$33:$BX$42,$BZ$33:$BZ$42,$CB$33:$CB$42,$CD$33:$CD$33:$CD$42,$CF$33:CF37)&lt;=$BG$33,$CI$19-0.5-$BG$41*$CC$31," "))</f>
        <v xml:space="preserve"> </v>
      </c>
      <c r="CF37" s="24">
        <f t="shared" si="31"/>
        <v>1</v>
      </c>
      <c r="CH37" s="17">
        <f>$CH$32</f>
        <v>85</v>
      </c>
      <c r="CI37" s="17">
        <f>$CI$33</f>
        <v>96.5</v>
      </c>
    </row>
    <row r="38" spans="2:88" ht="18" customHeight="1">
      <c r="B38" s="55"/>
      <c r="C38" s="1" t="str">
        <f>IF(F33="Design as Singly Reign."," ","As2")</f>
        <v>As2</v>
      </c>
      <c r="H38" s="1">
        <f>H36*100/(H13*H9*(H22*100-H21*100))</f>
        <v>8.3426731078905014</v>
      </c>
      <c r="I38" s="3" t="s">
        <v>68</v>
      </c>
      <c r="J38" s="9"/>
      <c r="K38" s="9"/>
      <c r="L38" s="9"/>
      <c r="M38" s="8"/>
      <c r="N38" s="9"/>
      <c r="O38" s="9"/>
      <c r="P38" s="9"/>
      <c r="Q38" s="9"/>
      <c r="R38" s="8"/>
      <c r="S38" s="9"/>
      <c r="T38" s="9"/>
      <c r="U38" s="9"/>
      <c r="V38" s="9"/>
      <c r="W38" s="9"/>
      <c r="X38" s="9"/>
      <c r="Y38" s="9"/>
      <c r="Z38" s="9" t="s">
        <v>131</v>
      </c>
      <c r="AA38" s="9" t="s">
        <v>101</v>
      </c>
      <c r="AB38" s="131">
        <v>9</v>
      </c>
      <c r="AC38" s="8" t="s">
        <v>119</v>
      </c>
      <c r="AG38" s="9"/>
      <c r="AN38" s="9"/>
      <c r="AO38" s="53"/>
      <c r="AP38" s="9"/>
      <c r="AV38" s="9"/>
      <c r="AW38" s="9"/>
      <c r="AX38" s="9"/>
      <c r="AY38" s="9"/>
      <c r="AZ38" s="9"/>
      <c r="BA38" s="9"/>
      <c r="BB38" s="9"/>
      <c r="BC38" s="9"/>
      <c r="BE38" s="1" t="s">
        <v>120</v>
      </c>
      <c r="BG38" s="9"/>
      <c r="BJ38" s="70">
        <v>1</v>
      </c>
      <c r="BK38" s="70">
        <v>6</v>
      </c>
      <c r="BL38" s="75">
        <f>IF(OR(OR(SUM($BJ$33:BJ38)&gt;$BG$36,$BG$37&lt;2.5),SUM($BJ$33:BJ38)&gt;$BG$33)," ",$CH$10+$BP$7+$BG$37*BK37)</f>
        <v>63.375</v>
      </c>
      <c r="BM38" s="70">
        <f t="shared" si="32"/>
        <v>92</v>
      </c>
      <c r="BN38" s="70">
        <f t="shared" si="22"/>
        <v>1</v>
      </c>
      <c r="BO38" s="70">
        <f>IF($BL38=" "," ",IF(SUM($BN$33:$BN$42,$BP$33:BP38)&lt;=$BG$33,$CI$19-0.5-$BG$41," "))</f>
        <v>89</v>
      </c>
      <c r="BP38" s="70">
        <f t="shared" si="23"/>
        <v>1</v>
      </c>
      <c r="BQ38" s="70" t="str">
        <f>IF($BL38=" "," ",IF(SUM($BN$33:$BN$42,$BP$33:$BP$42,$BR$33:BR38)&lt;=$BG$33,$CI$19-0.5-$BG$41*$BO$31," "))</f>
        <v xml:space="preserve"> </v>
      </c>
      <c r="BR38" s="24">
        <f t="shared" si="24"/>
        <v>1</v>
      </c>
      <c r="BS38" s="70" t="str">
        <f>IF($BL38=" "," ",IF(SUM($BN$33:$BN$42,$BP$33:$BP$42,$BR$33:$BR$42,$BT$33:BT38)&lt;=$BG$33,$CI$19-0.5-$BG$41*$BQ$31," "))</f>
        <v xml:space="preserve"> </v>
      </c>
      <c r="BT38" s="24">
        <f t="shared" si="25"/>
        <v>1</v>
      </c>
      <c r="BU38" s="70" t="str">
        <f>IF($BL38=" "," ",IF(SUM($BN$33:$BN$42,$BP$33:$BP$42,$BR$33:$BR$42,$BT$33:$BT$42,$BV$33:BV38)&lt;=$BG$33,$CI$19-0.5-$BG$41*$BS$31," "))</f>
        <v xml:space="preserve"> </v>
      </c>
      <c r="BV38" s="78">
        <f t="shared" si="26"/>
        <v>1</v>
      </c>
      <c r="BW38" s="75" t="str">
        <f>IF($BL38=" "," ",IF(SUM($BN$33:$BN$42,$BP$33:$BP$42,$BR$33:$BR$42,$BT$33:$BT$42,$BV$33:$BV$42,$BX$33:BX38)&lt;=$BG$33,$CI$19-0.5-$BG$41*$BU$31," "))</f>
        <v xml:space="preserve"> </v>
      </c>
      <c r="BX38" s="24">
        <f t="shared" si="27"/>
        <v>1</v>
      </c>
      <c r="BY38" s="75" t="str">
        <f>IF(BL38=" "," ",IF(SUM($BN$33:$BN$42,$BP$33:$BP$42,$BR$33:$BR$42,$BT$33:$BT$42,$BV$33:$BV$42,$BX$33:$BX$42,$BZ$33:BZ38)&lt;=$BG$33,$CI$19-0.5-$BG$41*$BW$31," "))</f>
        <v xml:space="preserve"> </v>
      </c>
      <c r="BZ38" s="24">
        <f t="shared" si="28"/>
        <v>1</v>
      </c>
      <c r="CA38" s="75" t="str">
        <f>IF(BL38=" "," ",IF(SUM($BN$33:$BN$42,$BP$33:$BP$42,$BR$33:$BR$42,$BT$33:$BT$42,$BV$33:$BV$42,$BX$33:$BX$42,$BZ$33:$BZ$42,$CB$33:CB38)&lt;=$BG$33,$CI$19-0.5-$BG$41*$BY$31," "))</f>
        <v xml:space="preserve"> </v>
      </c>
      <c r="CB38" s="24">
        <f t="shared" si="29"/>
        <v>1</v>
      </c>
      <c r="CC38" s="75" t="str">
        <f>IF($BL38=" "," ",IF(SUM($BN$33:$BN$42,$BP$33:$BP$42,$BR$33:$BR$42,$BT$33:$BT$42,$BV$33:$BV$42,$BX$33:$BX$42,$BZ$33:$BZ$42,$CB$33:$CB$42,$CD$33:CD38)&lt;=$BG$33,$CI$19-0.5-$BG$41*$CA$31," "))</f>
        <v xml:space="preserve"> </v>
      </c>
      <c r="CD38" s="24">
        <f t="shared" si="30"/>
        <v>1</v>
      </c>
      <c r="CE38" s="70" t="str">
        <f>IF(BL38=" "," ",IF(SUM($BN$33:$BN$42,$BP$33:$BP$42,$BR$33:$BR$42,$BT$33:$BT$42,$BV$33:$BV$42,$BX$33:$BX$42,$BZ$33:$BZ$42,$CB$33:$CB$42,$CD$33:$CD$33:$CD$42,$CF$33:CF38)&lt;=$BG$33,$CI$19-0.5-$BG$41*$CC$31," "))</f>
        <v xml:space="preserve"> </v>
      </c>
      <c r="CF38" s="24">
        <f t="shared" si="31"/>
        <v>1</v>
      </c>
      <c r="CH38" s="17">
        <f>$CH$37</f>
        <v>85</v>
      </c>
      <c r="CI38" s="17">
        <f>$CI$34</f>
        <v>104.5</v>
      </c>
    </row>
    <row r="39" spans="2:88" ht="18" customHeight="1">
      <c r="B39" s="55"/>
      <c r="J39" s="9"/>
      <c r="K39" s="9"/>
      <c r="L39" s="9"/>
      <c r="M39" s="8"/>
      <c r="N39" s="9"/>
      <c r="O39" s="9"/>
      <c r="P39" s="9"/>
      <c r="Q39" s="9"/>
      <c r="R39" s="8"/>
      <c r="S39" s="9"/>
      <c r="T39" s="9"/>
      <c r="U39" s="9"/>
      <c r="V39" s="9"/>
      <c r="W39" s="9"/>
      <c r="X39" s="9"/>
      <c r="Y39" s="9"/>
      <c r="Z39" s="9" t="s">
        <v>130</v>
      </c>
      <c r="AA39" s="9"/>
      <c r="AB39" s="8">
        <f>$BG$13</f>
        <v>5.8750000000000009</v>
      </c>
      <c r="AC39" s="8" t="s">
        <v>53</v>
      </c>
      <c r="AD39" s="154" t="str">
        <f>IF(AB39&gt;=2.5,"ok","no")</f>
        <v>ok</v>
      </c>
      <c r="AG39" s="9"/>
      <c r="AN39" s="9"/>
      <c r="AO39" s="53"/>
      <c r="AP39" s="9"/>
      <c r="AX39" s="9"/>
      <c r="AY39" s="9"/>
      <c r="AZ39" s="9"/>
      <c r="BA39" s="9"/>
      <c r="BB39" s="9"/>
      <c r="BC39" s="9"/>
      <c r="BE39" s="1" t="s">
        <v>123</v>
      </c>
      <c r="BG39" s="1">
        <f>$BL$7-$BP$6*2</f>
        <v>85</v>
      </c>
      <c r="BH39" s="1" t="s">
        <v>53</v>
      </c>
      <c r="BJ39" s="70">
        <v>1</v>
      </c>
      <c r="BK39" s="70">
        <v>7</v>
      </c>
      <c r="BL39" s="75">
        <f>IF(OR(OR(SUM($BJ$33:BJ39)&gt;$BG$36,$BG$37&lt;2.5),SUM($BJ$33:BJ39)&gt;$BG$33)," ",$CH$10+$BP$7+$BG$37*BK38)</f>
        <v>69.25</v>
      </c>
      <c r="BM39" s="70">
        <f t="shared" si="32"/>
        <v>92</v>
      </c>
      <c r="BN39" s="70">
        <f t="shared" si="22"/>
        <v>1</v>
      </c>
      <c r="BO39" s="70">
        <f>IF($BL39=" "," ",IF(SUM($BN$33:$BN$42,$BP$33:BP39)&lt;=$BG$33,$CI$19-0.5-$BG$41," "))</f>
        <v>89</v>
      </c>
      <c r="BP39" s="70">
        <f t="shared" si="23"/>
        <v>1</v>
      </c>
      <c r="BQ39" s="70" t="str">
        <f>IF($BL39=" "," ",IF(SUM($BN$33:$BN$42,$BP$33:$BP$42,$BR$33:BR39)&lt;=$BG$33,$CI$19-0.5-$BG$41*$BO$31," "))</f>
        <v xml:space="preserve"> </v>
      </c>
      <c r="BR39" s="24">
        <f t="shared" si="24"/>
        <v>1</v>
      </c>
      <c r="BS39" s="70" t="str">
        <f>IF($BL39=" "," ",IF(SUM($BN$33:$BN$42,$BP$33:$BP$42,$BR$33:$BR$42,$BT$33:BT39)&lt;=$BG$33,$CI$19-0.5-$BG$41*BQ$31," "))</f>
        <v xml:space="preserve"> </v>
      </c>
      <c r="BT39" s="24">
        <f t="shared" si="25"/>
        <v>1</v>
      </c>
      <c r="BU39" s="70" t="str">
        <f>IF($BL39=" "," ",IF(SUM($BN$33:$BN$42,$BP$33:$BP$42,$BR$33:$BR$42,$BT$33:$BT$42,$BV$33:BV39)&lt;=$BG$33,$CI$19-0.5-$BG$41*$BS$31," "))</f>
        <v xml:space="preserve"> </v>
      </c>
      <c r="BV39" s="78">
        <f t="shared" si="26"/>
        <v>1</v>
      </c>
      <c r="BW39" s="75" t="str">
        <f>IF($BL39=" "," ",IF(SUM($BN$33:$BN$42,$BP$33:$BP$42,$BR$33:$BR$42,$BT$33:$BT$42,$BV$33:$BV$42,$BX$33:BX39)&lt;=$BG$33,$CI$19-0.5-$BG$41*$BU$31," "))</f>
        <v xml:space="preserve"> </v>
      </c>
      <c r="BX39" s="24">
        <f t="shared" si="27"/>
        <v>1</v>
      </c>
      <c r="BY39" s="75" t="str">
        <f>IF(BL39=" "," ",IF(SUM($BN$33:$BN$42,$BP$33:$BP$42,$BR$33:$BR$42,$BT$33:$BT$42,$BV$33:$BV$42,$BX$33:$BX$42,$BZ$33:BZ39)&lt;=$BG$33,$CI$19-0.5-$BG$41*$BW$31," "))</f>
        <v xml:space="preserve"> </v>
      </c>
      <c r="BZ39" s="24">
        <f t="shared" si="28"/>
        <v>1</v>
      </c>
      <c r="CA39" s="75" t="str">
        <f>IF(BL39=" "," ",IF(SUM($BN$33:$BN$42,$BP$33:$BP$42,$BR$33:$BR$42,$BT$33:$BT$42,$BV$33:$BV$42,$BX$33:$BX$42,$BZ$33:$BZ$42,$CB$33:CB39)&lt;=$BG$33,$CI$19-0.5-$BG$41*$BY$31," "))</f>
        <v xml:space="preserve"> </v>
      </c>
      <c r="CB39" s="24">
        <f t="shared" si="29"/>
        <v>1</v>
      </c>
      <c r="CC39" s="75" t="str">
        <f>IF($BL39=" "," ",IF(SUM($BN$33:$BN$42,$BP$33:$BP$42,$BR$33:$BR$42,$BT$33:$BT$42,$BV$33:$BV$42,$BX$33:$BX$42,$BZ$33:$BZ$42,$CB$33:$CB$42,$CD$33:CD39)&lt;=$BG$33,$CI$19-0.5-$BG$41*$CA$31," "))</f>
        <v xml:space="preserve"> </v>
      </c>
      <c r="CD39" s="24">
        <f t="shared" si="30"/>
        <v>1</v>
      </c>
      <c r="CE39" s="70" t="str">
        <f>IF(BL39=" "," ",IF(SUM($BN$33:$BN$42,$BP$33:$BP$42,$BR$33:$BR$42,$BT$33:$BT$42,$BV$33:$BV$42,$BX$33:$BX$42,$BZ$33:$BZ$42,$CB$33:$CB$42,$CD$33:$CD$33:$CD$42,$CF$33:CF39)&lt;=$BG$33,$CI$19-0.5-$BG$41*$CC$31," "))</f>
        <v xml:space="preserve"> </v>
      </c>
      <c r="CF39" s="24">
        <f t="shared" si="31"/>
        <v>1</v>
      </c>
    </row>
    <row r="40" spans="2:88" ht="18" customHeight="1">
      <c r="B40" s="55"/>
      <c r="J40" s="9"/>
      <c r="K40" s="9"/>
      <c r="L40" s="9"/>
      <c r="M40" s="8"/>
      <c r="N40" s="9"/>
      <c r="O40" s="9"/>
      <c r="P40" s="9"/>
      <c r="Q40" s="9"/>
      <c r="R40" s="8"/>
      <c r="S40" s="9"/>
      <c r="T40" s="9"/>
      <c r="U40" s="9"/>
      <c r="V40" s="9"/>
      <c r="W40" s="9"/>
      <c r="X40" s="9"/>
      <c r="Y40" s="9"/>
      <c r="Z40" s="155" t="s">
        <v>88</v>
      </c>
      <c r="AA40" s="9"/>
      <c r="AB40" s="8"/>
      <c r="AC40" s="8"/>
      <c r="AD40" s="8"/>
      <c r="AE40" s="8"/>
      <c r="AF40" s="9"/>
      <c r="AG40" s="9"/>
      <c r="AN40" s="9"/>
      <c r="AO40" s="53"/>
      <c r="AP40" s="9"/>
      <c r="AV40" s="9"/>
      <c r="AW40" s="9"/>
      <c r="AX40" s="9"/>
      <c r="AY40" s="9"/>
      <c r="AZ40" s="9"/>
      <c r="BA40" s="9"/>
      <c r="BB40" s="9"/>
      <c r="BC40" s="9"/>
      <c r="BJ40" s="70">
        <v>1</v>
      </c>
      <c r="BK40" s="70">
        <v>8</v>
      </c>
      <c r="BL40" s="75">
        <f>IF(OR(OR(SUM($BJ$33:BJ40)&gt;$BG$36,$BG$37&lt;2.5),SUM($BJ$33:BJ40)&gt;$BG$33)," ",$CH$10+$BP$7+$BG$37*BK39)</f>
        <v>75.125</v>
      </c>
      <c r="BM40" s="70">
        <f t="shared" si="32"/>
        <v>92</v>
      </c>
      <c r="BN40" s="70">
        <f t="shared" si="22"/>
        <v>1</v>
      </c>
      <c r="BO40" s="70">
        <f>IF($BL40=" "," ",IF(SUM($BN$33:$BN$42,$BP$33:BP40)&lt;=$BG$33,$CI$19-0.5-$BG$41," "))</f>
        <v>89</v>
      </c>
      <c r="BP40" s="70">
        <f t="shared" si="23"/>
        <v>1</v>
      </c>
      <c r="BQ40" s="70" t="str">
        <f>IF($BL40=" "," ",IF(SUM($BN$33:$BN$42,$BP$33:$BP$42,$BR$33:BR40)&lt;=$BG$33,$CI$19-0.5-$BG$41*$BO$31," "))</f>
        <v xml:space="preserve"> </v>
      </c>
      <c r="BR40" s="24">
        <f t="shared" si="24"/>
        <v>1</v>
      </c>
      <c r="BS40" s="70" t="str">
        <f>IF($BL40=" "," ",IF(SUM($BN$33:$BN$42,$BP$33:$BP$42,$BR$33:$BR$42,$BT$33:BT40)&lt;=$BG$33,$CI$19-0.5-$BG$41*BQ$31," "))</f>
        <v xml:space="preserve"> </v>
      </c>
      <c r="BT40" s="24">
        <f t="shared" si="25"/>
        <v>1</v>
      </c>
      <c r="BU40" s="70" t="str">
        <f>IF($BL40=" "," ",IF(SUM($BN$33:$BN$42,$BP$33:$BP$42,$BR$33:$BR$42,$BT$33:$BT$42,$BV$33:BV40)&lt;=$BG$33,$CI$19-0.5-$BG$41*$BS$31," "))</f>
        <v xml:space="preserve"> </v>
      </c>
      <c r="BV40" s="78">
        <f t="shared" si="26"/>
        <v>1</v>
      </c>
      <c r="BW40" s="75" t="str">
        <f>IF($BL40=" "," ",IF(SUM($BN$33:$BN$42,$BP$33:$BP$42,$BR$33:$BR$42,$BT$33:$BT$42,$BV$33:$BV$42,$BX$33:BX40)&lt;=$BG$33,$CI$19-0.5-$BG$41*$BU$31," "))</f>
        <v xml:space="preserve"> </v>
      </c>
      <c r="BX40" s="24">
        <f t="shared" si="27"/>
        <v>1</v>
      </c>
      <c r="BY40" s="75" t="str">
        <f>IF(BL40=" "," ",IF(SUM($BN$33:$BN$42,$BP$33:$BP$42,$BR$33:$BR$42,$BT$33:$BT$42,$BV$33:$BV$42,$BX$33:$BX$42,$BZ$33:BZ40)&lt;=$BG$33,$CI$19-0.5-$BG$41*$BW$31," "))</f>
        <v xml:space="preserve"> </v>
      </c>
      <c r="BZ40" s="24">
        <f t="shared" si="28"/>
        <v>1</v>
      </c>
      <c r="CA40" s="75" t="str">
        <f>IF(BL40=" "," ",IF(SUM($BN$33:$BN$42,$BP$33:$BP$42,$BR$33:$BR$42,$BT$33:$BT$42,$BV$33:$BV$42,$BX$33:$BX$42,$BZ$33:$BZ$42,$CB$33:CB40)&lt;=$BG$33,$CI$19-0.5-$BG$41*$BY$31," "))</f>
        <v xml:space="preserve"> </v>
      </c>
      <c r="CB40" s="24">
        <f t="shared" si="29"/>
        <v>1</v>
      </c>
      <c r="CC40" s="75" t="str">
        <f>IF($BL40=" "," ",IF(SUM($BN$33:$BN$42,$BP$33:$BP$42,$BR$33:$BR$42,$BT$33:$BT$42,$BV$33:$BV$42,$BX$33:$BX$42,$BZ$33:$BZ$42,$CB$33:$CB$42,$CD$33:CD40)&lt;=$BG$33,$CI$19-0.5-$BG$41*$CA$31," "))</f>
        <v xml:space="preserve"> </v>
      </c>
      <c r="CD40" s="24">
        <f t="shared" si="30"/>
        <v>1</v>
      </c>
      <c r="CE40" s="70" t="str">
        <f>IF(BL40=" "," ",IF(SUM($BN$33:$BN$42,$BP$33:$BP$42,$BR$33:$BR$42,$BT$33:$BT$42,$BV$33:$BV$42,$BX$33:$BX$42,$BZ$33:$BZ$42,$CB$33:$CB$42,$CD$33:$CD$33:$CD$42,$CF$33:CF40)&lt;=$BG$33,$CI$19-0.5-$BG$41*$CC$31," "))</f>
        <v xml:space="preserve"> </v>
      </c>
      <c r="CF40" s="24">
        <f t="shared" si="31"/>
        <v>1</v>
      </c>
    </row>
    <row r="41" spans="2:88" ht="18" customHeight="1">
      <c r="B41" s="55"/>
      <c r="J41" s="9"/>
      <c r="K41" s="9"/>
      <c r="L41" s="9"/>
      <c r="M41" s="8"/>
      <c r="N41" s="9"/>
      <c r="O41" s="9"/>
      <c r="P41" s="9"/>
      <c r="Q41" s="9"/>
      <c r="R41" s="8"/>
      <c r="S41" s="9"/>
      <c r="T41" s="9"/>
      <c r="U41" s="9"/>
      <c r="V41" s="9"/>
      <c r="W41" s="9"/>
      <c r="X41" s="9"/>
      <c r="Y41" s="9"/>
      <c r="Z41" s="9" t="s">
        <v>130</v>
      </c>
      <c r="AA41" s="9"/>
      <c r="AB41" s="131">
        <v>4</v>
      </c>
      <c r="AC41" s="8" t="s">
        <v>53</v>
      </c>
      <c r="AG41" s="152"/>
      <c r="AN41" s="9"/>
      <c r="AO41" s="53"/>
      <c r="AP41" s="9"/>
      <c r="AV41" s="135"/>
      <c r="AW41" s="134"/>
      <c r="AX41" s="9"/>
      <c r="AY41" s="9"/>
      <c r="AZ41" s="9"/>
      <c r="BA41" s="9"/>
      <c r="BB41" s="9"/>
      <c r="BC41" s="9"/>
      <c r="BE41" s="74" t="s">
        <v>109</v>
      </c>
      <c r="BG41" s="89">
        <f>AB27</f>
        <v>3</v>
      </c>
      <c r="BH41" s="1" t="s">
        <v>53</v>
      </c>
      <c r="BJ41" s="70">
        <v>1</v>
      </c>
      <c r="BK41" s="70">
        <v>9</v>
      </c>
      <c r="BL41" s="75">
        <f>IF(OR(OR(SUM($BJ$33:BJ41)&gt;$BG$36,$BG$37&lt;2.5),SUM($BJ$33:BJ41)&gt;$BG$33)," ",$CH$10+$BP$7+$BG$37*BK40)</f>
        <v>81</v>
      </c>
      <c r="BM41" s="70">
        <f t="shared" si="32"/>
        <v>92</v>
      </c>
      <c r="BN41" s="70">
        <f t="shared" si="22"/>
        <v>1</v>
      </c>
      <c r="BO41" s="70" t="str">
        <f>IF($BL41=" "," ",IF(SUM($BN$33:$BN$42,$BP$33:BP41)&lt;=$BG$33,$CI$19-0.5-$BG$41," "))</f>
        <v xml:space="preserve"> </v>
      </c>
      <c r="BP41" s="70">
        <f t="shared" si="23"/>
        <v>1</v>
      </c>
      <c r="BQ41" s="70" t="str">
        <f>IF($BL41=" "," ",IF(SUM($BN$33:$BN$42,$BP$33:$BP$42,$BR$33:BR41)&lt;=$BG$33,$CI$19-0.5-$BG$41*$BO$31," "))</f>
        <v xml:space="preserve"> </v>
      </c>
      <c r="BR41" s="24">
        <f t="shared" si="24"/>
        <v>1</v>
      </c>
      <c r="BS41" s="70" t="str">
        <f>IF($BL41=" "," ",IF(SUM($BN$33:$BN$42,$BP$33:$BP$42,$BR$33:$BR$42,$BT$33:BT41)&lt;=$BG$33,$CI$19-0.5-$BG$41*BQ$31," "))</f>
        <v xml:space="preserve"> </v>
      </c>
      <c r="BT41" s="24">
        <f t="shared" si="25"/>
        <v>1</v>
      </c>
      <c r="BU41" s="70" t="str">
        <f>IF($BL41=" "," ",IF(SUM($BN$33:$BN$42,$BP$33:$BP$42,$BR$33:$BR$42,$BT$33:$BT$42,$BV$33:BV41)&lt;=$BG$33,$CI$19-0.5-$BG$41*$BS$31," "))</f>
        <v xml:space="preserve"> </v>
      </c>
      <c r="BV41" s="78">
        <f t="shared" si="26"/>
        <v>1</v>
      </c>
      <c r="BW41" s="75" t="str">
        <f>IF($BL41=" "," ",IF(SUM($BN$33:$BN$42,$BP$33:$BP$42,$BR$33:$BR$42,$BT$33:$BT$42,$BV$33:$BV$42,$BX$33:BX41)&lt;=$BG$33,$CI$19-0.5-$BG$41*$BU$31," "))</f>
        <v xml:space="preserve"> </v>
      </c>
      <c r="BX41" s="24">
        <f t="shared" si="27"/>
        <v>1</v>
      </c>
      <c r="BY41" s="75" t="str">
        <f>IF(BL41=" "," ",IF(SUM($BN$33:$BN$42,$BP$33:$BP$42,$BR$33:$BR$42,$BT$33:$BT$42,$BV$33:$BV$42,$BX$33:$BX$42,$BZ$33:BZ41)&lt;=$BG$33,$CI$19-0.5-$BG$41*$BW$31," "))</f>
        <v xml:space="preserve"> </v>
      </c>
      <c r="BZ41" s="24">
        <f t="shared" si="28"/>
        <v>1</v>
      </c>
      <c r="CA41" s="75" t="str">
        <f>IF(BL41=" "," ",IF(SUM($BN$33:$BN$42,$BP$33:$BP$42,$BR$33:$BR$42,$BT$33:$BT$42,$BV$33:$BV$42,$BX$33:$BX$42,$BZ$33:$BZ$42,$CB$33:CB41)&lt;=$BG$33,$CI$19-0.5-$BG$41*$BY$31," "))</f>
        <v xml:space="preserve"> </v>
      </c>
      <c r="CB41" s="24">
        <f t="shared" si="29"/>
        <v>1</v>
      </c>
      <c r="CC41" s="75" t="str">
        <f>IF($BL41=" "," ",IF(SUM($BN$33:$BN$42,$BP$33:$BP$42,$BR$33:$BR$42,$BT$33:$BT$42,$BV$33:$BV$42,$BX$33:$BX$42,$BZ$33:$BZ$42,$CB$33:$CB$42,$CD$33:CD41)&lt;=$BG$33,$CI$19-0.5-$BG$41*$CA$31," "))</f>
        <v xml:space="preserve"> </v>
      </c>
      <c r="CD41" s="24">
        <f t="shared" si="30"/>
        <v>1</v>
      </c>
      <c r="CE41" s="70" t="str">
        <f>IF(BL41=" "," ",IF(SUM($BN$33:$BN$42,$BP$33:$BP$42,$BR$33:$BR$42,$BT$33:$BT$42,$BV$33:$BV$42,$BX$33:$BX$42,$BZ$33:$BZ$42,$CB$33:$CB$42,$CD$33:$CD$33:$CD$42,$CF$33:CF41)&lt;=$BG$33,$CI$19-0.5-$BG$41*$CC$31," "))</f>
        <v xml:space="preserve"> </v>
      </c>
      <c r="CF41" s="24">
        <f t="shared" si="31"/>
        <v>1</v>
      </c>
      <c r="CH41" s="24" t="s">
        <v>87</v>
      </c>
      <c r="CI41" s="24" t="s">
        <v>88</v>
      </c>
    </row>
    <row r="42" spans="2:88" ht="18" customHeight="1">
      <c r="B42" s="55"/>
      <c r="C42" s="44" t="s">
        <v>28</v>
      </c>
      <c r="D42" s="42"/>
      <c r="E42" s="42"/>
      <c r="F42" s="42"/>
      <c r="G42" s="9"/>
      <c r="H42" s="9"/>
      <c r="I42" s="8"/>
      <c r="J42" s="9"/>
      <c r="K42" s="9"/>
      <c r="L42" s="9"/>
      <c r="M42" s="8"/>
      <c r="N42" s="9"/>
      <c r="O42" s="9"/>
      <c r="P42" s="9"/>
      <c r="Q42" s="9"/>
      <c r="R42" s="8"/>
      <c r="S42" s="9"/>
      <c r="T42" s="9"/>
      <c r="U42" s="9"/>
      <c r="V42" s="9"/>
      <c r="W42" s="9"/>
      <c r="X42" s="9"/>
      <c r="Y42" s="9"/>
      <c r="AB42" s="196"/>
      <c r="AD42" s="8"/>
      <c r="AE42" s="8"/>
      <c r="AF42" s="9"/>
      <c r="AG42" s="9"/>
      <c r="AN42" s="9"/>
      <c r="AO42" s="53"/>
      <c r="AP42" s="9"/>
      <c r="AV42" s="9"/>
      <c r="AW42" s="9"/>
      <c r="AX42" s="9"/>
      <c r="AY42" s="9"/>
      <c r="AZ42" s="9"/>
      <c r="BA42" s="9"/>
      <c r="BB42" s="9"/>
      <c r="BC42" s="9"/>
      <c r="BJ42" s="70">
        <v>1</v>
      </c>
      <c r="BK42" s="82">
        <v>10</v>
      </c>
      <c r="BL42" s="75" t="str">
        <f>IF(OR(OR(SUM($BJ$33:BJ42)&gt;$BG$36,$BG$37&lt;2.5),SUM($BJ$33:BJ42)&gt;$BG$33)," ",$CH$10+$BP$7+$BG$37*BK41)</f>
        <v xml:space="preserve"> </v>
      </c>
      <c r="BM42" s="82" t="str">
        <f t="shared" si="32"/>
        <v xml:space="preserve"> </v>
      </c>
      <c r="BN42" s="82" t="str">
        <f t="shared" si="22"/>
        <v xml:space="preserve"> </v>
      </c>
      <c r="BO42" s="70" t="str">
        <f>IF($BL42=" "," ",IF(SUM($BN$33:$BN$42,$BP$33:BP42)&lt;=$BG$33,$CI$19-0.5-$BG$41," "))</f>
        <v xml:space="preserve"> </v>
      </c>
      <c r="BP42" s="82" t="str">
        <f t="shared" si="23"/>
        <v xml:space="preserve"> </v>
      </c>
      <c r="BQ42" s="70" t="str">
        <f>IF($BL42=" "," ",IF(SUM($BN$33:$BN$42,$BP$33:$BP$42,$BR$33:BR42)&lt;=$BG$33,$CI$19-0.5-$BG$41*$BO$31," "))</f>
        <v xml:space="preserve"> </v>
      </c>
      <c r="BR42" s="18" t="str">
        <f t="shared" si="24"/>
        <v xml:space="preserve"> </v>
      </c>
      <c r="BS42" s="70" t="str">
        <f>IF($BL42=" "," ",IF(SUM($BN$33:$BN$42,$BP$33:$BP$42,$BR$33:$BR$42,$BT$33:BT42)&lt;=$BG$33,$CI$19-0.5-$BG$41*BQ$31," "))</f>
        <v xml:space="preserve"> </v>
      </c>
      <c r="BT42" s="24" t="str">
        <f t="shared" si="25"/>
        <v xml:space="preserve"> </v>
      </c>
      <c r="BU42" s="70" t="str">
        <f>IF($BL42=" "," ",IF(SUM($BN$33:$BN$42,$BP$33:$BP$42,$BR$33:$BR$42,$BT$33:$BT$42,$BV$33:BV42)&lt;=$BG$33,$CI$19-0.5-$BG$41*$BS$31," "))</f>
        <v xml:space="preserve"> </v>
      </c>
      <c r="BV42" s="78" t="str">
        <f t="shared" si="26"/>
        <v xml:space="preserve"> </v>
      </c>
      <c r="BW42" s="75" t="str">
        <f>IF($BL42=" "," ",IF(SUM($BN$33:$BN$42,$BP$33:$BP$42,$BR$33:$BR$42,$BT$33:$BT$42,$BV$33:$BV$42,$BX$33:BX42)&lt;=$BG$33,$CI$19-0.5-$BG$41*$BU$31," "))</f>
        <v xml:space="preserve"> </v>
      </c>
      <c r="BX42" s="24" t="str">
        <f t="shared" si="27"/>
        <v xml:space="preserve"> </v>
      </c>
      <c r="BY42" s="75" t="str">
        <f>IF(BL42=" "," ",IF(SUM($BN$33:$BN$42,$BP$33:$BP$42,$BR$33:$BR$42,$BT$33:$BT$42,$BV$33:$BV$42,$BX$33:$BX$42,$BZ$33:BZ42)&lt;=$BG$33,$CI$19-0.5-$BG$41*$BW$31," "))</f>
        <v xml:space="preserve"> </v>
      </c>
      <c r="BZ42" s="24" t="str">
        <f t="shared" si="28"/>
        <v xml:space="preserve"> </v>
      </c>
      <c r="CA42" s="75" t="str">
        <f>IF(BL42=" "," ",IF(SUM($BN$33:$BN$42,$BP$33:$BP$42,$BR$33:$BR$42,$BT$33:$BT$42,$BV$33:$BV$42,$BX$33:$BX$42,$BZ$33:$BZ$42,$CB$33:CB42)&lt;=$BG$33,$CI$19-0.5-$BG$41*$BY$31," "))</f>
        <v xml:space="preserve"> </v>
      </c>
      <c r="CB42" s="24" t="str">
        <f t="shared" si="29"/>
        <v xml:space="preserve"> </v>
      </c>
      <c r="CC42" s="75" t="str">
        <f>IF($BL42=" "," ",IF(SUM($BN$33:$BN$42,$BP$33:$BP$42,$BR$33:$BR$42,$BT$33:$BT$42,$BV$33:$BV$42,$BX$33:$BX$42,$BZ$33:$BZ$42,$CB$33:$CB$42,$CD$33:CD42)&lt;=$BG$33,$CI$19-0.5-$BG$41*$CA$31," "))</f>
        <v xml:space="preserve"> </v>
      </c>
      <c r="CD42" s="24" t="str">
        <f t="shared" si="30"/>
        <v xml:space="preserve"> </v>
      </c>
      <c r="CE42" s="70" t="str">
        <f>IF(BL42=" "," ",IF(SUM($BN$33:$BN$42,$BP$33:$BP$42,$BR$33:$BR$42,$BT$33:$BT$42,$BV$33:$BV$42,$BX$33:$BX$42,$BZ$33:$BZ$42,$CB$33:$CB$42,$CD$33:$CD$33:$CD$42,$CF$33:CF42)&lt;=$BG$33,$CI$19-0.5-$BG$41*$CC$31," "))</f>
        <v xml:space="preserve"> </v>
      </c>
      <c r="CF42" s="24" t="str">
        <f t="shared" si="31"/>
        <v xml:space="preserve"> </v>
      </c>
      <c r="CH42" s="24">
        <v>0</v>
      </c>
      <c r="CI42" s="24">
        <v>0</v>
      </c>
      <c r="CJ42" s="1" t="s">
        <v>10</v>
      </c>
    </row>
    <row r="43" spans="2:88" ht="18" customHeight="1">
      <c r="B43" s="55"/>
      <c r="C43" s="9" t="s">
        <v>36</v>
      </c>
      <c r="D43" s="9"/>
      <c r="E43" s="9"/>
      <c r="F43" s="9"/>
      <c r="G43" s="9"/>
      <c r="H43" s="9"/>
      <c r="I43" s="8"/>
      <c r="J43" s="9"/>
      <c r="K43" s="9"/>
      <c r="L43" s="9"/>
      <c r="M43" s="8"/>
      <c r="N43" s="9"/>
      <c r="O43" s="9"/>
      <c r="P43" s="9"/>
      <c r="Q43" s="9"/>
      <c r="R43" s="8"/>
      <c r="S43" s="9"/>
      <c r="T43" s="9"/>
      <c r="U43" s="9"/>
      <c r="V43" s="9"/>
      <c r="W43" s="9"/>
      <c r="X43" s="9"/>
      <c r="Y43" s="9"/>
      <c r="Z43" s="169" t="s">
        <v>179</v>
      </c>
      <c r="AA43" s="170"/>
      <c r="AB43" s="170"/>
      <c r="AC43" s="170"/>
      <c r="AD43" s="170"/>
      <c r="AE43" s="171"/>
      <c r="AF43" s="9"/>
      <c r="AG43" s="9"/>
      <c r="AN43" s="9"/>
      <c r="AO43" s="53"/>
      <c r="AP43" s="9"/>
      <c r="AV43" s="9"/>
      <c r="AW43" s="9"/>
      <c r="AX43" s="9"/>
      <c r="AY43" s="9"/>
      <c r="AZ43" s="9"/>
      <c r="BA43" s="9"/>
      <c r="BB43" s="9"/>
      <c r="BC43" s="9"/>
      <c r="BJ43" s="1" t="s">
        <v>158</v>
      </c>
      <c r="BK43" s="7" t="s">
        <v>138</v>
      </c>
      <c r="BL43" s="145">
        <f>SUBTOTAL(2,$BM$33,$BO$33,$BQ$33,$BS$33,$BU$33,$BW$33,$BY$33,$CA$33,$CC$33,$CE$33)</f>
        <v>2</v>
      </c>
      <c r="BM43" s="7"/>
      <c r="BN43" s="7"/>
      <c r="BO43" s="7"/>
      <c r="BP43" s="7"/>
      <c r="BQ43" s="7"/>
      <c r="BR43" s="6"/>
      <c r="BS43" s="7"/>
      <c r="BT43" s="6"/>
      <c r="BU43" s="7"/>
      <c r="BV43" s="6"/>
      <c r="BW43" s="7"/>
      <c r="BX43" s="6"/>
      <c r="BY43" s="7"/>
      <c r="BZ43" s="6"/>
      <c r="CA43" s="7"/>
      <c r="CB43" s="6">
        <f t="shared" si="29"/>
        <v>1</v>
      </c>
      <c r="CC43" s="7"/>
      <c r="CD43" s="6">
        <f t="shared" si="30"/>
        <v>1</v>
      </c>
      <c r="CE43" s="7" t="s">
        <v>125</v>
      </c>
      <c r="CF43" s="146">
        <f>SUBTOTAL(2,BM33:BM42,BO33:BO42,BQ33:BQ42,BS33:BS42,BU33:BU42,BW33:BW42,BY33:BY42,CA33:CA42,CC33:CC42,CE33:CE42)</f>
        <v>17</v>
      </c>
      <c r="CG43" s="1" t="s">
        <v>97</v>
      </c>
      <c r="CH43" s="24">
        <f>CH42</f>
        <v>0</v>
      </c>
      <c r="CI43" s="24">
        <f>H18*100</f>
        <v>90</v>
      </c>
      <c r="CJ43" s="1" t="s">
        <v>10</v>
      </c>
    </row>
    <row r="44" spans="2:88" ht="18" customHeight="1">
      <c r="B44" s="55"/>
      <c r="C44" s="9" t="s">
        <v>37</v>
      </c>
      <c r="D44" s="9"/>
      <c r="E44" s="9"/>
      <c r="F44" s="9"/>
      <c r="G44" s="9"/>
      <c r="H44" s="9">
        <f>(H17*100)^2*H18*100</f>
        <v>272250.00000000012</v>
      </c>
      <c r="I44" s="8" t="s">
        <v>41</v>
      </c>
      <c r="J44" s="9"/>
      <c r="K44" s="9"/>
      <c r="L44" s="9"/>
      <c r="M44" s="8"/>
      <c r="N44" s="9"/>
      <c r="O44" s="9"/>
      <c r="P44" s="9"/>
      <c r="Q44" s="9"/>
      <c r="R44" s="8"/>
      <c r="S44" s="9"/>
      <c r="T44" s="9"/>
      <c r="U44" s="9"/>
      <c r="V44" s="9"/>
      <c r="W44" s="9"/>
      <c r="X44" s="9"/>
      <c r="Y44" s="9"/>
      <c r="Z44" s="82" t="s">
        <v>149</v>
      </c>
      <c r="AA44" s="9"/>
      <c r="AB44" s="162">
        <v>2040000</v>
      </c>
      <c r="AC44" s="138" t="s">
        <v>24</v>
      </c>
      <c r="AD44" s="9"/>
      <c r="AE44" s="10"/>
      <c r="AF44" s="9"/>
      <c r="AG44" s="9"/>
      <c r="AN44" s="9"/>
      <c r="AO44" s="53"/>
      <c r="AP44" s="9"/>
      <c r="AV44" s="9"/>
      <c r="AW44" s="9"/>
      <c r="AX44" s="9"/>
      <c r="AY44" s="9"/>
      <c r="AZ44" s="9"/>
      <c r="BA44" s="9"/>
      <c r="BB44" s="9"/>
      <c r="BC44" s="9"/>
      <c r="BR44" s="1"/>
      <c r="BT44" s="1"/>
      <c r="BV44" s="1"/>
      <c r="BX44" s="1"/>
      <c r="CH44" s="24">
        <f>CH43</f>
        <v>0</v>
      </c>
      <c r="CI44" s="24">
        <f>CI43</f>
        <v>90</v>
      </c>
      <c r="CJ44" s="1" t="s">
        <v>202</v>
      </c>
    </row>
    <row r="45" spans="2:88" ht="18" customHeight="1">
      <c r="B45" s="55"/>
      <c r="C45" s="9" t="s">
        <v>39</v>
      </c>
      <c r="D45" s="9" t="s">
        <v>38</v>
      </c>
      <c r="E45" s="9"/>
      <c r="F45" s="9"/>
      <c r="G45" s="9"/>
      <c r="H45" s="9">
        <f>(H17*100*H22*100)/H44</f>
        <v>1.5131313131313127E-2</v>
      </c>
      <c r="I45" s="8" t="s">
        <v>40</v>
      </c>
      <c r="J45" s="9"/>
      <c r="K45" s="9"/>
      <c r="L45" s="9"/>
      <c r="M45" s="46"/>
      <c r="N45" s="9"/>
      <c r="O45" s="9"/>
      <c r="P45" s="9"/>
      <c r="Q45" s="9"/>
      <c r="R45" s="8"/>
      <c r="S45" s="9"/>
      <c r="T45" s="9"/>
      <c r="U45" s="9"/>
      <c r="V45" s="9"/>
      <c r="W45" s="9"/>
      <c r="X45" s="9"/>
      <c r="Y45" s="9"/>
      <c r="Z45" s="16" t="s">
        <v>197</v>
      </c>
      <c r="AA45" s="9"/>
      <c r="AB45" s="162">
        <v>3.0000000000000001E-3</v>
      </c>
      <c r="AC45" s="9"/>
      <c r="AD45" s="9"/>
      <c r="AE45" s="10"/>
      <c r="AF45" s="9"/>
      <c r="AG45" s="9"/>
      <c r="AN45" s="9"/>
      <c r="AO45" s="53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R45" s="1"/>
      <c r="BT45" s="1"/>
      <c r="BV45" s="1"/>
      <c r="BX45" s="1"/>
      <c r="CH45" s="193">
        <f>ROUND(AB51,4)</f>
        <v>1.6999999999999999E-3</v>
      </c>
      <c r="CI45" s="24">
        <f>CI44</f>
        <v>90</v>
      </c>
      <c r="CJ45" s="1" t="s">
        <v>202</v>
      </c>
    </row>
    <row r="46" spans="2:88" ht="18" customHeight="1">
      <c r="B46" s="55"/>
      <c r="C46" s="9" t="s">
        <v>35</v>
      </c>
      <c r="D46" s="9"/>
      <c r="E46" s="9"/>
      <c r="F46" s="9"/>
      <c r="G46" s="9"/>
      <c r="H46" s="9">
        <f>0.13*H15*H7^0.5*H44/100</f>
        <v>3684.4765431617811</v>
      </c>
      <c r="I46" s="8" t="s">
        <v>19</v>
      </c>
      <c r="J46" s="9"/>
      <c r="K46" s="9"/>
      <c r="L46" s="9"/>
      <c r="M46" s="8"/>
      <c r="N46" s="9"/>
      <c r="O46" s="9"/>
      <c r="P46" s="9"/>
      <c r="Q46" s="9"/>
      <c r="R46" s="8"/>
      <c r="S46" s="9"/>
      <c r="T46" s="9"/>
      <c r="U46" s="9"/>
      <c r="V46" s="9"/>
      <c r="W46" s="9"/>
      <c r="X46" s="9"/>
      <c r="Y46" s="9"/>
      <c r="Z46" s="16"/>
      <c r="AA46" s="168" t="s">
        <v>157</v>
      </c>
      <c r="AB46" s="168"/>
      <c r="AC46" s="168"/>
      <c r="AD46" s="9"/>
      <c r="AE46" s="10"/>
      <c r="AF46" s="9"/>
      <c r="AG46" s="9"/>
      <c r="AN46" s="9"/>
      <c r="AO46" s="53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K46" s="9"/>
      <c r="BL46" s="9"/>
      <c r="BM46" s="9"/>
      <c r="BN46" s="9"/>
      <c r="BO46" s="9"/>
      <c r="BP46" s="9"/>
      <c r="BQ46" s="9"/>
      <c r="BR46" s="8"/>
      <c r="BS46" s="9"/>
      <c r="BT46" s="8"/>
      <c r="BU46" s="9"/>
      <c r="BV46" s="8"/>
      <c r="BW46" s="9"/>
      <c r="BX46" s="8"/>
      <c r="BY46" s="9"/>
      <c r="BZ46" s="8"/>
      <c r="CA46" s="9"/>
      <c r="CB46" s="8"/>
      <c r="CC46" s="9"/>
      <c r="CD46" s="8"/>
      <c r="CE46" s="9"/>
      <c r="CF46" s="8"/>
      <c r="CH46" s="24">
        <f>CH45</f>
        <v>1.6999999999999999E-3</v>
      </c>
      <c r="CI46" s="24">
        <f>CI45</f>
        <v>90</v>
      </c>
      <c r="CJ46" s="1" t="s">
        <v>87</v>
      </c>
    </row>
    <row r="47" spans="2:88" ht="18" customHeight="1">
      <c r="B47" s="55"/>
      <c r="C47" s="9" t="s">
        <v>20</v>
      </c>
      <c r="D47" s="39" t="str">
        <f>IF(H26&gt;H46,"Tu &gt;Tu min","Tu &lt; Tu min")</f>
        <v>Tu &gt;Tu min</v>
      </c>
      <c r="E47" s="9"/>
      <c r="F47" s="9"/>
      <c r="G47" s="61" t="str">
        <f>IF(D47="Tu &gt;Tu min","Torsion Reign. Needed","Torsion Reign. Needless")</f>
        <v>Torsion Reign. Needed</v>
      </c>
      <c r="H47" s="9"/>
      <c r="I47" s="8"/>
      <c r="J47" s="9"/>
      <c r="K47" s="9"/>
      <c r="L47" s="9"/>
      <c r="M47" s="8"/>
      <c r="N47" s="9"/>
      <c r="O47" s="9"/>
      <c r="P47" s="9"/>
      <c r="Q47" s="9"/>
      <c r="R47" s="8"/>
      <c r="S47" s="9"/>
      <c r="T47" s="9"/>
      <c r="U47" s="9"/>
      <c r="V47" s="9"/>
      <c r="W47" s="9"/>
      <c r="X47" s="9"/>
      <c r="Y47" s="9"/>
      <c r="Z47" s="16"/>
      <c r="AA47" s="9" t="s">
        <v>147</v>
      </c>
      <c r="AB47" s="9"/>
      <c r="AC47" s="9"/>
      <c r="AD47" s="9"/>
      <c r="AE47" s="10"/>
      <c r="AF47" s="9"/>
      <c r="AN47" s="9"/>
      <c r="AO47" s="53"/>
      <c r="AP47" s="9"/>
      <c r="AQ47" s="9"/>
      <c r="AR47" s="9"/>
      <c r="AS47" s="9"/>
      <c r="AT47" s="9"/>
      <c r="AU47" s="9"/>
      <c r="AV47" s="9"/>
      <c r="AW47" s="9"/>
      <c r="AX47" s="9"/>
      <c r="BA47" s="9"/>
      <c r="BB47" s="9"/>
      <c r="BC47" s="9"/>
      <c r="BK47" s="9"/>
      <c r="BL47" s="9"/>
      <c r="BM47" s="9"/>
      <c r="BN47" s="9"/>
      <c r="BO47" s="9"/>
      <c r="BP47" s="9"/>
      <c r="BQ47" s="9"/>
      <c r="BR47" s="8"/>
      <c r="BS47" s="9"/>
      <c r="BT47" s="8"/>
      <c r="BU47" s="9"/>
      <c r="BV47" s="8"/>
      <c r="BW47" s="9"/>
      <c r="BX47" s="8"/>
      <c r="BY47" s="9"/>
      <c r="BZ47" s="8"/>
      <c r="CA47" s="9"/>
      <c r="CB47" s="8"/>
      <c r="CC47" s="9"/>
      <c r="CD47" s="8"/>
      <c r="CE47" s="9"/>
      <c r="CF47" s="8"/>
      <c r="CH47" s="24">
        <f>-ROUND(AB50,3)</f>
        <v>-1E-3</v>
      </c>
      <c r="CI47" s="191">
        <f>H21*100</f>
        <v>15.1</v>
      </c>
      <c r="CJ47" s="1" t="s">
        <v>87</v>
      </c>
    </row>
    <row r="48" spans="2:88" ht="18" customHeight="1">
      <c r="B48" s="55"/>
      <c r="C48" s="9" t="s">
        <v>42</v>
      </c>
      <c r="D48" s="40" t="s">
        <v>43</v>
      </c>
      <c r="E48" s="9"/>
      <c r="F48" s="9"/>
      <c r="G48" s="9"/>
      <c r="H48" s="9">
        <f>IF(D47="Tu &lt; Tu min"," ",((1.05*H15*H7^0.5*H44)/(1+((0.4*H25)/(H45*H26*100))^2)^0.5)/100)</f>
        <v>29594.244587178455</v>
      </c>
      <c r="I48" s="8" t="s">
        <v>19</v>
      </c>
      <c r="J48" s="9"/>
      <c r="K48" s="9"/>
      <c r="L48" s="161"/>
      <c r="M48" s="8"/>
      <c r="N48" s="9"/>
      <c r="O48" s="9"/>
      <c r="P48" s="9"/>
      <c r="Q48" s="9"/>
      <c r="R48" s="8"/>
      <c r="S48" s="9"/>
      <c r="T48" s="9"/>
      <c r="U48" s="9"/>
      <c r="V48" s="9"/>
      <c r="W48" s="9"/>
      <c r="X48" s="9"/>
      <c r="Y48" s="9"/>
      <c r="Z48" s="16" t="s">
        <v>156</v>
      </c>
      <c r="AA48" s="9"/>
      <c r="AB48" s="9">
        <f>(Q11*H9/((0.85*H7*H17*100)))/H13</f>
        <v>40.14260249554367</v>
      </c>
      <c r="AC48" s="9" t="s">
        <v>53</v>
      </c>
      <c r="AD48" s="9"/>
      <c r="AE48" s="10"/>
      <c r="AF48" s="9"/>
      <c r="AG48" s="9"/>
      <c r="AN48" s="9"/>
      <c r="AO48" s="53"/>
      <c r="AP48" s="9"/>
      <c r="AQ48" s="9"/>
      <c r="AR48" s="9"/>
      <c r="AS48" s="9"/>
      <c r="AT48" s="9"/>
      <c r="AU48" s="9"/>
      <c r="AV48" s="9"/>
      <c r="AW48" s="9"/>
      <c r="AX48" s="9"/>
      <c r="BA48" s="9"/>
      <c r="BB48" s="9"/>
      <c r="BC48" s="9"/>
      <c r="BK48" s="9"/>
      <c r="BL48" s="9"/>
      <c r="BM48" s="9"/>
      <c r="BN48" s="9"/>
      <c r="BO48" s="9"/>
      <c r="BP48" s="9"/>
      <c r="BQ48" s="9"/>
      <c r="BR48" s="8"/>
      <c r="BS48" s="9"/>
      <c r="BT48" s="8"/>
      <c r="BU48" s="9"/>
      <c r="BV48" s="8"/>
      <c r="BW48" s="9"/>
      <c r="BX48" s="8"/>
      <c r="BY48" s="9"/>
      <c r="BZ48" s="8"/>
      <c r="CA48" s="9"/>
      <c r="CB48" s="8"/>
      <c r="CC48" s="9"/>
      <c r="CD48" s="8"/>
      <c r="CE48" s="9"/>
      <c r="CF48" s="8"/>
      <c r="CH48" s="24">
        <f>-CH51-0.02</f>
        <v>-1.9E-2</v>
      </c>
      <c r="CI48" s="191">
        <f>H21*100+AB49-U19/10</f>
        <v>49.257397504456335</v>
      </c>
      <c r="CJ48" s="1" t="s">
        <v>198</v>
      </c>
    </row>
    <row r="49" spans="2:88" ht="18" customHeight="1">
      <c r="B49" s="55"/>
      <c r="C49" s="47" t="s">
        <v>20</v>
      </c>
      <c r="D49" s="39" t="str">
        <f>IF(D47="Tu &lt; Tu min"," ",IF(H48&gt;H26,"Tu max &gt;Tu","Tu max &lt;Tu"))</f>
        <v>Tu max &gt;Tu</v>
      </c>
      <c r="E49" s="9"/>
      <c r="F49" s="9"/>
      <c r="G49" s="39" t="str">
        <f>IF(D47="Tu &lt; Tu min"," ",IF(D49="Tu max &gt;Tu","ok","Change as Beam size"))</f>
        <v>ok</v>
      </c>
      <c r="H49" s="9"/>
      <c r="I49" s="8"/>
      <c r="J49" s="9"/>
      <c r="K49" s="9"/>
      <c r="L49" s="9"/>
      <c r="M49" s="8"/>
      <c r="N49" s="9"/>
      <c r="O49" s="9"/>
      <c r="P49" s="9"/>
      <c r="Q49" s="9"/>
      <c r="R49" s="8"/>
      <c r="S49" s="9"/>
      <c r="T49" s="9"/>
      <c r="U49" s="9"/>
      <c r="V49" s="9"/>
      <c r="W49" s="9"/>
      <c r="X49" s="9"/>
      <c r="Y49" s="9"/>
      <c r="Z49" s="16" t="s">
        <v>148</v>
      </c>
      <c r="AA49" s="9"/>
      <c r="AB49" s="98">
        <f>H22*100-AB48</f>
        <v>34.757397504456335</v>
      </c>
      <c r="AC49" s="9" t="s">
        <v>53</v>
      </c>
      <c r="AD49" s="98"/>
      <c r="AE49" s="139"/>
      <c r="AF49" s="9"/>
      <c r="AG49" s="9"/>
      <c r="AN49" s="9"/>
      <c r="AO49" s="53"/>
      <c r="AP49" s="9"/>
      <c r="AQ49" s="9"/>
      <c r="AR49" s="9"/>
      <c r="AS49" s="9"/>
      <c r="AT49" s="9"/>
      <c r="AU49" s="9"/>
      <c r="AV49" s="9"/>
      <c r="AW49" s="9"/>
      <c r="AX49" s="9"/>
      <c r="BA49" s="9"/>
      <c r="BB49" s="9"/>
      <c r="BC49" s="9"/>
      <c r="BK49" s="9"/>
      <c r="BL49" s="9"/>
      <c r="BM49" s="9"/>
      <c r="BN49" s="9"/>
      <c r="BO49" s="9"/>
      <c r="BP49" s="9"/>
      <c r="BQ49" s="9"/>
      <c r="BR49" s="8"/>
      <c r="BS49" s="9"/>
      <c r="BT49" s="8"/>
      <c r="BU49" s="9"/>
      <c r="BV49" s="8"/>
      <c r="BW49" s="9"/>
      <c r="BX49" s="8"/>
      <c r="BY49" s="9"/>
      <c r="BZ49" s="8"/>
      <c r="CA49" s="9"/>
      <c r="CB49" s="8"/>
      <c r="CC49" s="9"/>
      <c r="CD49" s="8"/>
      <c r="CE49" s="9"/>
      <c r="CF49" s="8"/>
      <c r="CH49" s="24">
        <f>-CH48</f>
        <v>1.9E-2</v>
      </c>
      <c r="CI49" s="191">
        <f>CI48</f>
        <v>49.257397504456335</v>
      </c>
      <c r="CJ49" s="1" t="s">
        <v>198</v>
      </c>
    </row>
    <row r="50" spans="2:88" ht="18" customHeight="1">
      <c r="B50" s="55"/>
      <c r="C50" s="9" t="s">
        <v>44</v>
      </c>
      <c r="D50" s="9"/>
      <c r="E50" s="9"/>
      <c r="F50" s="9"/>
      <c r="G50" s="9"/>
      <c r="H50" s="9">
        <f>IF(D47="Tu &lt; Tu min"," ",((0.21*H15*H7^0.5*H44)/(1+((0.4*H25)/(H45*H26*100))^2)^0.5)/100)</f>
        <v>5918.848917435691</v>
      </c>
      <c r="I50" s="8" t="s">
        <v>19</v>
      </c>
      <c r="J50" s="9"/>
      <c r="K50" s="9"/>
      <c r="L50" s="9"/>
      <c r="M50" s="8"/>
      <c r="N50" s="9"/>
      <c r="O50" s="9"/>
      <c r="P50" s="9"/>
      <c r="Q50" s="9"/>
      <c r="R50" s="8"/>
      <c r="S50" s="9"/>
      <c r="T50" s="9"/>
      <c r="U50" s="9"/>
      <c r="V50" s="9"/>
      <c r="W50" s="9"/>
      <c r="X50" s="9"/>
      <c r="Y50" s="9"/>
      <c r="Z50" s="16" t="s">
        <v>155</v>
      </c>
      <c r="AA50" s="9"/>
      <c r="AB50" s="9">
        <f>H9/AB44</f>
        <v>1.4705882352941176E-3</v>
      </c>
      <c r="AC50" s="9"/>
      <c r="AD50" s="9"/>
      <c r="AE50" s="10"/>
      <c r="AF50" s="9"/>
      <c r="AG50" s="9"/>
      <c r="AO50" s="53"/>
      <c r="AP50" s="9"/>
      <c r="AQ50" s="9"/>
      <c r="AR50" s="9"/>
      <c r="AS50" s="9"/>
      <c r="AT50" s="9"/>
      <c r="AU50" s="9"/>
      <c r="AV50" s="9"/>
      <c r="AW50" s="9"/>
      <c r="AX50" s="9"/>
      <c r="BA50" s="9"/>
      <c r="BB50" s="9"/>
      <c r="BC50" s="9"/>
      <c r="BK50" s="9"/>
      <c r="BL50" s="9"/>
      <c r="BM50" s="9"/>
      <c r="BN50" s="9"/>
      <c r="BO50" s="9"/>
      <c r="BP50" s="9"/>
      <c r="BQ50" s="9"/>
      <c r="BR50" s="8"/>
      <c r="BS50" s="9"/>
      <c r="BT50" s="8"/>
      <c r="BU50" s="9"/>
      <c r="BV50" s="8"/>
      <c r="BW50" s="9"/>
      <c r="BX50" s="8"/>
      <c r="BY50" s="9"/>
      <c r="BZ50" s="8"/>
      <c r="CA50" s="9"/>
      <c r="CB50" s="8"/>
      <c r="CC50" s="9"/>
      <c r="CD50" s="8"/>
      <c r="CE50" s="9"/>
      <c r="CF50" s="8"/>
      <c r="CH50" s="24">
        <f>CH42</f>
        <v>0</v>
      </c>
      <c r="CI50" s="191">
        <f>H21*100</f>
        <v>15.1</v>
      </c>
      <c r="CJ50" s="1" t="s">
        <v>200</v>
      </c>
    </row>
    <row r="51" spans="2:88" ht="18" customHeight="1">
      <c r="B51" s="55"/>
      <c r="C51" s="9" t="s">
        <v>45</v>
      </c>
      <c r="D51" s="9"/>
      <c r="E51" s="9"/>
      <c r="F51" s="9"/>
      <c r="G51" s="9"/>
      <c r="H51" s="9">
        <f>IF(D47="Tu &lt; Tu min"," ",((0.53*H14*H7^0.5*H17*100*H22*100)/(1+((2.5*H45*H26*100)/H25)^2)^0.5))</f>
        <v>2390.0875628502217</v>
      </c>
      <c r="I51" s="8" t="s">
        <v>7</v>
      </c>
      <c r="J51" s="9"/>
      <c r="K51" s="9"/>
      <c r="L51" s="9"/>
      <c r="M51" s="8"/>
      <c r="N51" s="9"/>
      <c r="O51" s="9"/>
      <c r="P51" s="9"/>
      <c r="Q51" s="9"/>
      <c r="R51" s="8"/>
      <c r="S51" s="9"/>
      <c r="T51" s="9"/>
      <c r="U51" s="9"/>
      <c r="V51" s="9"/>
      <c r="W51" s="9"/>
      <c r="X51" s="9"/>
      <c r="Y51" s="9"/>
      <c r="Z51" s="16" t="s">
        <v>154</v>
      </c>
      <c r="AA51" s="9"/>
      <c r="AB51" s="136">
        <f>(AB50*AB48)/AB49</f>
        <v>1.6984366840603069E-3</v>
      </c>
      <c r="AC51" s="9"/>
      <c r="AD51" s="9"/>
      <c r="AE51" s="10"/>
      <c r="AF51" s="9"/>
      <c r="AG51" s="9"/>
      <c r="AO51" s="53"/>
      <c r="AP51" s="9"/>
      <c r="AQ51" s="9"/>
      <c r="AR51" s="9"/>
      <c r="AS51" s="9"/>
      <c r="AT51" s="9"/>
      <c r="AU51" s="9"/>
      <c r="AV51" s="9"/>
      <c r="AW51" s="9"/>
      <c r="AX51" s="9"/>
      <c r="BA51" s="9"/>
      <c r="BB51" s="9"/>
      <c r="BC51" s="9"/>
      <c r="BK51" s="9"/>
      <c r="BL51" s="9"/>
      <c r="BM51" s="9"/>
      <c r="BN51" s="9"/>
      <c r="BO51" s="9"/>
      <c r="BP51" s="9"/>
      <c r="BQ51" s="9"/>
      <c r="BR51" s="8"/>
      <c r="BS51" s="9"/>
      <c r="BT51" s="8"/>
      <c r="BU51" s="9"/>
      <c r="BV51" s="8"/>
      <c r="BW51" s="9"/>
      <c r="BX51" s="8"/>
      <c r="BY51" s="9"/>
      <c r="BZ51" s="8"/>
      <c r="CA51" s="9"/>
      <c r="CB51" s="8"/>
      <c r="CC51" s="9"/>
      <c r="CD51" s="8"/>
      <c r="CE51" s="9"/>
      <c r="CF51" s="8"/>
      <c r="CH51" s="24">
        <f>CH47</f>
        <v>-1E-3</v>
      </c>
      <c r="CI51" s="191">
        <f>CI50</f>
        <v>15.1</v>
      </c>
      <c r="CJ51" s="1" t="s">
        <v>201</v>
      </c>
    </row>
    <row r="52" spans="2:88" ht="18" customHeight="1">
      <c r="B52" s="55"/>
      <c r="C52" s="47" t="s">
        <v>20</v>
      </c>
      <c r="D52" s="41" t="str">
        <f>IF(D47="Tu &lt; Tu min"," ",IF(H25&gt;H51,"Vu &gt; øVc","Vu &lt; øVc"))</f>
        <v>Vu &gt; øVc</v>
      </c>
      <c r="E52" s="9"/>
      <c r="F52" s="9"/>
      <c r="G52" s="61" t="str">
        <f>IF(D47="Tu &lt; Tu min"," ",IF(D52="Vu &gt; øVc","Shear Riegn . Needed","Shear Effect can be neglected"))</f>
        <v>Shear Riegn . Needed</v>
      </c>
      <c r="H52" s="9"/>
      <c r="I52" s="8"/>
      <c r="J52" s="9"/>
      <c r="K52" s="9"/>
      <c r="L52" s="9"/>
      <c r="M52" s="8"/>
      <c r="N52" s="9"/>
      <c r="O52" s="9"/>
      <c r="P52" s="9"/>
      <c r="Q52" s="126"/>
      <c r="T52" s="9"/>
      <c r="U52" s="9"/>
      <c r="V52" s="9"/>
      <c r="W52" s="9"/>
      <c r="X52" s="9"/>
      <c r="Y52" s="9"/>
      <c r="Z52" s="16" t="s">
        <v>153</v>
      </c>
      <c r="AA52" s="9"/>
      <c r="AB52" s="9">
        <f>IF(Q8=0," ",(AB49/AB48)*AB45)</f>
        <v>2.5975444049733576E-3</v>
      </c>
      <c r="AC52" s="9"/>
      <c r="AD52" s="9"/>
      <c r="AE52" s="10"/>
      <c r="AF52" s="9"/>
      <c r="AG52" s="9"/>
      <c r="AO52" s="53"/>
      <c r="AP52" s="9"/>
      <c r="AQ52" s="9"/>
      <c r="AR52" s="9"/>
      <c r="AS52" s="9"/>
      <c r="AT52" s="9"/>
      <c r="AU52" s="9"/>
      <c r="AV52" s="9"/>
      <c r="AW52" s="9"/>
      <c r="AX52" s="9"/>
      <c r="BA52" s="9"/>
      <c r="BB52" s="9"/>
      <c r="BC52" s="9"/>
      <c r="BK52" s="9"/>
      <c r="BL52" s="9"/>
      <c r="BM52" s="9"/>
      <c r="BN52" s="9"/>
      <c r="BO52" s="9"/>
      <c r="BP52" s="9"/>
      <c r="BQ52" s="9"/>
      <c r="BR52" s="8"/>
      <c r="BS52" s="9"/>
      <c r="BT52" s="8"/>
      <c r="BU52" s="9"/>
      <c r="BV52" s="8"/>
      <c r="BW52" s="9"/>
      <c r="BX52" s="8"/>
      <c r="BY52" s="9"/>
      <c r="BZ52" s="8"/>
      <c r="CA52" s="9"/>
      <c r="CB52" s="8"/>
      <c r="CC52" s="9"/>
      <c r="CD52" s="8"/>
      <c r="CE52" s="9"/>
      <c r="CF52" s="8"/>
      <c r="CH52" s="24">
        <f>CH51</f>
        <v>-1E-3</v>
      </c>
      <c r="CI52" s="191">
        <f>CI51</f>
        <v>15.1</v>
      </c>
      <c r="CJ52" s="1" t="s">
        <v>149</v>
      </c>
    </row>
    <row r="53" spans="2:88" ht="18" customHeight="1">
      <c r="B53" s="55"/>
      <c r="C53" s="9" t="s">
        <v>63</v>
      </c>
      <c r="D53" s="9"/>
      <c r="E53" s="9"/>
      <c r="F53" s="9"/>
      <c r="G53" s="9"/>
      <c r="H53" s="9"/>
      <c r="I53" s="8"/>
      <c r="J53" s="9"/>
      <c r="K53" s="9"/>
      <c r="L53" s="9"/>
      <c r="M53" s="8"/>
      <c r="N53" s="9"/>
      <c r="O53" s="9"/>
      <c r="P53" s="9"/>
      <c r="Q53" s="9"/>
      <c r="R53" s="8"/>
      <c r="S53" s="9"/>
      <c r="T53" s="9"/>
      <c r="U53" s="9"/>
      <c r="V53" s="9"/>
      <c r="W53" s="9"/>
      <c r="X53" s="9"/>
      <c r="Y53" s="9"/>
      <c r="Z53" s="149" t="s">
        <v>20</v>
      </c>
      <c r="AA53" s="9"/>
      <c r="AB53" s="61" t="str">
        <f>IF(AB51&gt;AB45,"Cushing Failure ",IF(AB52&gt;AB50,"Yeilding Failure ","Yeliding Failure"))</f>
        <v xml:space="preserve">Yeilding Failure </v>
      </c>
      <c r="AC53" s="134"/>
      <c r="AD53" s="134"/>
      <c r="AE53" s="140"/>
      <c r="AF53" s="9"/>
      <c r="AG53" s="9"/>
      <c r="AO53" s="53"/>
      <c r="AP53" s="9"/>
      <c r="AQ53" s="9"/>
      <c r="AR53" s="9"/>
      <c r="AS53" s="9"/>
      <c r="AT53" s="9"/>
      <c r="AU53" s="9"/>
      <c r="AV53" s="9"/>
      <c r="AW53" s="9"/>
      <c r="AX53" s="9"/>
      <c r="BA53" s="9"/>
      <c r="BB53" s="9"/>
      <c r="BC53" s="9"/>
      <c r="BK53" s="9"/>
      <c r="BL53" s="9"/>
      <c r="BM53" s="9"/>
      <c r="BN53" s="9"/>
      <c r="BO53" s="9"/>
      <c r="BP53" s="9"/>
      <c r="BQ53" s="9"/>
      <c r="BR53" s="8"/>
      <c r="BS53" s="9"/>
      <c r="BT53" s="8"/>
      <c r="BU53" s="9"/>
      <c r="BV53" s="8"/>
      <c r="BW53" s="9"/>
      <c r="BX53" s="8"/>
      <c r="BY53" s="9"/>
      <c r="BZ53" s="8"/>
      <c r="CA53" s="9"/>
      <c r="CB53" s="8"/>
      <c r="CC53" s="9"/>
      <c r="CD53" s="8"/>
      <c r="CE53" s="9"/>
      <c r="CF53" s="8"/>
      <c r="CH53" s="24">
        <f>AB52</f>
        <v>2.5975444049733576E-3</v>
      </c>
      <c r="CI53" s="191">
        <f>CI50</f>
        <v>15.1</v>
      </c>
      <c r="CJ53" s="1" t="s">
        <v>149</v>
      </c>
    </row>
    <row r="54" spans="2:88" ht="18" customHeight="1">
      <c r="B54" s="55"/>
      <c r="C54" s="9" t="s">
        <v>47</v>
      </c>
      <c r="D54" s="9" t="s">
        <v>46</v>
      </c>
      <c r="E54" s="9"/>
      <c r="F54" s="9"/>
      <c r="G54" s="9"/>
      <c r="H54" s="9">
        <f>IF(D47="Tu &lt; Tu min"," ",(H25-H51)/(H14*H10*H22*100))</f>
        <v>3.6715047757466021E-2</v>
      </c>
      <c r="I54" s="8" t="s">
        <v>48</v>
      </c>
      <c r="J54" s="9"/>
      <c r="K54" s="9"/>
      <c r="L54" s="9"/>
      <c r="M54" s="8"/>
      <c r="N54" s="9"/>
      <c r="O54" s="9"/>
      <c r="P54" s="9"/>
      <c r="Q54" s="9"/>
      <c r="R54" s="8"/>
      <c r="S54" s="9"/>
      <c r="T54" s="9"/>
      <c r="U54" s="9"/>
      <c r="V54" s="9"/>
      <c r="W54" s="9"/>
      <c r="X54" s="9"/>
      <c r="Y54" s="9"/>
      <c r="Z54" s="16" t="s">
        <v>150</v>
      </c>
      <c r="AA54" s="9"/>
      <c r="AB54" s="9">
        <f>ROUND(Q11/(H17*100*H22*100),4)</f>
        <v>2.0500000000000001E-2</v>
      </c>
      <c r="AC54" s="9"/>
      <c r="AD54" s="9"/>
      <c r="AE54" s="10"/>
      <c r="AF54" s="9"/>
      <c r="AG54" s="9"/>
      <c r="AH54" s="9"/>
      <c r="AO54" s="53"/>
      <c r="AP54" s="9"/>
      <c r="AQ54" s="9"/>
      <c r="AR54" s="9"/>
      <c r="AS54" s="9"/>
      <c r="AT54" s="9"/>
      <c r="AU54" s="9"/>
      <c r="AV54" s="9"/>
      <c r="AW54" s="9"/>
      <c r="AX54" s="9"/>
      <c r="BA54" s="9"/>
      <c r="BB54" s="9"/>
      <c r="BC54" s="9"/>
      <c r="BK54" s="9"/>
      <c r="BL54" s="9"/>
      <c r="BM54" s="9"/>
      <c r="BN54" s="9"/>
      <c r="BO54" s="9"/>
      <c r="BP54" s="9"/>
      <c r="BQ54" s="9"/>
      <c r="BR54" s="8"/>
      <c r="BS54" s="9"/>
      <c r="BT54" s="8"/>
      <c r="BU54" s="9"/>
      <c r="BV54" s="8"/>
      <c r="BW54" s="9"/>
      <c r="BX54" s="8"/>
      <c r="BY54" s="9"/>
      <c r="BZ54" s="8"/>
      <c r="CA54" s="9"/>
      <c r="CB54" s="8"/>
      <c r="CC54" s="9"/>
      <c r="CD54" s="8"/>
      <c r="CE54" s="9"/>
      <c r="CF54" s="8"/>
      <c r="CH54" s="192">
        <f>CH42</f>
        <v>0</v>
      </c>
      <c r="CI54" s="191">
        <f>CI48-5</f>
        <v>44.257397504456335</v>
      </c>
      <c r="CJ54" s="1" t="s">
        <v>199</v>
      </c>
    </row>
    <row r="55" spans="2:88" ht="18" customHeight="1">
      <c r="B55" s="55"/>
      <c r="C55" s="9" t="s">
        <v>64</v>
      </c>
      <c r="D55" s="9"/>
      <c r="E55" s="9"/>
      <c r="F55" s="9"/>
      <c r="G55" s="9"/>
      <c r="H55" s="9"/>
      <c r="I55" s="8"/>
      <c r="J55" s="9"/>
      <c r="K55" s="9"/>
      <c r="L55" s="9"/>
      <c r="M55" s="8"/>
      <c r="N55" s="9"/>
      <c r="O55" s="9"/>
      <c r="P55" s="9"/>
      <c r="Q55" s="9"/>
      <c r="R55" s="8"/>
      <c r="S55" s="9"/>
      <c r="T55" s="9"/>
      <c r="U55" s="9"/>
      <c r="V55" s="9"/>
      <c r="W55" s="9"/>
      <c r="X55" s="9"/>
      <c r="Y55" s="9"/>
      <c r="Z55" s="16" t="s">
        <v>151</v>
      </c>
      <c r="AA55" s="9"/>
      <c r="AB55" s="9">
        <f>ROUND(H29,4)</f>
        <v>1.8200000000000001E-2</v>
      </c>
      <c r="AC55" s="9"/>
      <c r="AD55" s="9"/>
      <c r="AE55" s="10"/>
      <c r="AF55" s="9"/>
      <c r="AG55" s="9"/>
      <c r="AO55" s="53"/>
      <c r="AP55" s="9"/>
      <c r="AQ55" s="9"/>
      <c r="AR55" s="9"/>
      <c r="AS55" s="9"/>
      <c r="AT55" s="9"/>
      <c r="AU55" s="9"/>
      <c r="AV55" s="9"/>
      <c r="AW55" s="9"/>
      <c r="AX55" s="9"/>
      <c r="BA55" s="9"/>
      <c r="BB55" s="9"/>
      <c r="BC55" s="9"/>
      <c r="CH55" s="193">
        <f>AB45</f>
        <v>3.0000000000000001E-3</v>
      </c>
      <c r="CI55" s="24">
        <f>CI54</f>
        <v>44.257397504456335</v>
      </c>
      <c r="CJ55" s="1" t="s">
        <v>199</v>
      </c>
    </row>
    <row r="56" spans="2:88" ht="18" customHeight="1">
      <c r="B56" s="55"/>
      <c r="C56" s="9" t="s">
        <v>49</v>
      </c>
      <c r="D56" s="9">
        <f>IF(D47="Tu &lt; Tu min"," ",(H17-2*H20)*100)</f>
        <v>47</v>
      </c>
      <c r="E56" s="9" t="s">
        <v>53</v>
      </c>
      <c r="F56" s="9"/>
      <c r="G56" s="9"/>
      <c r="H56" s="9"/>
      <c r="I56" s="8"/>
      <c r="J56" s="9"/>
      <c r="K56" s="9"/>
      <c r="L56" s="9"/>
      <c r="M56" s="8"/>
      <c r="N56" s="9"/>
      <c r="O56" s="9"/>
      <c r="P56" s="9"/>
      <c r="Q56" s="9"/>
      <c r="R56" s="8"/>
      <c r="S56" s="9"/>
      <c r="T56" s="9"/>
      <c r="U56" s="9"/>
      <c r="V56" s="9"/>
      <c r="W56" s="9"/>
      <c r="X56" s="9"/>
      <c r="Y56" s="9"/>
      <c r="Z56" s="16" t="s">
        <v>152</v>
      </c>
      <c r="AA56" s="9"/>
      <c r="AB56" s="9">
        <f>14/H9</f>
        <v>4.6666666666666671E-3</v>
      </c>
      <c r="AC56" s="9"/>
      <c r="AD56" s="9"/>
      <c r="AE56" s="10"/>
      <c r="AF56" s="9"/>
      <c r="AG56" s="9"/>
      <c r="AO56" s="53"/>
      <c r="AP56" s="9"/>
      <c r="AQ56" s="9"/>
      <c r="AR56" s="9"/>
      <c r="AS56" s="9"/>
      <c r="AT56" s="9"/>
      <c r="AU56" s="9"/>
      <c r="AV56" s="9"/>
      <c r="AW56" s="9"/>
      <c r="AX56" s="9"/>
      <c r="BA56" s="9"/>
      <c r="BB56" s="9"/>
      <c r="BC56" s="9"/>
    </row>
    <row r="57" spans="2:88" ht="18" customHeight="1">
      <c r="B57" s="55"/>
      <c r="C57" s="9" t="s">
        <v>52</v>
      </c>
      <c r="D57" s="9">
        <f>IF(D47="Tu &lt; Tu min"," ",(H18-H19*2)*100)</f>
        <v>85</v>
      </c>
      <c r="E57" s="9" t="s">
        <v>53</v>
      </c>
      <c r="F57" s="9"/>
      <c r="G57" s="9"/>
      <c r="H57" s="9"/>
      <c r="I57" s="8"/>
      <c r="J57" s="9"/>
      <c r="K57" s="9"/>
      <c r="L57" s="9"/>
      <c r="M57" s="8"/>
      <c r="N57" s="9"/>
      <c r="O57" s="9"/>
      <c r="P57" s="9"/>
      <c r="Q57" s="9"/>
      <c r="R57" s="8"/>
      <c r="S57" s="9"/>
      <c r="T57" s="9"/>
      <c r="U57" s="9"/>
      <c r="V57" s="9"/>
      <c r="W57" s="9"/>
      <c r="X57" s="9"/>
      <c r="Y57" s="9"/>
      <c r="Z57" s="149" t="s">
        <v>20</v>
      </c>
      <c r="AA57" s="9"/>
      <c r="AB57" s="61" t="str">
        <f>IF(AB55&gt;AB54,"Tension Failure = Under R.","Compression Failure = Over R.")</f>
        <v>Compression Failure = Over R.</v>
      </c>
      <c r="AC57" s="61"/>
      <c r="AD57" s="61"/>
      <c r="AE57" s="10"/>
      <c r="AF57" s="9"/>
      <c r="AG57" s="9"/>
      <c r="AO57" s="53"/>
      <c r="AP57" s="9"/>
      <c r="AQ57" s="9"/>
      <c r="AR57" s="9"/>
      <c r="AS57" s="9"/>
      <c r="AT57" s="9"/>
      <c r="AU57" s="9"/>
      <c r="AV57" s="9"/>
      <c r="AW57" s="9"/>
      <c r="AX57" s="9"/>
      <c r="BA57" s="9"/>
      <c r="BB57" s="9"/>
      <c r="BC57" s="9"/>
    </row>
    <row r="58" spans="2:88" ht="18" customHeight="1">
      <c r="B58" s="55"/>
      <c r="C58" s="45" t="s">
        <v>54</v>
      </c>
      <c r="D58" s="9" t="s">
        <v>55</v>
      </c>
      <c r="E58" s="9"/>
      <c r="F58" s="9"/>
      <c r="G58" s="9"/>
      <c r="H58" s="9">
        <f>IF(D47="Tu &lt; Tu min"," ",0.66+0.33*(D57/D56))</f>
        <v>1.2568085106382978</v>
      </c>
      <c r="I58" s="133" t="str">
        <f>IF(D47="Tu &lt; Tu min"," ",IF(H58&lt;1.5,"ok","no : change as beam or change as cover"))</f>
        <v>ok</v>
      </c>
      <c r="J58" s="9"/>
      <c r="K58" s="9"/>
      <c r="L58" s="9"/>
      <c r="M58" s="8"/>
      <c r="N58" s="9"/>
      <c r="O58" s="9"/>
      <c r="P58" s="9"/>
      <c r="Q58" s="9"/>
      <c r="R58" s="8"/>
      <c r="S58" s="9"/>
      <c r="T58" s="9"/>
      <c r="U58" s="9"/>
      <c r="V58" s="9"/>
      <c r="W58" s="9"/>
      <c r="X58" s="9"/>
      <c r="Y58" s="9"/>
      <c r="Z58" s="17"/>
      <c r="AA58" s="14"/>
      <c r="AB58" s="14"/>
      <c r="AC58" s="14"/>
      <c r="AD58" s="14"/>
      <c r="AE58" s="15"/>
      <c r="AF58" s="9"/>
      <c r="AG58" s="9"/>
      <c r="AO58" s="53"/>
      <c r="AP58" s="9"/>
      <c r="AQ58" s="9"/>
      <c r="AR58" s="9"/>
      <c r="AS58" s="9"/>
      <c r="AT58" s="9"/>
      <c r="AU58" s="9"/>
      <c r="AV58" s="9"/>
      <c r="AW58" s="9"/>
      <c r="AX58" s="9"/>
      <c r="BA58" s="9"/>
      <c r="BB58" s="9"/>
      <c r="BC58" s="9"/>
    </row>
    <row r="59" spans="2:88" ht="18" customHeight="1">
      <c r="B59" s="55"/>
      <c r="C59" s="9" t="s">
        <v>56</v>
      </c>
      <c r="D59" s="9" t="s">
        <v>57</v>
      </c>
      <c r="E59" s="9"/>
      <c r="F59" s="9"/>
      <c r="G59" s="9"/>
      <c r="H59" s="9">
        <f>IF(I58="no",0,IF(OR(D47="Tu &lt; Tu min",D49="Tu max &lt;Tu"),0,ROUND((H26-H50)*100/(H58*H14*D56*D57*H10),3)))</f>
        <v>0.13700000000000001</v>
      </c>
      <c r="I59" s="8" t="s">
        <v>48</v>
      </c>
      <c r="J59" s="9"/>
      <c r="K59" s="9"/>
      <c r="L59" s="9"/>
      <c r="M59" s="8"/>
      <c r="N59" s="9"/>
      <c r="O59" s="9"/>
      <c r="P59" s="9"/>
      <c r="Q59" s="9"/>
      <c r="R59" s="8"/>
      <c r="S59" s="9"/>
      <c r="T59" s="9"/>
      <c r="U59" s="9"/>
      <c r="V59" s="9"/>
      <c r="W59" s="9"/>
      <c r="X59" s="9"/>
      <c r="Y59" s="9"/>
      <c r="AF59" s="9"/>
      <c r="AG59" s="9"/>
      <c r="AO59" s="53"/>
      <c r="AP59" s="9"/>
      <c r="AQ59" s="9"/>
      <c r="AR59" s="9"/>
      <c r="AS59" s="9"/>
      <c r="AT59" s="9"/>
      <c r="AU59" s="9"/>
      <c r="AV59" s="9"/>
      <c r="AW59" s="9"/>
      <c r="AX59" s="9"/>
      <c r="BA59" s="9"/>
      <c r="BB59" s="9"/>
      <c r="BC59" s="9"/>
    </row>
    <row r="60" spans="2:88" ht="18" customHeight="1">
      <c r="B60" s="55"/>
      <c r="C60" s="9" t="s">
        <v>61</v>
      </c>
      <c r="D60" s="9"/>
      <c r="E60" s="9"/>
      <c r="F60" s="9"/>
      <c r="G60" s="9"/>
      <c r="H60" s="9"/>
      <c r="I60" s="8"/>
      <c r="J60" s="9"/>
      <c r="K60" s="9"/>
      <c r="L60" s="9"/>
      <c r="M60" s="8"/>
      <c r="N60" s="9"/>
      <c r="O60" s="9"/>
      <c r="P60" s="9"/>
      <c r="Q60" s="9"/>
      <c r="R60" s="8"/>
      <c r="S60" s="9"/>
      <c r="T60" s="9"/>
      <c r="U60" s="9"/>
      <c r="V60" s="9"/>
      <c r="W60" s="9"/>
      <c r="X60" s="9"/>
      <c r="Y60" s="9"/>
      <c r="AF60" s="9"/>
      <c r="AG60" s="9"/>
      <c r="AO60" s="53"/>
      <c r="AP60" s="9"/>
      <c r="AQ60" s="9"/>
      <c r="AR60" s="9"/>
      <c r="AS60" s="9"/>
      <c r="AT60" s="9"/>
      <c r="AU60" s="9"/>
      <c r="AV60" s="9"/>
      <c r="AW60" s="9"/>
      <c r="AX60" s="9"/>
      <c r="BA60" s="9"/>
      <c r="BB60" s="9"/>
      <c r="BC60" s="9"/>
    </row>
    <row r="61" spans="2:88" ht="18" customHeight="1">
      <c r="B61" s="55"/>
      <c r="C61" s="9" t="s">
        <v>58</v>
      </c>
      <c r="D61" s="9"/>
      <c r="E61" s="9" t="s">
        <v>59</v>
      </c>
      <c r="F61" s="9"/>
      <c r="G61" s="9"/>
      <c r="H61" s="9">
        <f>IF(H58&gt;1.5,0,IF(D47="Tu &lt; Tu min"," ",H59+H54/2))</f>
        <v>0.15535752387873303</v>
      </c>
      <c r="I61" s="8" t="s">
        <v>48</v>
      </c>
      <c r="J61" s="9"/>
      <c r="K61" s="9"/>
      <c r="L61" s="9"/>
      <c r="M61" s="8"/>
      <c r="N61" s="9"/>
      <c r="O61" s="9"/>
      <c r="P61" s="9"/>
      <c r="Q61" s="9"/>
      <c r="R61" s="8"/>
      <c r="S61" s="9"/>
      <c r="T61" s="9"/>
      <c r="U61" s="9"/>
      <c r="V61" s="9"/>
      <c r="W61" s="9"/>
      <c r="X61" s="9"/>
      <c r="Y61" s="9"/>
      <c r="AF61" s="9"/>
      <c r="AG61" s="9"/>
      <c r="AO61" s="53"/>
      <c r="AP61" s="9"/>
      <c r="AQ61" s="9"/>
      <c r="AR61" s="9"/>
      <c r="AS61" s="9"/>
      <c r="AT61" s="9"/>
      <c r="AU61" s="9"/>
      <c r="AV61" s="9"/>
      <c r="AW61" s="9"/>
      <c r="AX61" s="9"/>
      <c r="BA61" s="9"/>
      <c r="BB61" s="9"/>
      <c r="BC61" s="9"/>
    </row>
    <row r="62" spans="2:88" ht="18" customHeight="1">
      <c r="B62" s="55"/>
      <c r="C62" s="9" t="s">
        <v>60</v>
      </c>
      <c r="D62" s="9"/>
      <c r="E62" s="9"/>
      <c r="F62" s="9"/>
      <c r="G62" s="9"/>
      <c r="H62" s="9">
        <f>ROUND(3.5*(H17*100)/(2*H10),4)</f>
        <v>4.0099999999999997E-2</v>
      </c>
      <c r="I62" s="8" t="s">
        <v>53</v>
      </c>
      <c r="J62" s="9"/>
      <c r="K62" s="9"/>
      <c r="L62" s="9"/>
      <c r="M62" s="8"/>
      <c r="N62" s="9"/>
      <c r="O62" s="9"/>
      <c r="P62" s="9"/>
      <c r="Q62" s="9"/>
      <c r="R62" s="8"/>
      <c r="S62" s="9"/>
      <c r="T62" s="9"/>
      <c r="U62" s="9"/>
      <c r="V62" s="9"/>
      <c r="W62" s="9"/>
      <c r="X62" s="9"/>
      <c r="Y62" s="9"/>
      <c r="AF62" s="9"/>
      <c r="AG62" s="9"/>
      <c r="AO62" s="53"/>
      <c r="AP62" s="9"/>
      <c r="AQ62" s="9"/>
      <c r="AR62" s="9"/>
      <c r="AS62" s="9"/>
      <c r="AT62" s="9"/>
      <c r="AU62" s="9"/>
      <c r="AV62" s="9"/>
      <c r="AW62" s="9"/>
      <c r="AX62" s="9"/>
      <c r="BA62" s="9"/>
      <c r="BB62" s="9"/>
      <c r="BC62" s="9"/>
    </row>
    <row r="63" spans="2:88" ht="18" customHeight="1">
      <c r="B63" s="55"/>
      <c r="C63" s="9" t="s">
        <v>62</v>
      </c>
      <c r="D63" s="9"/>
      <c r="E63" s="9"/>
      <c r="F63" s="9"/>
      <c r="G63" s="9"/>
      <c r="H63" s="9"/>
      <c r="I63" s="8"/>
      <c r="J63" s="9"/>
      <c r="K63" s="9"/>
      <c r="L63" s="9"/>
      <c r="M63" s="8"/>
      <c r="N63" s="9"/>
      <c r="O63" s="9"/>
      <c r="P63" s="9"/>
      <c r="Q63" s="9"/>
      <c r="R63" s="8"/>
      <c r="S63" s="9"/>
      <c r="T63" s="9"/>
      <c r="U63" s="9"/>
      <c r="V63" s="9"/>
      <c r="W63" s="9"/>
      <c r="X63" s="9"/>
      <c r="Y63" s="9"/>
      <c r="AF63" s="9"/>
      <c r="AG63" s="9"/>
      <c r="AO63" s="53"/>
      <c r="AP63" s="9"/>
      <c r="AQ63" s="9"/>
      <c r="AR63" s="9"/>
      <c r="AS63" s="9"/>
      <c r="AT63" s="9"/>
      <c r="AU63" s="9"/>
      <c r="AV63" s="9"/>
      <c r="AW63" s="9"/>
      <c r="AX63" s="9"/>
      <c r="BA63" s="9"/>
      <c r="BB63" s="9"/>
      <c r="BC63" s="9"/>
    </row>
    <row r="64" spans="2:88" ht="18" customHeight="1">
      <c r="B64" s="55"/>
      <c r="C64" s="9" t="s">
        <v>66</v>
      </c>
      <c r="D64" s="9" t="s">
        <v>67</v>
      </c>
      <c r="E64" s="9"/>
      <c r="F64" s="9"/>
      <c r="G64" s="9"/>
      <c r="H64" s="9">
        <f>IF(OR(D47="Tu &lt; Tu min",D49="Tu max &lt;Tu"),0,2*H59*(D56+D57)*(H10/H9))</f>
        <v>28.934400000000007</v>
      </c>
      <c r="I64" s="8" t="s">
        <v>68</v>
      </c>
      <c r="J64" s="9"/>
      <c r="K64" s="9"/>
      <c r="L64" s="9"/>
      <c r="M64" s="8"/>
      <c r="N64" s="9"/>
      <c r="O64" s="9"/>
      <c r="P64" s="9"/>
      <c r="Q64" s="9"/>
      <c r="R64" s="8"/>
      <c r="S64" s="9"/>
      <c r="T64" s="9"/>
      <c r="U64" s="9"/>
      <c r="V64" s="9"/>
      <c r="W64" s="9"/>
      <c r="X64" s="9"/>
      <c r="Y64" s="9"/>
      <c r="AF64" s="9"/>
      <c r="AG64" s="9"/>
      <c r="AO64" s="53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2:55" ht="18" customHeight="1">
      <c r="B65" s="55"/>
      <c r="C65" s="9"/>
      <c r="D65" s="9" t="s">
        <v>69</v>
      </c>
      <c r="E65" s="9"/>
      <c r="F65" s="9"/>
      <c r="G65" s="9"/>
      <c r="H65" s="9">
        <f>IF(D47="Tu &lt; Tu min",0,(2*H59)*(H10/H9))</f>
        <v>0.21920000000000003</v>
      </c>
      <c r="I65" s="8" t="s">
        <v>68</v>
      </c>
      <c r="J65" s="9"/>
      <c r="K65" s="9"/>
      <c r="L65" s="9"/>
      <c r="M65" s="8"/>
      <c r="N65" s="9"/>
      <c r="O65" s="9"/>
      <c r="P65" s="9"/>
      <c r="Q65" s="9"/>
      <c r="R65" s="8"/>
      <c r="S65" s="9"/>
      <c r="T65" s="9"/>
      <c r="U65" s="9"/>
      <c r="V65" s="9"/>
      <c r="W65" s="9"/>
      <c r="X65" s="9"/>
      <c r="Y65" s="9"/>
      <c r="AF65" s="9"/>
      <c r="AG65" s="9"/>
      <c r="AO65" s="53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2:55" ht="18" customHeight="1">
      <c r="B66" s="55"/>
      <c r="C66" s="9"/>
      <c r="D66" s="9" t="s">
        <v>70</v>
      </c>
      <c r="E66" s="9"/>
      <c r="F66" s="9"/>
      <c r="G66" s="9"/>
      <c r="H66" s="9">
        <f>IF(OR(H58&gt;1.5,D47="Tu &lt; Tu min"),0,ROUND(((3.5*H17*100)/H9)*(H10/H9),4))</f>
        <v>5.1299999999999998E-2</v>
      </c>
      <c r="I66" s="8" t="s">
        <v>68</v>
      </c>
      <c r="J66" s="9"/>
      <c r="K66" s="9"/>
      <c r="L66" s="9"/>
      <c r="M66" s="8"/>
      <c r="N66" s="9"/>
      <c r="O66" s="9"/>
      <c r="P66" s="9"/>
      <c r="Q66" s="9"/>
      <c r="R66" s="8"/>
      <c r="S66" s="9"/>
      <c r="T66" s="9"/>
      <c r="U66" s="9"/>
      <c r="V66" s="9"/>
      <c r="W66" s="9"/>
      <c r="X66" s="9"/>
      <c r="Y66" s="9"/>
      <c r="Z66" s="9"/>
      <c r="AA66" s="9"/>
      <c r="AB66" s="8"/>
      <c r="AC66" s="8"/>
      <c r="AD66" s="8"/>
      <c r="AE66" s="8"/>
      <c r="AF66" s="9"/>
      <c r="AG66" s="9"/>
      <c r="AN66" s="9"/>
      <c r="AO66" s="53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2:55" ht="18" customHeight="1">
      <c r="B67" s="55"/>
      <c r="C67" s="9" t="s">
        <v>65</v>
      </c>
      <c r="D67" s="9"/>
      <c r="E67" s="9"/>
      <c r="F67" s="9"/>
      <c r="G67" s="9"/>
      <c r="H67" s="9">
        <f>IF(OR(H58&gt;1.5,D47="Tu &lt; Tu min"),0,ROUND((((28*H17*100)/H10)*((H26*100)/((H26*100)+(H25/(3*H45))))-MAX(H66,H65))*(D56+D57),3))</f>
        <v>48.905999999999999</v>
      </c>
      <c r="I67" s="8" t="s">
        <v>68</v>
      </c>
      <c r="J67" s="9"/>
      <c r="K67" s="9"/>
      <c r="L67" s="9"/>
      <c r="M67" s="8"/>
      <c r="N67" s="9"/>
      <c r="O67" s="9"/>
      <c r="P67" s="9"/>
      <c r="Q67" s="9"/>
      <c r="R67" s="8"/>
      <c r="S67" s="9"/>
      <c r="T67" s="9"/>
      <c r="U67" s="9"/>
      <c r="V67" s="9"/>
      <c r="W67" s="9"/>
      <c r="X67" s="9"/>
      <c r="Y67" s="9"/>
      <c r="Z67" s="9"/>
      <c r="AA67" s="9"/>
      <c r="AB67" s="8"/>
      <c r="AC67" s="8"/>
      <c r="AD67" s="8"/>
      <c r="AE67" s="8"/>
      <c r="AF67" s="9"/>
      <c r="AG67" s="9"/>
      <c r="AN67" s="9"/>
      <c r="AO67" s="53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2:55" ht="18" customHeight="1">
      <c r="B68" s="55"/>
      <c r="J68" s="9"/>
      <c r="K68" s="9"/>
      <c r="L68" s="9"/>
      <c r="M68" s="8"/>
      <c r="N68" s="9"/>
      <c r="O68" s="9"/>
      <c r="P68" s="9"/>
      <c r="Q68" s="9"/>
      <c r="R68" s="8"/>
      <c r="S68" s="9"/>
      <c r="T68" s="9"/>
      <c r="U68" s="9"/>
      <c r="V68" s="9"/>
      <c r="W68" s="9"/>
      <c r="X68" s="9"/>
      <c r="Y68" s="9"/>
      <c r="Z68" s="9"/>
      <c r="AA68" s="9"/>
      <c r="AB68" s="8"/>
      <c r="AC68" s="8"/>
      <c r="AD68" s="8"/>
      <c r="AE68" s="8"/>
      <c r="AF68" s="9"/>
      <c r="AG68" s="9"/>
      <c r="AN68" s="9"/>
      <c r="AO68" s="53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2:55" ht="18" customHeight="1">
      <c r="B69" s="55"/>
      <c r="J69" s="9"/>
      <c r="K69" s="9"/>
      <c r="L69" s="9"/>
      <c r="M69" s="8"/>
      <c r="N69" s="9"/>
      <c r="O69" s="9"/>
      <c r="P69" s="9"/>
      <c r="Q69" s="9"/>
      <c r="R69" s="8"/>
      <c r="S69" s="9"/>
      <c r="T69" s="9"/>
      <c r="U69" s="9"/>
      <c r="V69" s="9"/>
      <c r="W69" s="9"/>
      <c r="X69" s="9"/>
      <c r="Y69" s="9"/>
      <c r="Z69" s="9"/>
      <c r="AA69" s="9"/>
      <c r="AB69" s="8"/>
      <c r="AC69" s="8"/>
      <c r="AD69" s="8"/>
      <c r="AE69" s="8"/>
      <c r="AF69" s="9"/>
      <c r="AG69" s="9"/>
      <c r="AN69" s="9"/>
      <c r="AO69" s="53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2:55" ht="18" customHeight="1">
      <c r="B70" s="55"/>
      <c r="J70" s="9"/>
      <c r="K70" s="9"/>
      <c r="L70" s="9"/>
      <c r="M70" s="8"/>
      <c r="N70" s="9"/>
      <c r="O70" s="9"/>
      <c r="P70" s="9"/>
      <c r="Q70" s="9"/>
      <c r="R70" s="8"/>
      <c r="S70" s="9"/>
      <c r="T70" s="9"/>
      <c r="U70" s="9"/>
      <c r="V70" s="9"/>
      <c r="W70" s="9"/>
      <c r="X70" s="9"/>
      <c r="Y70" s="9"/>
      <c r="Z70" s="9"/>
      <c r="AA70" s="9"/>
      <c r="AB70" s="8"/>
      <c r="AC70" s="8"/>
      <c r="AD70" s="8"/>
      <c r="AE70" s="8"/>
      <c r="AF70" s="9"/>
      <c r="AG70" s="9"/>
      <c r="AN70" s="9"/>
      <c r="AO70" s="53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2:55" ht="18" customHeight="1">
      <c r="B71" s="55"/>
      <c r="C71" s="9"/>
      <c r="D71" s="9"/>
      <c r="E71" s="9"/>
      <c r="F71" s="9"/>
      <c r="G71" s="9"/>
      <c r="H71" s="9"/>
      <c r="I71" s="163"/>
      <c r="J71" s="9"/>
      <c r="K71" s="9"/>
      <c r="L71" s="9"/>
      <c r="M71" s="8"/>
      <c r="N71" s="9"/>
      <c r="O71" s="9"/>
      <c r="P71" s="9"/>
      <c r="Q71" s="9"/>
      <c r="R71" s="8"/>
      <c r="S71" s="9"/>
      <c r="T71" s="9"/>
      <c r="U71" s="9"/>
      <c r="V71" s="9"/>
      <c r="W71" s="9"/>
      <c r="X71" s="9"/>
      <c r="Y71" s="9"/>
      <c r="Z71" s="9"/>
      <c r="AA71" s="9"/>
      <c r="AB71" s="8"/>
      <c r="AC71" s="8"/>
      <c r="AD71" s="8"/>
      <c r="AE71" s="8"/>
      <c r="AF71" s="9"/>
      <c r="AG71" s="9"/>
      <c r="AH71" s="9"/>
      <c r="AI71" s="9"/>
      <c r="AJ71" s="9"/>
      <c r="AK71" s="9"/>
      <c r="AL71" s="9"/>
      <c r="AM71" s="9"/>
      <c r="AN71" s="9"/>
      <c r="AO71" s="53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2:55" ht="18" customHeight="1" thickBot="1">
      <c r="B72" s="57"/>
      <c r="C72" s="58"/>
      <c r="D72" s="58"/>
      <c r="E72" s="58"/>
      <c r="F72" s="58"/>
      <c r="G72" s="58"/>
      <c r="H72" s="58"/>
      <c r="I72" s="59"/>
      <c r="J72" s="58"/>
      <c r="K72" s="58"/>
      <c r="L72" s="58"/>
      <c r="M72" s="59"/>
      <c r="N72" s="58"/>
      <c r="O72" s="58"/>
      <c r="P72" s="58"/>
      <c r="Q72" s="58"/>
      <c r="R72" s="59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59"/>
      <c r="AD72" s="59"/>
      <c r="AE72" s="59"/>
      <c r="AF72" s="58"/>
      <c r="AG72" s="58"/>
      <c r="AH72" s="58"/>
      <c r="AI72" s="58"/>
      <c r="AJ72" s="58"/>
      <c r="AK72" s="58"/>
      <c r="AL72" s="58"/>
      <c r="AM72" s="58"/>
      <c r="AN72" s="58"/>
      <c r="AO72" s="60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2:55" ht="18" customHeight="1" thickBot="1">
      <c r="M73" s="124"/>
      <c r="N73" s="125"/>
      <c r="O73" s="125"/>
      <c r="P73" s="125"/>
      <c r="Q73" s="125"/>
      <c r="R73" s="124"/>
      <c r="S73" s="125"/>
      <c r="T73" s="125"/>
    </row>
    <row r="74" spans="2:55" ht="18" customHeight="1">
      <c r="P74" s="167" t="s">
        <v>146</v>
      </c>
      <c r="Q74" s="167"/>
    </row>
    <row r="84" spans="31:35" ht="18" customHeight="1">
      <c r="AE84" s="9"/>
      <c r="AF84" s="8"/>
      <c r="AG84" s="8"/>
      <c r="AH84" s="8"/>
      <c r="AI84" s="8"/>
    </row>
    <row r="85" spans="31:35" ht="18" customHeight="1">
      <c r="AE85" s="164"/>
      <c r="AF85" s="164"/>
      <c r="AG85" s="8"/>
      <c r="AH85" s="8"/>
      <c r="AI85" s="8"/>
    </row>
    <row r="86" spans="31:35" ht="18" customHeight="1">
      <c r="AE86" s="164"/>
      <c r="AF86" s="164"/>
      <c r="AG86" s="8"/>
      <c r="AH86" s="8"/>
      <c r="AI86" s="8"/>
    </row>
    <row r="87" spans="31:35" ht="18" customHeight="1">
      <c r="AE87" s="9"/>
      <c r="AF87" s="8"/>
      <c r="AG87" s="9"/>
      <c r="AH87" s="8"/>
      <c r="AI87" s="8"/>
    </row>
    <row r="88" spans="31:35" ht="18" customHeight="1">
      <c r="AE88" s="9"/>
      <c r="AF88" s="9"/>
      <c r="AG88" s="8"/>
      <c r="AH88" s="9"/>
      <c r="AI88" s="9"/>
    </row>
    <row r="107" spans="16:18" ht="18" customHeight="1">
      <c r="P107" s="132"/>
      <c r="Q107" s="132"/>
      <c r="R107" s="132"/>
    </row>
    <row r="108" spans="16:18" ht="18" customHeight="1">
      <c r="P108" s="132"/>
      <c r="Q108" s="132"/>
      <c r="R108" s="132"/>
    </row>
    <row r="109" spans="16:18" ht="18" customHeight="1">
      <c r="P109" s="132"/>
      <c r="Q109" s="132"/>
      <c r="R109" s="132"/>
    </row>
    <row r="110" spans="16:18" ht="18" customHeight="1">
      <c r="P110" s="132"/>
      <c r="Q110" s="132"/>
      <c r="R110" s="132"/>
    </row>
    <row r="111" spans="16:18" ht="18" customHeight="1">
      <c r="P111" s="132"/>
      <c r="Q111" s="132"/>
      <c r="R111" s="132"/>
    </row>
    <row r="112" spans="16:18" ht="18" customHeight="1">
      <c r="P112" s="132"/>
      <c r="Q112" s="132"/>
      <c r="R112" s="132"/>
    </row>
    <row r="113" spans="16:18" ht="18" customHeight="1">
      <c r="P113" s="132"/>
      <c r="Q113" s="132"/>
      <c r="R113" s="132"/>
    </row>
  </sheetData>
  <sheetProtection password="C3AF" sheet="1" objects="1" scenarios="1"/>
  <protectedRanges>
    <protectedRange password="C98D" sqref="H7 H9:H10 H13:H15 H17:H20 H24:H26 F30 AB24 AB27 AB38 AB41 Q9:Q10 Q13 Q18 X9:X10" name="Range1"/>
  </protectedRanges>
  <dataConsolidate/>
  <mergeCells count="26">
    <mergeCell ref="CE31:CF31"/>
    <mergeCell ref="H1:P1"/>
    <mergeCell ref="H3:M3"/>
    <mergeCell ref="BL6:BM6"/>
    <mergeCell ref="BL7:BM7"/>
    <mergeCell ref="W19:X19"/>
    <mergeCell ref="V18:W18"/>
    <mergeCell ref="V17:W17"/>
    <mergeCell ref="N7:Y7"/>
    <mergeCell ref="C5:H5"/>
    <mergeCell ref="AC7:AM7"/>
    <mergeCell ref="AL8:AM8"/>
    <mergeCell ref="BQ31:BR31"/>
    <mergeCell ref="BS31:BT31"/>
    <mergeCell ref="BY31:BZ31"/>
    <mergeCell ref="AE86:AF86"/>
    <mergeCell ref="AE85:AF85"/>
    <mergeCell ref="CA31:CB31"/>
    <mergeCell ref="CC31:CD31"/>
    <mergeCell ref="P74:Q74"/>
    <mergeCell ref="BM31:BN31"/>
    <mergeCell ref="BO31:BP31"/>
    <mergeCell ref="BU31:BV31"/>
    <mergeCell ref="BW31:BX31"/>
    <mergeCell ref="AA46:AC46"/>
    <mergeCell ref="Z43:AE43"/>
  </mergeCells>
  <dataValidations count="4">
    <dataValidation type="list" allowBlank="1" showInputMessage="1" showErrorMessage="1" sqref="AB38 AB24">
      <formula1>"2,3,4,5,6,7,8,9,10"</formula1>
    </dataValidation>
    <dataValidation type="list" allowBlank="1" showInputMessage="1" showErrorMessage="1" sqref="Q13 Q9 X9 Q18">
      <formula1>"6,9,12,15,16,19,20,25,28,32"</formula1>
    </dataValidation>
    <dataValidation type="list" allowBlank="1" showInputMessage="1" showErrorMessage="1" sqref="H17">
      <formula1>"0.15,0.20,0.25,0.30,0.35,0.40,0.45,0.50,0.55,0.60,0.65,0.70,0.75,0.80"</formula1>
    </dataValidation>
    <dataValidation type="list" allowBlank="1" showInputMessage="1" showErrorMessage="1" sqref="H18">
      <formula1>"0.20,0.25,0.30,0.35,0.40,0.45,0.50,0.55,0.60,0.65,0.70,0.75,0.80,0.85,0.90,0.95,1.00,1.10,1.20,1.30,1.40,150"</formula1>
    </dataValidation>
  </dataValidations>
  <pageMargins left="0.7" right="0.7" top="0.75" bottom="0.75" header="0.3" footer="0.3"/>
  <pageSetup paperSize="9" scale="17" fitToHeight="2" orientation="portrait" r:id="rId1"/>
  <ignoredErrors>
    <ignoredError sqref="AF13 CE10 BS33 BW33:BW34 BY33:BY34 CE33:CE34 BU33:BU34 CA33:CC34 BS38 BU36:BU42 BW36:BW42 BY36:BY42 CA36:CA42 CC36:CC42 CE36:CE42 CE11:CE19 CH45 CI50" formula="1"/>
    <ignoredError sqref="BL34 CD35 CB35 BZ35 BX35 BV35 BL35:BT35 BL36:BL42" formulaRange="1"/>
    <ignoredError sqref="CE35 CC35 CA35 BY35 BW35 BU35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Y47"/>
  <sheetViews>
    <sheetView topLeftCell="F25" zoomScale="82" zoomScaleNormal="82" workbookViewId="0">
      <selection activeCell="AG30" sqref="AG30"/>
    </sheetView>
  </sheetViews>
  <sheetFormatPr defaultColWidth="5.7109375" defaultRowHeight="23.25"/>
  <sheetData>
    <row r="3" spans="2:8">
      <c r="B3" s="158" t="s">
        <v>160</v>
      </c>
      <c r="C3" s="158"/>
      <c r="D3" s="158"/>
      <c r="E3" s="158"/>
      <c r="F3" s="158"/>
      <c r="G3" s="158"/>
      <c r="H3" s="158"/>
    </row>
    <row r="4" spans="2:8">
      <c r="B4" s="159">
        <v>1</v>
      </c>
      <c r="C4" t="s">
        <v>164</v>
      </c>
    </row>
    <row r="5" spans="2:8">
      <c r="B5">
        <v>1.1000000000000001</v>
      </c>
      <c r="C5" t="s">
        <v>161</v>
      </c>
    </row>
    <row r="6" spans="2:8">
      <c r="B6">
        <v>1.2</v>
      </c>
      <c r="C6" t="s">
        <v>162</v>
      </c>
    </row>
    <row r="7" spans="2:8">
      <c r="B7">
        <v>1.3</v>
      </c>
      <c r="C7" t="s">
        <v>163</v>
      </c>
    </row>
    <row r="8" spans="2:8" ht="24">
      <c r="B8">
        <v>1.4</v>
      </c>
      <c r="C8" t="s">
        <v>191</v>
      </c>
    </row>
    <row r="9" spans="2:8" ht="24">
      <c r="B9">
        <v>1.5</v>
      </c>
      <c r="C9" t="s">
        <v>192</v>
      </c>
    </row>
    <row r="10" spans="2:8" ht="24">
      <c r="B10">
        <v>1.6</v>
      </c>
      <c r="C10" t="s">
        <v>191</v>
      </c>
    </row>
    <row r="11" spans="2:8">
      <c r="B11" s="158" t="s">
        <v>180</v>
      </c>
      <c r="C11" s="158"/>
      <c r="D11" s="158"/>
      <c r="E11" s="158"/>
      <c r="F11" s="158"/>
    </row>
    <row r="12" spans="2:8">
      <c r="B12">
        <v>2.1</v>
      </c>
      <c r="C12" t="s">
        <v>9</v>
      </c>
    </row>
    <row r="13" spans="2:8">
      <c r="B13">
        <v>2.2000000000000002</v>
      </c>
      <c r="C13" t="s">
        <v>10</v>
      </c>
    </row>
    <row r="14" spans="2:8">
      <c r="B14">
        <v>2.2999999999999998</v>
      </c>
      <c r="C14" t="s">
        <v>167</v>
      </c>
    </row>
    <row r="15" spans="2:8">
      <c r="B15">
        <v>2.4</v>
      </c>
      <c r="C15" t="s">
        <v>93</v>
      </c>
    </row>
    <row r="16" spans="2:8">
      <c r="B16" s="158">
        <v>2</v>
      </c>
      <c r="C16" s="158" t="s">
        <v>165</v>
      </c>
      <c r="D16" s="158"/>
      <c r="E16" s="158"/>
      <c r="F16" s="158"/>
      <c r="G16" s="158"/>
      <c r="H16" s="158"/>
    </row>
    <row r="17" spans="2:19">
      <c r="B17">
        <v>2.1</v>
      </c>
      <c r="C17" t="s">
        <v>4</v>
      </c>
    </row>
    <row r="18" spans="2:19">
      <c r="B18">
        <v>2.2000000000000002</v>
      </c>
      <c r="C18" t="s">
        <v>5</v>
      </c>
    </row>
    <row r="19" spans="2:19">
      <c r="B19">
        <v>2.2999999999999998</v>
      </c>
      <c r="C19" t="s">
        <v>6</v>
      </c>
    </row>
    <row r="20" spans="2:19">
      <c r="B20" s="158">
        <v>3</v>
      </c>
      <c r="C20" s="158" t="s">
        <v>166</v>
      </c>
      <c r="D20" s="158"/>
      <c r="E20" s="158"/>
      <c r="F20" s="158"/>
      <c r="G20" s="158"/>
      <c r="H20" s="158"/>
      <c r="I20" s="158"/>
    </row>
    <row r="22" spans="2:19">
      <c r="C22" t="s">
        <v>204</v>
      </c>
    </row>
    <row r="23" spans="2:19">
      <c r="C23" t="s">
        <v>205</v>
      </c>
      <c r="S23" t="s">
        <v>203</v>
      </c>
    </row>
    <row r="25" spans="2:19">
      <c r="D25" s="158" t="s">
        <v>105</v>
      </c>
      <c r="E25" t="s">
        <v>168</v>
      </c>
    </row>
    <row r="26" spans="2:19">
      <c r="E26" t="s">
        <v>169</v>
      </c>
    </row>
    <row r="27" spans="2:19">
      <c r="E27" t="s">
        <v>170</v>
      </c>
    </row>
    <row r="28" spans="2:19">
      <c r="E28" t="s">
        <v>171</v>
      </c>
    </row>
    <row r="29" spans="2:19">
      <c r="E29" t="s">
        <v>172</v>
      </c>
    </row>
    <row r="30" spans="2:19">
      <c r="E30">
        <v>1</v>
      </c>
      <c r="F30" t="s">
        <v>173</v>
      </c>
    </row>
    <row r="31" spans="2:19">
      <c r="E31">
        <v>2</v>
      </c>
      <c r="F31" t="s">
        <v>174</v>
      </c>
      <c r="H31" t="s">
        <v>175</v>
      </c>
    </row>
    <row r="32" spans="2:19">
      <c r="D32" s="158" t="s">
        <v>104</v>
      </c>
      <c r="E32" t="s">
        <v>176</v>
      </c>
    </row>
    <row r="33" spans="2:25">
      <c r="E33" t="s">
        <v>177</v>
      </c>
    </row>
    <row r="34" spans="2:25">
      <c r="E34" t="s">
        <v>195</v>
      </c>
      <c r="L34" s="160"/>
      <c r="M34" s="160" t="s">
        <v>178</v>
      </c>
    </row>
    <row r="35" spans="2:25">
      <c r="F35" t="s">
        <v>194</v>
      </c>
    </row>
    <row r="36" spans="2:25">
      <c r="B36" t="s">
        <v>182</v>
      </c>
      <c r="D36" t="s">
        <v>181</v>
      </c>
    </row>
    <row r="37" spans="2:25">
      <c r="B37" t="s">
        <v>183</v>
      </c>
    </row>
    <row r="38" spans="2:25">
      <c r="B38" t="s">
        <v>184</v>
      </c>
      <c r="Y38" s="197" t="s">
        <v>208</v>
      </c>
    </row>
    <row r="39" spans="2:25">
      <c r="B39" t="s">
        <v>185</v>
      </c>
    </row>
    <row r="40" spans="2:25">
      <c r="B40" t="s">
        <v>186</v>
      </c>
      <c r="I40" s="194" t="s">
        <v>206</v>
      </c>
    </row>
    <row r="41" spans="2:25">
      <c r="B41" t="s">
        <v>187</v>
      </c>
      <c r="I41" s="195" t="s">
        <v>207</v>
      </c>
      <c r="J41" s="195"/>
      <c r="K41" s="195"/>
    </row>
    <row r="42" spans="2:25" ht="24">
      <c r="B42" t="s">
        <v>193</v>
      </c>
      <c r="H42" t="s">
        <v>188</v>
      </c>
    </row>
    <row r="46" spans="2:25">
      <c r="F46" t="s">
        <v>190</v>
      </c>
    </row>
    <row r="47" spans="2:25">
      <c r="F47" t="s">
        <v>189</v>
      </c>
    </row>
  </sheetData>
  <sheetProtection password="C3AF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2010-04-14T18:21:37Z</dcterms:created>
  <dcterms:modified xsi:type="dcterms:W3CDTF">2010-04-24T08:06:58Z</dcterms:modified>
</cp:coreProperties>
</file>