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dra\Desktop\"/>
    </mc:Choice>
  </mc:AlternateContent>
  <xr:revisionPtr revIDLastSave="0" documentId="13_ncr:1_{A4081870-FC84-4620-AA99-6BEF93C2C42B}" xr6:coauthVersionLast="45" xr6:coauthVersionMax="45" xr10:uidLastSave="{00000000-0000-0000-0000-000000000000}"/>
  <bookViews>
    <workbookView xWindow="1704" yWindow="1284" windowWidth="25728" windowHeight="12600" activeTab="1" xr2:uid="{8618C0E3-9463-4DF3-BED9-C4B897D6AAFB}"/>
  </bookViews>
  <sheets>
    <sheet name="Candelaria" sheetId="1" r:id="rId1"/>
    <sheet name="Eagle" sheetId="2" r:id="rId2"/>
    <sheet name="Neves-Corvo" sheetId="3" r:id="rId3"/>
    <sheet name="Zinkgruvan" sheetId="4" r:id="rId4"/>
    <sheet name="Chapad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E12" i="2"/>
  <c r="C12" i="2"/>
  <c r="D10" i="5" l="1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C10" i="5"/>
  <c r="D23" i="5"/>
  <c r="D24" i="5" s="1"/>
  <c r="E23" i="5"/>
  <c r="E24" i="5" s="1"/>
  <c r="F23" i="5"/>
  <c r="F24" i="5" s="1"/>
  <c r="G23" i="5"/>
  <c r="G24" i="5" s="1"/>
  <c r="H23" i="5"/>
  <c r="H24" i="5" s="1"/>
  <c r="I23" i="5"/>
  <c r="I24" i="5" s="1"/>
  <c r="J23" i="5"/>
  <c r="J24" i="5" s="1"/>
  <c r="K23" i="5"/>
  <c r="K24" i="5" s="1"/>
  <c r="L23" i="5"/>
  <c r="L24" i="5" s="1"/>
  <c r="M23" i="5"/>
  <c r="M24" i="5" s="1"/>
  <c r="N23" i="5"/>
  <c r="N24" i="5" s="1"/>
  <c r="O23" i="5"/>
  <c r="O24" i="5" s="1"/>
  <c r="P23" i="5"/>
  <c r="P24" i="5" s="1"/>
  <c r="Q23" i="5"/>
  <c r="Q24" i="5" s="1"/>
  <c r="R23" i="5"/>
  <c r="R24" i="5" s="1"/>
  <c r="C23" i="5"/>
  <c r="C24" i="5" s="1"/>
  <c r="C26" i="5" s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C20" i="5"/>
  <c r="L12" i="5"/>
  <c r="P12" i="5"/>
  <c r="Q12" i="5"/>
  <c r="D11" i="5"/>
  <c r="D12" i="5" s="1"/>
  <c r="E11" i="5"/>
  <c r="E12" i="5" s="1"/>
  <c r="F11" i="5"/>
  <c r="F12" i="5" s="1"/>
  <c r="G11" i="5"/>
  <c r="G12" i="5" s="1"/>
  <c r="H11" i="5"/>
  <c r="H12" i="5" s="1"/>
  <c r="I11" i="5"/>
  <c r="I12" i="5" s="1"/>
  <c r="J11" i="5"/>
  <c r="J12" i="5" s="1"/>
  <c r="K11" i="5"/>
  <c r="K12" i="5" s="1"/>
  <c r="L11" i="5"/>
  <c r="M11" i="5"/>
  <c r="M12" i="5" s="1"/>
  <c r="N11" i="5"/>
  <c r="N12" i="5" s="1"/>
  <c r="O11" i="5"/>
  <c r="O12" i="5" s="1"/>
  <c r="P11" i="5"/>
  <c r="Q11" i="5"/>
  <c r="R11" i="5"/>
  <c r="R12" i="5" s="1"/>
  <c r="C11" i="5"/>
  <c r="C12" i="5" s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C8" i="5"/>
  <c r="C11" i="4"/>
  <c r="D10" i="4"/>
  <c r="E10" i="4"/>
  <c r="F10" i="4"/>
  <c r="G10" i="4"/>
  <c r="H10" i="4"/>
  <c r="I10" i="4"/>
  <c r="J10" i="4"/>
  <c r="K10" i="4"/>
  <c r="C10" i="4"/>
  <c r="D8" i="4"/>
  <c r="E8" i="4"/>
  <c r="F8" i="4"/>
  <c r="G8" i="4"/>
  <c r="H8" i="4"/>
  <c r="I8" i="4"/>
  <c r="J8" i="4"/>
  <c r="K8" i="4"/>
  <c r="C8" i="4"/>
  <c r="D6" i="4"/>
  <c r="E6" i="4"/>
  <c r="F6" i="4"/>
  <c r="G6" i="4"/>
  <c r="H6" i="4"/>
  <c r="I6" i="4"/>
  <c r="J6" i="4"/>
  <c r="K6" i="4"/>
  <c r="C6" i="4"/>
  <c r="C5" i="3"/>
  <c r="G12" i="3"/>
  <c r="N5" i="3"/>
  <c r="N9" i="3" s="1"/>
  <c r="M5" i="3"/>
  <c r="M9" i="3" s="1"/>
  <c r="L5" i="3"/>
  <c r="L7" i="3" s="1"/>
  <c r="K5" i="3"/>
  <c r="K9" i="3" s="1"/>
  <c r="J5" i="3"/>
  <c r="J9" i="3" s="1"/>
  <c r="I5" i="3"/>
  <c r="I9" i="3" s="1"/>
  <c r="H5" i="3"/>
  <c r="H7" i="3" s="1"/>
  <c r="G5" i="3"/>
  <c r="G9" i="3" s="1"/>
  <c r="F5" i="3"/>
  <c r="F9" i="3" s="1"/>
  <c r="E5" i="3"/>
  <c r="E9" i="3" s="1"/>
  <c r="D5" i="3"/>
  <c r="D7" i="3" s="1"/>
  <c r="C7" i="3"/>
  <c r="C14" i="2"/>
  <c r="D14" i="2"/>
  <c r="E14" i="2"/>
  <c r="D13" i="2"/>
  <c r="E13" i="2"/>
  <c r="C13" i="2"/>
  <c r="D11" i="2"/>
  <c r="E11" i="2"/>
  <c r="C11" i="2"/>
  <c r="H5" i="2"/>
  <c r="G5" i="2"/>
  <c r="F5" i="2"/>
  <c r="E5" i="2"/>
  <c r="D5" i="2"/>
  <c r="C5" i="2"/>
  <c r="C15" i="2" l="1"/>
  <c r="C17" i="2" s="1"/>
  <c r="C14" i="5"/>
  <c r="C28" i="5" s="1"/>
  <c r="C9" i="3"/>
  <c r="C10" i="3" s="1"/>
  <c r="C11" i="3" s="1"/>
  <c r="C12" i="3" s="1"/>
  <c r="I7" i="3"/>
  <c r="I10" i="3" s="1"/>
  <c r="I11" i="3" s="1"/>
  <c r="I12" i="3" s="1"/>
  <c r="M7" i="3"/>
  <c r="M10" i="3" s="1"/>
  <c r="M11" i="3" s="1"/>
  <c r="M12" i="3" s="1"/>
  <c r="D9" i="3"/>
  <c r="D10" i="3" s="1"/>
  <c r="D11" i="3" s="1"/>
  <c r="D12" i="3" s="1"/>
  <c r="H9" i="3"/>
  <c r="E7" i="3"/>
  <c r="E10" i="3" s="1"/>
  <c r="E11" i="3" s="1"/>
  <c r="E12" i="3" s="1"/>
  <c r="L9" i="3"/>
  <c r="L10" i="3" s="1"/>
  <c r="L11" i="3" s="1"/>
  <c r="L12" i="3" s="1"/>
  <c r="H10" i="3"/>
  <c r="H11" i="3" s="1"/>
  <c r="H12" i="3" s="1"/>
  <c r="F7" i="3"/>
  <c r="F10" i="3" s="1"/>
  <c r="F11" i="3" s="1"/>
  <c r="F12" i="3" s="1"/>
  <c r="J7" i="3"/>
  <c r="J10" i="3" s="1"/>
  <c r="J11" i="3" s="1"/>
  <c r="J12" i="3" s="1"/>
  <c r="N7" i="3"/>
  <c r="N10" i="3" s="1"/>
  <c r="N11" i="3" s="1"/>
  <c r="N12" i="3" s="1"/>
  <c r="G7" i="3"/>
  <c r="G10" i="3" s="1"/>
  <c r="G11" i="3" s="1"/>
  <c r="K7" i="3"/>
  <c r="K10" i="3" s="1"/>
  <c r="K11" i="3" s="1"/>
  <c r="K12" i="3" s="1"/>
  <c r="C6" i="2"/>
  <c r="D14" i="3" l="1"/>
  <c r="R9" i="1" l="1"/>
  <c r="R10" i="1" s="1"/>
  <c r="R11" i="1" s="1"/>
  <c r="R12" i="1" s="1"/>
  <c r="Q9" i="1"/>
  <c r="N9" i="1"/>
  <c r="N10" i="1" s="1"/>
  <c r="N11" i="1" s="1"/>
  <c r="N12" i="1" s="1"/>
  <c r="M9" i="1"/>
  <c r="M10" i="1" s="1"/>
  <c r="M11" i="1" s="1"/>
  <c r="M12" i="1" s="1"/>
  <c r="J9" i="1"/>
  <c r="J10" i="1" s="1"/>
  <c r="J11" i="1" s="1"/>
  <c r="J12" i="1" s="1"/>
  <c r="I9" i="1"/>
  <c r="F9" i="1"/>
  <c r="F10" i="1" s="1"/>
  <c r="F11" i="1" s="1"/>
  <c r="F12" i="1" s="1"/>
  <c r="E9" i="1"/>
  <c r="E10" i="1" s="1"/>
  <c r="E11" i="1" s="1"/>
  <c r="E12" i="1" s="1"/>
  <c r="S8" i="1"/>
  <c r="R8" i="1"/>
  <c r="Q8" i="1"/>
  <c r="P8" i="1"/>
  <c r="O8" i="1"/>
  <c r="N8" i="1"/>
  <c r="M8" i="1"/>
  <c r="L8" i="1"/>
  <c r="K8" i="1"/>
  <c r="J8" i="1"/>
  <c r="I8" i="1"/>
  <c r="H8" i="1"/>
  <c r="R7" i="1"/>
  <c r="N7" i="1"/>
  <c r="J7" i="1"/>
  <c r="F7" i="1"/>
  <c r="S5" i="1"/>
  <c r="S9" i="1" s="1"/>
  <c r="R5" i="1"/>
  <c r="Q5" i="1"/>
  <c r="Q7" i="1" s="1"/>
  <c r="P5" i="1"/>
  <c r="P9" i="1" s="1"/>
  <c r="O5" i="1"/>
  <c r="O7" i="1" s="1"/>
  <c r="N5" i="1"/>
  <c r="M5" i="1"/>
  <c r="M7" i="1" s="1"/>
  <c r="L5" i="1"/>
  <c r="L9" i="1" s="1"/>
  <c r="K5" i="1"/>
  <c r="K9" i="1" s="1"/>
  <c r="J5" i="1"/>
  <c r="I5" i="1"/>
  <c r="I7" i="1" s="1"/>
  <c r="H5" i="1"/>
  <c r="H9" i="1" s="1"/>
  <c r="G5" i="1"/>
  <c r="G7" i="1" s="1"/>
  <c r="F5" i="1"/>
  <c r="E5" i="1"/>
  <c r="E7" i="1" s="1"/>
  <c r="D5" i="1"/>
  <c r="D9" i="1" s="1"/>
  <c r="C5" i="1"/>
  <c r="C9" i="1" s="1"/>
  <c r="D10" i="1" l="1"/>
  <c r="H10" i="1"/>
  <c r="H11" i="1" s="1"/>
  <c r="H12" i="1" s="1"/>
  <c r="L10" i="1"/>
  <c r="L11" i="1" s="1"/>
  <c r="L12" i="1" s="1"/>
  <c r="I10" i="1"/>
  <c r="I11" i="1" s="1"/>
  <c r="I12" i="1" s="1"/>
  <c r="Q10" i="1"/>
  <c r="Q11" i="1" s="1"/>
  <c r="Q12" i="1" s="1"/>
  <c r="C7" i="1"/>
  <c r="C10" i="1" s="1"/>
  <c r="K7" i="1"/>
  <c r="K10" i="1" s="1"/>
  <c r="K11" i="1" s="1"/>
  <c r="K12" i="1" s="1"/>
  <c r="S7" i="1"/>
  <c r="S10" i="1" s="1"/>
  <c r="S11" i="1" s="1"/>
  <c r="S12" i="1" s="1"/>
  <c r="D7" i="1"/>
  <c r="H7" i="1"/>
  <c r="L7" i="1"/>
  <c r="P7" i="1"/>
  <c r="P10" i="1" s="1"/>
  <c r="P11" i="1" s="1"/>
  <c r="P12" i="1" s="1"/>
  <c r="G9" i="1"/>
  <c r="G10" i="1" s="1"/>
  <c r="G11" i="1" s="1"/>
  <c r="G12" i="1" s="1"/>
  <c r="O9" i="1"/>
  <c r="O10" i="1" s="1"/>
  <c r="O11" i="1" s="1"/>
  <c r="O12" i="1" s="1"/>
  <c r="C11" i="1" l="1"/>
  <c r="D11" i="1" s="1"/>
  <c r="D12" i="1" s="1"/>
  <c r="C12" i="1" l="1"/>
  <c r="D14" i="1" s="1"/>
  <c r="D16" i="1" s="1"/>
</calcChain>
</file>

<file path=xl/sharedStrings.xml><?xml version="1.0" encoding="utf-8"?>
<sst xmlns="http://schemas.openxmlformats.org/spreadsheetml/2006/main" count="73" uniqueCount="39">
  <si>
    <t>cena</t>
  </si>
  <si>
    <t>produkce</t>
  </si>
  <si>
    <t>produkce (pounds)</t>
  </si>
  <si>
    <t>Náklady / pound</t>
  </si>
  <si>
    <t>Variabilní náklady</t>
  </si>
  <si>
    <t>CAPEX</t>
  </si>
  <si>
    <t>Tržby</t>
  </si>
  <si>
    <t>Cash flow</t>
  </si>
  <si>
    <t>CF po zdanění</t>
  </si>
  <si>
    <t>Současná hodnota (15%)</t>
  </si>
  <si>
    <t>Suma současné hodnoty</t>
  </si>
  <si>
    <t>Výsledná současná hodnota</t>
  </si>
  <si>
    <t>rok</t>
  </si>
  <si>
    <t>vlastnictví</t>
  </si>
  <si>
    <t>cash flow</t>
  </si>
  <si>
    <t>současná hodnota</t>
  </si>
  <si>
    <t>celkem</t>
  </si>
  <si>
    <t>měď</t>
  </si>
  <si>
    <t>nikl</t>
  </si>
  <si>
    <t>tržby</t>
  </si>
  <si>
    <t>po zdanění</t>
  </si>
  <si>
    <t>CELKEM</t>
  </si>
  <si>
    <t>zinek</t>
  </si>
  <si>
    <t>náklady</t>
  </si>
  <si>
    <t>produkce 77kt ročně na 9 let</t>
  </si>
  <si>
    <t>cash flow po zdan.</t>
  </si>
  <si>
    <t>současná hodnota 15%</t>
  </si>
  <si>
    <t>současná hodnota celkem</t>
  </si>
  <si>
    <t>produkce ročně 28.5 kt mědi</t>
  </si>
  <si>
    <t>náklady 1.1</t>
  </si>
  <si>
    <t>capex 25 m</t>
  </si>
  <si>
    <t>průzkum 4m</t>
  </si>
  <si>
    <t>roky</t>
  </si>
  <si>
    <t>zlato</t>
  </si>
  <si>
    <t>jednotkové náklady</t>
  </si>
  <si>
    <t>capex</t>
  </si>
  <si>
    <t>součet souč hodnoty</t>
  </si>
  <si>
    <t>produkce v tis.</t>
  </si>
  <si>
    <t>cena niklu 9.4 minus 2.2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</si>
</sst>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9" fontId="0" fillId="0" borderId="0" xfId="0" applyNumberFormat="1"/>
    <xf numFmtId="3" fontId="0" fillId="2" borderId="0" xfId="0" applyNumberFormat="1" applyFill="1"/>
    <xf numFmtId="3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7BCE-E791-493C-AF29-C8ECBE5189F8}">
  <dimension ref="A2:BD16"/>
  <sheetViews>
    <sheetView workbookViewId="0">
      <selection activeCell="B3" sqref="B3"/>
    </sheetView>
  </sheetViews>
  <sheetFormatPr defaultRowHeight="14.4" x14ac:dyDescent="0.3"/>
  <cols>
    <col min="1" max="1" width="23.88671875" bestFit="1" customWidth="1"/>
    <col min="3" max="3" width="10.88671875" bestFit="1" customWidth="1"/>
    <col min="4" max="4" width="12.33203125" bestFit="1" customWidth="1"/>
    <col min="5" max="7" width="10.88671875" bestFit="1" customWidth="1"/>
    <col min="8" max="9" width="12.33203125" bestFit="1" customWidth="1"/>
    <col min="10" max="19" width="10.88671875" bestFit="1" customWidth="1"/>
  </cols>
  <sheetData>
    <row r="2" spans="1:56" x14ac:dyDescent="0.3">
      <c r="A2" t="s">
        <v>0</v>
      </c>
      <c r="B2">
        <v>3.2</v>
      </c>
    </row>
    <row r="3" spans="1:56" x14ac:dyDescent="0.3">
      <c r="A3" t="s">
        <v>12</v>
      </c>
      <c r="C3">
        <v>2019</v>
      </c>
      <c r="D3">
        <v>2020</v>
      </c>
      <c r="E3">
        <v>2021</v>
      </c>
      <c r="F3">
        <v>2022</v>
      </c>
      <c r="G3">
        <v>2023</v>
      </c>
      <c r="H3">
        <v>2024</v>
      </c>
      <c r="I3">
        <v>2025</v>
      </c>
      <c r="J3">
        <v>2026</v>
      </c>
      <c r="K3">
        <v>2027</v>
      </c>
      <c r="L3">
        <v>2028</v>
      </c>
      <c r="M3">
        <v>2029</v>
      </c>
      <c r="N3">
        <v>2030</v>
      </c>
      <c r="O3">
        <v>2031</v>
      </c>
      <c r="P3">
        <v>2032</v>
      </c>
      <c r="Q3">
        <v>2033</v>
      </c>
      <c r="R3">
        <v>2034</v>
      </c>
      <c r="S3">
        <v>2035</v>
      </c>
    </row>
    <row r="4" spans="1:56" x14ac:dyDescent="0.3">
      <c r="A4" t="s">
        <v>1</v>
      </c>
      <c r="C4">
        <v>167</v>
      </c>
      <c r="D4">
        <v>184</v>
      </c>
      <c r="E4">
        <v>137</v>
      </c>
      <c r="F4">
        <v>152</v>
      </c>
      <c r="G4">
        <v>172</v>
      </c>
      <c r="H4">
        <v>178</v>
      </c>
      <c r="I4">
        <v>189</v>
      </c>
      <c r="J4">
        <v>156</v>
      </c>
      <c r="K4">
        <v>165</v>
      </c>
      <c r="L4">
        <v>159</v>
      </c>
      <c r="M4">
        <v>174</v>
      </c>
      <c r="N4">
        <v>127</v>
      </c>
      <c r="O4">
        <v>94</v>
      </c>
      <c r="P4">
        <v>103</v>
      </c>
      <c r="Q4">
        <v>115</v>
      </c>
      <c r="R4">
        <v>57</v>
      </c>
      <c r="S4">
        <v>66</v>
      </c>
    </row>
    <row r="5" spans="1:56" x14ac:dyDescent="0.3">
      <c r="A5" t="s">
        <v>2</v>
      </c>
      <c r="C5" s="1">
        <f>C4*2204622.6218</f>
        <v>368171977.84059995</v>
      </c>
      <c r="D5" s="1">
        <f t="shared" ref="D5:S5" si="0">D4*2204622.6218</f>
        <v>405650562.41119999</v>
      </c>
      <c r="E5" s="1">
        <f t="shared" si="0"/>
        <v>302033299.18659997</v>
      </c>
      <c r="F5" s="1">
        <f t="shared" si="0"/>
        <v>335102638.51359999</v>
      </c>
      <c r="G5" s="1">
        <f t="shared" si="0"/>
        <v>379195090.94959998</v>
      </c>
      <c r="H5" s="1">
        <f t="shared" si="0"/>
        <v>392422826.68039995</v>
      </c>
      <c r="I5" s="1">
        <f t="shared" si="0"/>
        <v>416673675.52019995</v>
      </c>
      <c r="J5" s="1">
        <f t="shared" si="0"/>
        <v>343921129.00079995</v>
      </c>
      <c r="K5" s="1">
        <f t="shared" si="0"/>
        <v>363762732.597</v>
      </c>
      <c r="L5" s="1">
        <f t="shared" si="0"/>
        <v>350534996.86619997</v>
      </c>
      <c r="M5" s="1">
        <f t="shared" si="0"/>
        <v>383604336.19319999</v>
      </c>
      <c r="N5" s="1">
        <f t="shared" si="0"/>
        <v>279987072.96859998</v>
      </c>
      <c r="O5" s="1">
        <f t="shared" si="0"/>
        <v>207234526.44919997</v>
      </c>
      <c r="P5" s="1">
        <f t="shared" si="0"/>
        <v>227076130.04539999</v>
      </c>
      <c r="Q5" s="1">
        <f t="shared" si="0"/>
        <v>253531601.50699997</v>
      </c>
      <c r="R5" s="1">
        <f t="shared" si="0"/>
        <v>125663489.4426</v>
      </c>
      <c r="S5" s="1">
        <f t="shared" si="0"/>
        <v>145505093.0388</v>
      </c>
    </row>
    <row r="6" spans="1:56" x14ac:dyDescent="0.3">
      <c r="A6" t="s">
        <v>3</v>
      </c>
      <c r="C6">
        <v>1.74</v>
      </c>
      <c r="D6">
        <v>1.46</v>
      </c>
      <c r="E6">
        <v>1.36</v>
      </c>
      <c r="F6">
        <v>1.29</v>
      </c>
      <c r="G6">
        <v>1.44</v>
      </c>
      <c r="H6">
        <v>1.44</v>
      </c>
      <c r="I6">
        <v>1.44</v>
      </c>
      <c r="J6">
        <v>1.44</v>
      </c>
      <c r="K6">
        <v>1.44</v>
      </c>
      <c r="L6">
        <v>1.44</v>
      </c>
      <c r="M6">
        <v>1.37</v>
      </c>
      <c r="N6">
        <v>1.37</v>
      </c>
      <c r="O6">
        <v>1.37</v>
      </c>
      <c r="P6">
        <v>1.37</v>
      </c>
      <c r="Q6">
        <v>1.37</v>
      </c>
      <c r="R6">
        <v>1.41</v>
      </c>
      <c r="S6">
        <v>1.41</v>
      </c>
    </row>
    <row r="7" spans="1:56" x14ac:dyDescent="0.3">
      <c r="A7" t="s">
        <v>4</v>
      </c>
      <c r="C7" s="1">
        <f>C5*C6</f>
        <v>640619241.44264388</v>
      </c>
      <c r="D7" s="1">
        <f t="shared" ref="D7:S7" si="1">D5*D6</f>
        <v>592249821.12035191</v>
      </c>
      <c r="E7" s="1">
        <f t="shared" si="1"/>
        <v>410765286.893776</v>
      </c>
      <c r="F7" s="1">
        <f t="shared" si="1"/>
        <v>432282403.68254399</v>
      </c>
      <c r="G7" s="1">
        <f t="shared" si="1"/>
        <v>546040930.96742392</v>
      </c>
      <c r="H7" s="1">
        <f t="shared" si="1"/>
        <v>565088870.41977596</v>
      </c>
      <c r="I7" s="1">
        <f t="shared" si="1"/>
        <v>600010092.74908793</v>
      </c>
      <c r="J7" s="1">
        <f t="shared" si="1"/>
        <v>495246425.76115191</v>
      </c>
      <c r="K7" s="1">
        <f t="shared" si="1"/>
        <v>523818334.93967998</v>
      </c>
      <c r="L7" s="1">
        <f t="shared" si="1"/>
        <v>504770395.48732793</v>
      </c>
      <c r="M7" s="1">
        <f t="shared" si="1"/>
        <v>525537940.58468401</v>
      </c>
      <c r="N7" s="1">
        <f t="shared" si="1"/>
        <v>383582289.96698201</v>
      </c>
      <c r="O7" s="1">
        <f t="shared" si="1"/>
        <v>283911301.23540401</v>
      </c>
      <c r="P7" s="1">
        <f t="shared" si="1"/>
        <v>311094298.16219801</v>
      </c>
      <c r="Q7" s="1">
        <f t="shared" si="1"/>
        <v>347338294.06458998</v>
      </c>
      <c r="R7" s="1">
        <f t="shared" si="1"/>
        <v>177185520.11406597</v>
      </c>
      <c r="S7" s="1">
        <f t="shared" si="1"/>
        <v>205162181.184708</v>
      </c>
    </row>
    <row r="8" spans="1:56" x14ac:dyDescent="0.3">
      <c r="A8" t="s">
        <v>5</v>
      </c>
      <c r="C8" s="1">
        <v>350000000</v>
      </c>
      <c r="D8" s="1">
        <v>230100000</v>
      </c>
      <c r="E8" s="1">
        <v>218100000</v>
      </c>
      <c r="F8" s="1">
        <v>262500000</v>
      </c>
      <c r="G8" s="1">
        <v>158600000</v>
      </c>
      <c r="H8" s="1">
        <f>860200000/5</f>
        <v>172040000</v>
      </c>
      <c r="I8" s="1">
        <f t="shared" ref="I8:L8" si="2">860200000/5</f>
        <v>172040000</v>
      </c>
      <c r="J8" s="1">
        <f t="shared" si="2"/>
        <v>172040000</v>
      </c>
      <c r="K8" s="1">
        <f t="shared" si="2"/>
        <v>172040000</v>
      </c>
      <c r="L8" s="1">
        <f t="shared" si="2"/>
        <v>172040000</v>
      </c>
      <c r="M8" s="1">
        <f>180300000/4</f>
        <v>45075000</v>
      </c>
      <c r="N8" s="1">
        <f t="shared" ref="N8:P8" si="3">180300000/4</f>
        <v>45075000</v>
      </c>
      <c r="O8" s="1">
        <f t="shared" si="3"/>
        <v>45075000</v>
      </c>
      <c r="P8" s="1">
        <f t="shared" si="3"/>
        <v>45075000</v>
      </c>
      <c r="Q8" s="1">
        <f>35000000/7</f>
        <v>5000000</v>
      </c>
      <c r="R8" s="1">
        <f t="shared" ref="R8:S8" si="4">35000000/7</f>
        <v>5000000</v>
      </c>
      <c r="S8" s="1">
        <f t="shared" si="4"/>
        <v>5000000</v>
      </c>
    </row>
    <row r="9" spans="1:56" x14ac:dyDescent="0.3">
      <c r="A9" t="s">
        <v>6</v>
      </c>
      <c r="C9" s="1">
        <f>$B$2*C5</f>
        <v>1178150329.0899198</v>
      </c>
      <c r="D9" s="1">
        <f t="shared" ref="D9:S9" si="5">$B$2*D5</f>
        <v>1298081799.7158401</v>
      </c>
      <c r="E9" s="1">
        <f t="shared" si="5"/>
        <v>966506557.39712</v>
      </c>
      <c r="F9" s="1">
        <f t="shared" si="5"/>
        <v>1072328443.24352</v>
      </c>
      <c r="G9" s="1">
        <f t="shared" si="5"/>
        <v>1213424291.0387199</v>
      </c>
      <c r="H9" s="1">
        <f t="shared" si="5"/>
        <v>1255753045.37728</v>
      </c>
      <c r="I9" s="1">
        <f t="shared" si="5"/>
        <v>1333355761.6646399</v>
      </c>
      <c r="J9" s="1">
        <f t="shared" si="5"/>
        <v>1100547612.8025599</v>
      </c>
      <c r="K9" s="1">
        <f t="shared" si="5"/>
        <v>1164040744.3104</v>
      </c>
      <c r="L9" s="1">
        <f t="shared" si="5"/>
        <v>1121711989.9718399</v>
      </c>
      <c r="M9" s="1">
        <f t="shared" si="5"/>
        <v>1227533875.8182399</v>
      </c>
      <c r="N9" s="1">
        <f t="shared" si="5"/>
        <v>895958633.49951994</v>
      </c>
      <c r="O9" s="1">
        <f t="shared" si="5"/>
        <v>663150484.63743997</v>
      </c>
      <c r="P9" s="1">
        <f t="shared" si="5"/>
        <v>726643616.14528</v>
      </c>
      <c r="Q9" s="1">
        <f t="shared" si="5"/>
        <v>811301124.82239997</v>
      </c>
      <c r="R9" s="1">
        <f t="shared" si="5"/>
        <v>402123166.21632004</v>
      </c>
      <c r="S9" s="1">
        <f t="shared" si="5"/>
        <v>465616297.72416002</v>
      </c>
    </row>
    <row r="10" spans="1:56" x14ac:dyDescent="0.3">
      <c r="A10" t="s">
        <v>7</v>
      </c>
      <c r="C10" s="1">
        <f>C9-(C7+C8)</f>
        <v>187531087.64727592</v>
      </c>
      <c r="D10" s="1">
        <f t="shared" ref="D10:S10" si="6">D9-(D7+D8)</f>
        <v>475731978.59548819</v>
      </c>
      <c r="E10" s="1">
        <f t="shared" si="6"/>
        <v>337641270.50334406</v>
      </c>
      <c r="F10" s="1">
        <f t="shared" si="6"/>
        <v>377546039.56097603</v>
      </c>
      <c r="G10" s="1">
        <f t="shared" si="6"/>
        <v>508783360.07129598</v>
      </c>
      <c r="H10" s="1">
        <f t="shared" si="6"/>
        <v>518624174.95750403</v>
      </c>
      <c r="I10" s="1">
        <f t="shared" si="6"/>
        <v>561305668.91555202</v>
      </c>
      <c r="J10" s="1">
        <f t="shared" si="6"/>
        <v>433261187.04140794</v>
      </c>
      <c r="K10" s="1">
        <f t="shared" si="6"/>
        <v>468182409.37072003</v>
      </c>
      <c r="L10" s="1">
        <f t="shared" si="6"/>
        <v>444901594.48451197</v>
      </c>
      <c r="M10" s="1">
        <f t="shared" si="6"/>
        <v>656920935.23355591</v>
      </c>
      <c r="N10" s="1">
        <f t="shared" si="6"/>
        <v>467301343.53253794</v>
      </c>
      <c r="O10" s="1">
        <f t="shared" si="6"/>
        <v>334164183.40203595</v>
      </c>
      <c r="P10" s="1">
        <f t="shared" si="6"/>
        <v>370474317.983082</v>
      </c>
      <c r="Q10" s="1">
        <f t="shared" si="6"/>
        <v>458962830.75781</v>
      </c>
      <c r="R10" s="1">
        <f t="shared" si="6"/>
        <v>219937646.10225406</v>
      </c>
      <c r="S10" s="1">
        <f t="shared" si="6"/>
        <v>255454116.53945202</v>
      </c>
    </row>
    <row r="11" spans="1:56" x14ac:dyDescent="0.3">
      <c r="A11" t="s">
        <v>8</v>
      </c>
      <c r="C11" s="1">
        <f>C10</f>
        <v>187531087.64727592</v>
      </c>
      <c r="D11" s="1">
        <f>(D10+C11)*0.76</f>
        <v>504079930.34450072</v>
      </c>
      <c r="E11" s="1">
        <f t="shared" ref="D11:S11" si="7">E10*0.76</f>
        <v>256607365.5825415</v>
      </c>
      <c r="F11" s="1">
        <f t="shared" si="7"/>
        <v>286934990.06634176</v>
      </c>
      <c r="G11" s="1">
        <f t="shared" si="7"/>
        <v>386675353.65418494</v>
      </c>
      <c r="H11" s="1">
        <f t="shared" si="7"/>
        <v>394154372.96770304</v>
      </c>
      <c r="I11" s="1">
        <f t="shared" si="7"/>
        <v>426592308.37581956</v>
      </c>
      <c r="J11" s="1">
        <f t="shared" si="7"/>
        <v>329278502.15147007</v>
      </c>
      <c r="K11" s="1">
        <f t="shared" si="7"/>
        <v>355818631.12174726</v>
      </c>
      <c r="L11" s="1">
        <f t="shared" si="7"/>
        <v>338125211.80822909</v>
      </c>
      <c r="M11" s="1">
        <f t="shared" si="7"/>
        <v>499259910.77750248</v>
      </c>
      <c r="N11" s="1">
        <f t="shared" si="7"/>
        <v>355149021.08472884</v>
      </c>
      <c r="O11" s="1">
        <f t="shared" si="7"/>
        <v>253964779.38554734</v>
      </c>
      <c r="P11" s="1">
        <f t="shared" si="7"/>
        <v>281560481.66714233</v>
      </c>
      <c r="Q11" s="1">
        <f t="shared" si="7"/>
        <v>348811751.37593561</v>
      </c>
      <c r="R11" s="1">
        <f t="shared" si="7"/>
        <v>167152611.03771308</v>
      </c>
      <c r="S11" s="1">
        <f t="shared" si="7"/>
        <v>194145128.56998354</v>
      </c>
    </row>
    <row r="12" spans="1:56" x14ac:dyDescent="0.3">
      <c r="A12" t="s">
        <v>9</v>
      </c>
      <c r="C12" s="1">
        <f>PV(0.15, U12,,C11)*(-1)</f>
        <v>187531087.64727592</v>
      </c>
      <c r="D12" s="1">
        <f t="shared" ref="D12:S12" si="8">PV(0.15, V12,,D11)*(-1)</f>
        <v>438330374.21260935</v>
      </c>
      <c r="E12" s="1">
        <f t="shared" si="8"/>
        <v>194032034.46695012</v>
      </c>
      <c r="F12" s="1">
        <f t="shared" si="8"/>
        <v>188664413.62133104</v>
      </c>
      <c r="G12" s="1">
        <f t="shared" si="8"/>
        <v>221082888.44261423</v>
      </c>
      <c r="H12" s="1">
        <f t="shared" si="8"/>
        <v>195964384.35562712</v>
      </c>
      <c r="I12" s="1">
        <f t="shared" si="8"/>
        <v>184427627.11447939</v>
      </c>
      <c r="J12" s="1">
        <f t="shared" si="8"/>
        <v>123787985.40913336</v>
      </c>
      <c r="K12" s="1">
        <f t="shared" si="8"/>
        <v>116317741.68121433</v>
      </c>
      <c r="L12" s="1">
        <f t="shared" si="8"/>
        <v>96116288.28019236</v>
      </c>
      <c r="M12" s="1">
        <f t="shared" si="8"/>
        <v>123409414.32396592</v>
      </c>
      <c r="N12" s="1">
        <f t="shared" si="8"/>
        <v>76336875.135910481</v>
      </c>
      <c r="O12" s="1">
        <f t="shared" si="8"/>
        <v>47467833.162738018</v>
      </c>
      <c r="P12" s="1">
        <f t="shared" si="8"/>
        <v>45761449.768339664</v>
      </c>
      <c r="Q12" s="1">
        <f t="shared" si="8"/>
        <v>49297096.711755037</v>
      </c>
      <c r="R12" s="1">
        <f t="shared" si="8"/>
        <v>20542134.084207598</v>
      </c>
      <c r="S12" s="1">
        <f t="shared" si="8"/>
        <v>20747274.461506087</v>
      </c>
      <c r="U12">
        <v>0</v>
      </c>
      <c r="V12">
        <v>1</v>
      </c>
      <c r="W12">
        <v>2</v>
      </c>
      <c r="X12">
        <v>3</v>
      </c>
      <c r="Y12">
        <v>4</v>
      </c>
      <c r="Z12">
        <v>5</v>
      </c>
      <c r="AA12">
        <v>6</v>
      </c>
      <c r="AB12">
        <v>7</v>
      </c>
      <c r="AC12">
        <v>8</v>
      </c>
      <c r="AD12">
        <v>9</v>
      </c>
      <c r="AE12">
        <v>10</v>
      </c>
      <c r="AF12">
        <v>11</v>
      </c>
      <c r="AG12">
        <v>12</v>
      </c>
      <c r="AH12">
        <v>13</v>
      </c>
      <c r="AI12">
        <v>14</v>
      </c>
      <c r="AJ12">
        <v>15</v>
      </c>
      <c r="AK12">
        <v>16</v>
      </c>
      <c r="AL12">
        <v>17</v>
      </c>
      <c r="AM12">
        <v>18</v>
      </c>
      <c r="AN12">
        <v>19</v>
      </c>
      <c r="AO12">
        <v>20</v>
      </c>
      <c r="AP12">
        <v>21</v>
      </c>
      <c r="AQ12">
        <v>22</v>
      </c>
      <c r="AR12">
        <v>23</v>
      </c>
      <c r="AS12">
        <v>24</v>
      </c>
      <c r="AT12">
        <v>25</v>
      </c>
      <c r="AU12">
        <v>26</v>
      </c>
      <c r="AV12">
        <v>27</v>
      </c>
      <c r="AW12">
        <v>28</v>
      </c>
      <c r="AX12">
        <v>29</v>
      </c>
      <c r="AY12">
        <v>30</v>
      </c>
      <c r="AZ12">
        <v>31</v>
      </c>
      <c r="BA12">
        <v>32</v>
      </c>
      <c r="BB12">
        <v>33</v>
      </c>
      <c r="BC12">
        <v>34</v>
      </c>
      <c r="BD12">
        <v>35</v>
      </c>
    </row>
    <row r="14" spans="1:56" x14ac:dyDescent="0.3">
      <c r="A14" t="s">
        <v>10</v>
      </c>
      <c r="D14" s="1">
        <f>SUM(C12:S12)</f>
        <v>2329816902.8798494</v>
      </c>
    </row>
    <row r="15" spans="1:56" x14ac:dyDescent="0.3">
      <c r="A15" t="s">
        <v>13</v>
      </c>
      <c r="D15" s="2">
        <v>0.8</v>
      </c>
    </row>
    <row r="16" spans="1:56" x14ac:dyDescent="0.3">
      <c r="A16" t="s">
        <v>11</v>
      </c>
      <c r="D16" s="3">
        <f>D14*D15</f>
        <v>1863853522.3038797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BCA2-12BA-4905-AC9B-5C331023AFAD}">
  <dimension ref="A2:Q17"/>
  <sheetViews>
    <sheetView tabSelected="1" workbookViewId="0">
      <selection activeCell="C17" sqref="C17"/>
    </sheetView>
  </sheetViews>
  <sheetFormatPr defaultRowHeight="14.4" x14ac:dyDescent="0.3"/>
  <cols>
    <col min="3" max="3" width="16.5546875" bestFit="1" customWidth="1"/>
    <col min="4" max="5" width="15.88671875" bestFit="1" customWidth="1"/>
  </cols>
  <sheetData>
    <row r="2" spans="1:17" x14ac:dyDescent="0.3">
      <c r="A2" t="s">
        <v>17</v>
      </c>
    </row>
    <row r="3" spans="1:17" x14ac:dyDescent="0.3">
      <c r="C3">
        <v>2019</v>
      </c>
      <c r="D3">
        <v>2020</v>
      </c>
      <c r="E3">
        <v>2021</v>
      </c>
      <c r="F3">
        <v>2022</v>
      </c>
      <c r="G3">
        <v>2023</v>
      </c>
      <c r="H3">
        <v>2024</v>
      </c>
    </row>
    <row r="4" spans="1:17" x14ac:dyDescent="0.3">
      <c r="A4" t="s">
        <v>14</v>
      </c>
      <c r="C4">
        <v>-31</v>
      </c>
      <c r="D4">
        <v>37</v>
      </c>
      <c r="E4">
        <v>133</v>
      </c>
      <c r="F4">
        <v>183</v>
      </c>
      <c r="G4">
        <v>101</v>
      </c>
      <c r="H4">
        <v>-15</v>
      </c>
    </row>
    <row r="5" spans="1:17" x14ac:dyDescent="0.3">
      <c r="A5" t="s">
        <v>15</v>
      </c>
      <c r="C5">
        <f t="shared" ref="C5:G5" si="0">PV(0.15,L5,,C4)*-1</f>
        <v>-31</v>
      </c>
      <c r="D5">
        <f t="shared" si="0"/>
        <v>32.173913043478265</v>
      </c>
      <c r="E5">
        <f t="shared" si="0"/>
        <v>100.5671077504726</v>
      </c>
      <c r="F5">
        <f t="shared" si="0"/>
        <v>120.32547053505387</v>
      </c>
      <c r="G5">
        <f t="shared" si="0"/>
        <v>57.747077804896371</v>
      </c>
      <c r="H5">
        <f>PV(0.15,Q5,,H4)*-1</f>
        <v>-7.4576510294743485</v>
      </c>
      <c r="L5">
        <v>0</v>
      </c>
      <c r="M5">
        <v>1</v>
      </c>
      <c r="N5">
        <v>2</v>
      </c>
      <c r="O5">
        <v>3</v>
      </c>
      <c r="P5">
        <v>4</v>
      </c>
      <c r="Q5">
        <v>5</v>
      </c>
    </row>
    <row r="6" spans="1:17" x14ac:dyDescent="0.3">
      <c r="A6" t="s">
        <v>16</v>
      </c>
      <c r="C6">
        <f>SUM(C5:H5)</f>
        <v>272.35591810442679</v>
      </c>
    </row>
    <row r="7" spans="1:17" x14ac:dyDescent="0.3">
      <c r="C7" s="1"/>
      <c r="D7" s="1"/>
      <c r="E7" s="1"/>
      <c r="F7" s="1"/>
      <c r="G7" s="1"/>
      <c r="H7" s="1"/>
    </row>
    <row r="8" spans="1:17" x14ac:dyDescent="0.3">
      <c r="A8" t="s">
        <v>18</v>
      </c>
      <c r="C8" s="1"/>
      <c r="D8" s="1"/>
      <c r="E8" s="1"/>
      <c r="F8" s="1"/>
      <c r="G8" s="1"/>
      <c r="H8" s="1"/>
    </row>
    <row r="9" spans="1:17" x14ac:dyDescent="0.3">
      <c r="A9" t="s">
        <v>12</v>
      </c>
      <c r="C9" s="1">
        <v>2019</v>
      </c>
      <c r="D9" s="1">
        <v>2020</v>
      </c>
      <c r="E9" s="1">
        <v>2021</v>
      </c>
      <c r="F9" s="1"/>
      <c r="G9" s="1"/>
      <c r="H9" s="1"/>
    </row>
    <row r="10" spans="1:17" x14ac:dyDescent="0.3">
      <c r="A10" t="s">
        <v>1</v>
      </c>
      <c r="C10" s="1">
        <v>13</v>
      </c>
      <c r="D10" s="1">
        <v>17.5</v>
      </c>
      <c r="E10" s="1">
        <v>14.5</v>
      </c>
      <c r="F10" s="1"/>
      <c r="G10" s="1"/>
      <c r="H10" s="1"/>
    </row>
    <row r="11" spans="1:17" x14ac:dyDescent="0.3">
      <c r="A11" t="s">
        <v>2</v>
      </c>
      <c r="C11" s="1">
        <f>C10*2204622.6218</f>
        <v>28660094.083399996</v>
      </c>
      <c r="D11" s="1">
        <f t="shared" ref="D11:E11" si="1">D10*2204622.6218</f>
        <v>38580895.881499998</v>
      </c>
      <c r="E11" s="1">
        <f t="shared" si="1"/>
        <v>31967028.016099997</v>
      </c>
      <c r="F11" s="1"/>
      <c r="G11" s="1"/>
      <c r="H11" s="1"/>
    </row>
    <row r="12" spans="1:17" x14ac:dyDescent="0.3">
      <c r="A12" t="s">
        <v>14</v>
      </c>
      <c r="C12" s="1">
        <f>C11*7.2</f>
        <v>206352677.40047997</v>
      </c>
      <c r="D12" s="1">
        <f t="shared" ref="D12:E12" si="2">D11*7.2</f>
        <v>277782450.34679997</v>
      </c>
      <c r="E12" s="1">
        <f t="shared" si="2"/>
        <v>230162601.71591997</v>
      </c>
      <c r="F12" s="1"/>
      <c r="G12" s="1" t="s">
        <v>38</v>
      </c>
      <c r="H12" s="1"/>
    </row>
    <row r="13" spans="1:17" x14ac:dyDescent="0.3">
      <c r="A13" t="s">
        <v>20</v>
      </c>
      <c r="C13" s="1">
        <f>C12*0.79</f>
        <v>163018615.14637917</v>
      </c>
      <c r="D13" s="1">
        <f t="shared" ref="D13:E13" si="3">D12*0.79</f>
        <v>219448135.77397197</v>
      </c>
      <c r="E13" s="1">
        <f t="shared" si="3"/>
        <v>181828455.35557678</v>
      </c>
    </row>
    <row r="14" spans="1:17" x14ac:dyDescent="0.3">
      <c r="A14" t="s">
        <v>15</v>
      </c>
      <c r="C14" s="1">
        <f t="shared" ref="C14" si="4">PV(0.15,L5,,C13)*(-1)</f>
        <v>163018615.14637917</v>
      </c>
      <c r="D14" s="1">
        <f t="shared" ref="D14" si="5">PV(0.15,M5,,D13)*(-1)</f>
        <v>190824465.89041042</v>
      </c>
      <c r="E14" s="1">
        <f t="shared" ref="E14" si="6">PV(0.15,N5,,E13)*(-1)</f>
        <v>137488435.05147585</v>
      </c>
    </row>
    <row r="15" spans="1:17" x14ac:dyDescent="0.3">
      <c r="A15" t="s">
        <v>16</v>
      </c>
      <c r="C15" s="1">
        <f>SUM(C14:E14)</f>
        <v>491331516.08826542</v>
      </c>
      <c r="D15" s="2"/>
    </row>
    <row r="16" spans="1:17" x14ac:dyDescent="0.3">
      <c r="D16" s="4"/>
    </row>
    <row r="17" spans="1:3" x14ac:dyDescent="0.3">
      <c r="A17" t="s">
        <v>21</v>
      </c>
      <c r="C17" s="3">
        <f>C6*1000000+C15</f>
        <v>763687434.19269228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2D44-B91B-4719-A468-6202E2705F08}">
  <dimension ref="A1:AY15"/>
  <sheetViews>
    <sheetView workbookViewId="0">
      <selection activeCell="T20" sqref="T20"/>
    </sheetView>
  </sheetViews>
  <sheetFormatPr defaultRowHeight="14.4" x14ac:dyDescent="0.3"/>
  <cols>
    <col min="1" max="1" width="23.88671875" bestFit="1" customWidth="1"/>
    <col min="2" max="2" width="4" bestFit="1" customWidth="1"/>
    <col min="3" max="3" width="11.5546875" bestFit="1" customWidth="1"/>
    <col min="4" max="4" width="13.109375" bestFit="1" customWidth="1"/>
    <col min="5" max="13" width="11.5546875" bestFit="1" customWidth="1"/>
    <col min="14" max="14" width="10.88671875" bestFit="1" customWidth="1"/>
  </cols>
  <sheetData>
    <row r="1" spans="1:51" x14ac:dyDescent="0.3">
      <c r="A1" t="s">
        <v>22</v>
      </c>
    </row>
    <row r="2" spans="1:51" x14ac:dyDescent="0.3">
      <c r="A2" t="s">
        <v>0</v>
      </c>
      <c r="B2">
        <v>1</v>
      </c>
    </row>
    <row r="3" spans="1:51" x14ac:dyDescent="0.3">
      <c r="A3" t="s">
        <v>12</v>
      </c>
      <c r="C3">
        <v>2019</v>
      </c>
      <c r="D3">
        <v>2020</v>
      </c>
      <c r="E3">
        <v>2021</v>
      </c>
      <c r="F3">
        <v>2022</v>
      </c>
      <c r="G3">
        <v>2023</v>
      </c>
      <c r="H3">
        <v>2024</v>
      </c>
      <c r="I3">
        <v>2025</v>
      </c>
      <c r="J3">
        <v>2026</v>
      </c>
      <c r="K3">
        <v>2027</v>
      </c>
      <c r="L3">
        <v>2028</v>
      </c>
      <c r="M3">
        <v>2029</v>
      </c>
      <c r="N3">
        <v>2030</v>
      </c>
    </row>
    <row r="4" spans="1:51" x14ac:dyDescent="0.3">
      <c r="A4" t="s">
        <v>1</v>
      </c>
      <c r="C4">
        <v>101</v>
      </c>
      <c r="D4">
        <v>150</v>
      </c>
      <c r="E4">
        <v>186</v>
      </c>
      <c r="F4">
        <v>153</v>
      </c>
      <c r="G4">
        <v>175</v>
      </c>
      <c r="H4">
        <v>166</v>
      </c>
      <c r="I4">
        <v>176</v>
      </c>
      <c r="J4">
        <v>142</v>
      </c>
      <c r="K4">
        <v>131</v>
      </c>
      <c r="L4">
        <v>129</v>
      </c>
      <c r="M4">
        <v>89</v>
      </c>
      <c r="N4">
        <v>74</v>
      </c>
    </row>
    <row r="5" spans="1:51" x14ac:dyDescent="0.3">
      <c r="A5" t="s">
        <v>2</v>
      </c>
      <c r="C5" s="1">
        <f>C4*2204622.6218</f>
        <v>222666884.80179998</v>
      </c>
      <c r="D5" s="1">
        <f t="shared" ref="D5:N5" si="0">D4*2204622.6218</f>
        <v>330693393.26999998</v>
      </c>
      <c r="E5" s="1">
        <f t="shared" si="0"/>
        <v>410059807.6548</v>
      </c>
      <c r="F5" s="1">
        <f t="shared" si="0"/>
        <v>337307261.1354</v>
      </c>
      <c r="G5" s="1">
        <f t="shared" si="0"/>
        <v>385808958.815</v>
      </c>
      <c r="H5" s="1">
        <f t="shared" si="0"/>
        <v>365967355.21879995</v>
      </c>
      <c r="I5" s="1">
        <f t="shared" si="0"/>
        <v>388013581.4368</v>
      </c>
      <c r="J5" s="1">
        <f t="shared" si="0"/>
        <v>313056412.2956</v>
      </c>
      <c r="K5" s="1">
        <f t="shared" si="0"/>
        <v>288805563.4558</v>
      </c>
      <c r="L5" s="1">
        <f t="shared" si="0"/>
        <v>284396318.21219999</v>
      </c>
      <c r="M5" s="1">
        <f t="shared" si="0"/>
        <v>196211413.34019998</v>
      </c>
      <c r="N5" s="1">
        <f t="shared" si="0"/>
        <v>163142074.01319999</v>
      </c>
    </row>
    <row r="6" spans="1:51" x14ac:dyDescent="0.3">
      <c r="A6" t="s">
        <v>3</v>
      </c>
      <c r="C6">
        <v>0.28999999999999998</v>
      </c>
      <c r="D6">
        <v>0.28999999999999998</v>
      </c>
      <c r="E6">
        <v>0.28999999999999998</v>
      </c>
      <c r="F6">
        <v>0.28999999999999998</v>
      </c>
      <c r="G6">
        <v>0.28999999999999998</v>
      </c>
      <c r="H6">
        <v>0.28999999999999998</v>
      </c>
      <c r="I6">
        <v>0.28999999999999998</v>
      </c>
      <c r="J6">
        <v>0.28999999999999998</v>
      </c>
      <c r="K6">
        <v>0.28999999999999998</v>
      </c>
      <c r="L6">
        <v>0.28999999999999998</v>
      </c>
      <c r="M6">
        <v>0.28999999999999998</v>
      </c>
      <c r="N6">
        <v>0.28999999999999998</v>
      </c>
    </row>
    <row r="7" spans="1:51" x14ac:dyDescent="0.3">
      <c r="A7" t="s">
        <v>4</v>
      </c>
      <c r="C7" s="1">
        <f>C5*C6</f>
        <v>64573396.592521988</v>
      </c>
      <c r="D7" s="1">
        <f t="shared" ref="D7:N7" si="1">D5*D6</f>
        <v>95901084.048299983</v>
      </c>
      <c r="E7" s="1">
        <f t="shared" si="1"/>
        <v>118917344.219892</v>
      </c>
      <c r="F7" s="1">
        <f t="shared" si="1"/>
        <v>97819105.729265988</v>
      </c>
      <c r="G7" s="1">
        <f t="shared" si="1"/>
        <v>111884598.05634999</v>
      </c>
      <c r="H7" s="1">
        <f t="shared" si="1"/>
        <v>106130533.01345198</v>
      </c>
      <c r="I7" s="1">
        <f t="shared" si="1"/>
        <v>112523938.61667199</v>
      </c>
      <c r="J7" s="1">
        <f t="shared" si="1"/>
        <v>90786359.565723985</v>
      </c>
      <c r="K7" s="1">
        <f t="shared" si="1"/>
        <v>83753613.402181998</v>
      </c>
      <c r="L7" s="1">
        <f t="shared" si="1"/>
        <v>82474932.281537995</v>
      </c>
      <c r="M7" s="1">
        <f t="shared" si="1"/>
        <v>56901309.868657991</v>
      </c>
      <c r="N7" s="1">
        <f t="shared" si="1"/>
        <v>47311201.46382799</v>
      </c>
    </row>
    <row r="8" spans="1:51" x14ac:dyDescent="0.3">
      <c r="A8" t="s">
        <v>5</v>
      </c>
      <c r="C8" s="1">
        <v>50000000</v>
      </c>
      <c r="D8" s="1">
        <v>50000000</v>
      </c>
      <c r="E8" s="1">
        <v>50000000</v>
      </c>
      <c r="F8" s="1">
        <v>50000000</v>
      </c>
      <c r="G8" s="1">
        <v>50000000</v>
      </c>
      <c r="H8" s="1">
        <v>50000000</v>
      </c>
      <c r="I8" s="1">
        <v>50000000</v>
      </c>
      <c r="J8" s="1">
        <v>50000000</v>
      </c>
      <c r="K8" s="1">
        <v>50000000</v>
      </c>
      <c r="L8" s="1">
        <v>50000000</v>
      </c>
      <c r="M8" s="1">
        <v>50000000</v>
      </c>
      <c r="N8" s="1">
        <v>50000000</v>
      </c>
    </row>
    <row r="9" spans="1:51" x14ac:dyDescent="0.3">
      <c r="A9" t="s">
        <v>6</v>
      </c>
      <c r="C9" s="1">
        <f>$B$2*C5</f>
        <v>222666884.80179998</v>
      </c>
      <c r="D9" s="1">
        <f t="shared" ref="D9:N9" si="2">$B$2*D5</f>
        <v>330693393.26999998</v>
      </c>
      <c r="E9" s="1">
        <f t="shared" si="2"/>
        <v>410059807.6548</v>
      </c>
      <c r="F9" s="1">
        <f t="shared" si="2"/>
        <v>337307261.1354</v>
      </c>
      <c r="G9" s="1">
        <f t="shared" si="2"/>
        <v>385808958.815</v>
      </c>
      <c r="H9" s="1">
        <f t="shared" si="2"/>
        <v>365967355.21879995</v>
      </c>
      <c r="I9" s="1">
        <f t="shared" si="2"/>
        <v>388013581.4368</v>
      </c>
      <c r="J9" s="1">
        <f t="shared" si="2"/>
        <v>313056412.2956</v>
      </c>
      <c r="K9" s="1">
        <f t="shared" si="2"/>
        <v>288805563.4558</v>
      </c>
      <c r="L9" s="1">
        <f t="shared" si="2"/>
        <v>284396318.21219999</v>
      </c>
      <c r="M9" s="1">
        <f t="shared" si="2"/>
        <v>196211413.34019998</v>
      </c>
      <c r="N9" s="1">
        <f t="shared" si="2"/>
        <v>163142074.01319999</v>
      </c>
    </row>
    <row r="10" spans="1:51" x14ac:dyDescent="0.3">
      <c r="A10" t="s">
        <v>7</v>
      </c>
      <c r="C10" s="1">
        <f>C9-(C7+C8)</f>
        <v>108093488.20927799</v>
      </c>
      <c r="D10" s="1">
        <f t="shared" ref="D10:N10" si="3">D9-(D7+D8)</f>
        <v>184792309.22170001</v>
      </c>
      <c r="E10" s="1">
        <f t="shared" si="3"/>
        <v>241142463.434908</v>
      </c>
      <c r="F10" s="1">
        <f t="shared" si="3"/>
        <v>189488155.40613401</v>
      </c>
      <c r="G10" s="1">
        <f t="shared" si="3"/>
        <v>223924360.75865</v>
      </c>
      <c r="H10" s="1">
        <f t="shared" si="3"/>
        <v>209836822.20534796</v>
      </c>
      <c r="I10" s="1">
        <f t="shared" si="3"/>
        <v>225489642.82012802</v>
      </c>
      <c r="J10" s="1">
        <f t="shared" si="3"/>
        <v>172270052.72987601</v>
      </c>
      <c r="K10" s="1">
        <f t="shared" si="3"/>
        <v>155051950.05361801</v>
      </c>
      <c r="L10" s="1">
        <f t="shared" si="3"/>
        <v>151921385.93066198</v>
      </c>
      <c r="M10" s="1">
        <f t="shared" si="3"/>
        <v>89310103.471541986</v>
      </c>
      <c r="N10" s="1">
        <f t="shared" si="3"/>
        <v>65830872.549371988</v>
      </c>
    </row>
    <row r="11" spans="1:51" x14ac:dyDescent="0.3">
      <c r="A11" t="s">
        <v>8</v>
      </c>
      <c r="C11" s="1">
        <f>C10*0.76</f>
        <v>82151051.039051265</v>
      </c>
      <c r="D11" s="1">
        <f t="shared" ref="D11:N11" si="4">D10*0.76</f>
        <v>140442155.00849202</v>
      </c>
      <c r="E11" s="1">
        <f t="shared" si="4"/>
        <v>183268272.21053007</v>
      </c>
      <c r="F11" s="1">
        <f t="shared" si="4"/>
        <v>144010998.10866186</v>
      </c>
      <c r="G11" s="1">
        <f t="shared" si="4"/>
        <v>170182514.17657399</v>
      </c>
      <c r="H11" s="1">
        <f t="shared" si="4"/>
        <v>159475984.87606445</v>
      </c>
      <c r="I11" s="1">
        <f t="shared" si="4"/>
        <v>171372128.54329729</v>
      </c>
      <c r="J11" s="1">
        <f t="shared" si="4"/>
        <v>130925240.07470576</v>
      </c>
      <c r="K11" s="1">
        <f t="shared" si="4"/>
        <v>117839482.0407497</v>
      </c>
      <c r="L11" s="1">
        <f t="shared" si="4"/>
        <v>115460253.3073031</v>
      </c>
      <c r="M11" s="1">
        <f t="shared" si="4"/>
        <v>67875678.638371915</v>
      </c>
      <c r="N11" s="1">
        <f t="shared" si="4"/>
        <v>50031463.137522712</v>
      </c>
    </row>
    <row r="12" spans="1:51" x14ac:dyDescent="0.3">
      <c r="A12" t="s">
        <v>9</v>
      </c>
      <c r="C12" s="1">
        <f t="shared" ref="C12:N12" si="5">PV(0.15, P12,,C11)*(-1)</f>
        <v>82151051.039051265</v>
      </c>
      <c r="D12" s="1">
        <f t="shared" si="5"/>
        <v>122123613.05086264</v>
      </c>
      <c r="E12" s="1">
        <f t="shared" si="5"/>
        <v>138577143.44841596</v>
      </c>
      <c r="F12" s="1">
        <f t="shared" si="5"/>
        <v>94689568.905177549</v>
      </c>
      <c r="G12" s="1">
        <f t="shared" si="5"/>
        <v>97302404.823638588</v>
      </c>
      <c r="H12" s="1">
        <f t="shared" si="5"/>
        <v>79287749.51916118</v>
      </c>
      <c r="I12" s="1">
        <f t="shared" si="5"/>
        <v>74088900.339369938</v>
      </c>
      <c r="J12" s="1">
        <f t="shared" si="5"/>
        <v>49219647.204905152</v>
      </c>
      <c r="K12" s="1">
        <f t="shared" si="5"/>
        <v>38521935.708234683</v>
      </c>
      <c r="L12" s="1">
        <f t="shared" si="5"/>
        <v>32821010.099900194</v>
      </c>
      <c r="M12" s="1">
        <f t="shared" si="5"/>
        <v>16777829.677048169</v>
      </c>
      <c r="N12" s="1">
        <f t="shared" si="5"/>
        <v>10753923.923909146</v>
      </c>
      <c r="P12">
        <v>0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>
        <v>14</v>
      </c>
      <c r="AE12">
        <v>15</v>
      </c>
      <c r="AF12">
        <v>16</v>
      </c>
      <c r="AG12">
        <v>17</v>
      </c>
      <c r="AH12">
        <v>18</v>
      </c>
      <c r="AI12">
        <v>19</v>
      </c>
      <c r="AJ12">
        <v>20</v>
      </c>
      <c r="AK12">
        <v>21</v>
      </c>
      <c r="AL12">
        <v>22</v>
      </c>
      <c r="AM12">
        <v>23</v>
      </c>
      <c r="AN12">
        <v>24</v>
      </c>
      <c r="AO12">
        <v>25</v>
      </c>
      <c r="AP12">
        <v>26</v>
      </c>
      <c r="AQ12">
        <v>27</v>
      </c>
      <c r="AR12">
        <v>28</v>
      </c>
      <c r="AS12">
        <v>29</v>
      </c>
      <c r="AT12">
        <v>30</v>
      </c>
      <c r="AU12">
        <v>31</v>
      </c>
      <c r="AV12">
        <v>32</v>
      </c>
      <c r="AW12">
        <v>33</v>
      </c>
      <c r="AX12">
        <v>34</v>
      </c>
      <c r="AY12">
        <v>35</v>
      </c>
    </row>
    <row r="14" spans="1:51" x14ac:dyDescent="0.3">
      <c r="A14" t="s">
        <v>10</v>
      </c>
      <c r="D14" s="3">
        <f>SUM(C12:N12)</f>
        <v>836314777.73967457</v>
      </c>
    </row>
    <row r="15" spans="1:51" x14ac:dyDescent="0.3">
      <c r="D15" s="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E91C-B11C-4036-BBBC-EDDB15C65214}">
  <dimension ref="A1:W11"/>
  <sheetViews>
    <sheetView workbookViewId="0">
      <selection activeCell="C11" sqref="C11"/>
    </sheetView>
  </sheetViews>
  <sheetFormatPr defaultRowHeight="14.4" x14ac:dyDescent="0.3"/>
  <cols>
    <col min="1" max="1" width="24.44140625" bestFit="1" customWidth="1"/>
    <col min="3" max="3" width="16" bestFit="1" customWidth="1"/>
    <col min="4" max="11" width="10.88671875" bestFit="1" customWidth="1"/>
  </cols>
  <sheetData>
    <row r="1" spans="1:23" x14ac:dyDescent="0.3">
      <c r="A1" t="s">
        <v>24</v>
      </c>
      <c r="D1" t="s">
        <v>22</v>
      </c>
      <c r="E1" t="s">
        <v>0</v>
      </c>
      <c r="F1">
        <v>1</v>
      </c>
    </row>
    <row r="2" spans="1:23" x14ac:dyDescent="0.3">
      <c r="A2" t="s">
        <v>23</v>
      </c>
      <c r="B2">
        <v>0.4</v>
      </c>
    </row>
    <row r="3" spans="1:23" x14ac:dyDescent="0.3">
      <c r="A3" t="s">
        <v>5</v>
      </c>
      <c r="B3">
        <v>53</v>
      </c>
    </row>
    <row r="5" spans="1:23" x14ac:dyDescent="0.3">
      <c r="C5">
        <v>2019</v>
      </c>
      <c r="D5">
        <v>2020</v>
      </c>
      <c r="E5">
        <v>2021</v>
      </c>
      <c r="F5">
        <v>2022</v>
      </c>
      <c r="G5">
        <v>2023</v>
      </c>
      <c r="H5">
        <v>2024</v>
      </c>
      <c r="I5">
        <v>2025</v>
      </c>
      <c r="J5">
        <v>2026</v>
      </c>
      <c r="K5">
        <v>2027</v>
      </c>
    </row>
    <row r="6" spans="1:23" x14ac:dyDescent="0.3">
      <c r="A6" t="s">
        <v>19</v>
      </c>
      <c r="C6" s="1">
        <f>77*2204622.6218*0.6</f>
        <v>101853565.12716</v>
      </c>
      <c r="D6" s="1">
        <f t="shared" ref="D6:K6" si="0">77*2204622.6218*0.6</f>
        <v>101853565.12716</v>
      </c>
      <c r="E6" s="1">
        <f t="shared" si="0"/>
        <v>101853565.12716</v>
      </c>
      <c r="F6" s="1">
        <f t="shared" si="0"/>
        <v>101853565.12716</v>
      </c>
      <c r="G6" s="1">
        <f t="shared" si="0"/>
        <v>101853565.12716</v>
      </c>
      <c r="H6" s="1">
        <f t="shared" si="0"/>
        <v>101853565.12716</v>
      </c>
      <c r="I6" s="1">
        <f t="shared" si="0"/>
        <v>101853565.12716</v>
      </c>
      <c r="J6" s="1">
        <f t="shared" si="0"/>
        <v>101853565.12716</v>
      </c>
      <c r="K6" s="1">
        <f t="shared" si="0"/>
        <v>101853565.12716</v>
      </c>
    </row>
    <row r="7" spans="1:23" x14ac:dyDescent="0.3">
      <c r="A7" t="s">
        <v>5</v>
      </c>
      <c r="C7" s="1">
        <v>53000000</v>
      </c>
      <c r="D7" s="1">
        <v>53000000</v>
      </c>
      <c r="E7" s="1">
        <v>53000000</v>
      </c>
      <c r="F7" s="1">
        <v>53000000</v>
      </c>
      <c r="G7" s="1">
        <v>53000000</v>
      </c>
      <c r="H7" s="1">
        <v>53000000</v>
      </c>
      <c r="I7" s="1">
        <v>53000000</v>
      </c>
      <c r="J7" s="1">
        <v>53000000</v>
      </c>
      <c r="K7" s="1">
        <v>53000000</v>
      </c>
    </row>
    <row r="8" spans="1:23" x14ac:dyDescent="0.3">
      <c r="A8" t="s">
        <v>25</v>
      </c>
      <c r="C8" s="1">
        <f>(C6-C7)*0.8</f>
        <v>39082852.101728</v>
      </c>
      <c r="D8" s="1">
        <f t="shared" ref="D8:K8" si="1">(D6-D7)*0.8</f>
        <v>39082852.101728</v>
      </c>
      <c r="E8" s="1">
        <f t="shared" si="1"/>
        <v>39082852.101728</v>
      </c>
      <c r="F8" s="1">
        <f t="shared" si="1"/>
        <v>39082852.101728</v>
      </c>
      <c r="G8" s="1">
        <f t="shared" si="1"/>
        <v>39082852.101728</v>
      </c>
      <c r="H8" s="1">
        <f t="shared" si="1"/>
        <v>39082852.101728</v>
      </c>
      <c r="I8" s="1">
        <f t="shared" si="1"/>
        <v>39082852.101728</v>
      </c>
      <c r="J8" s="1">
        <f t="shared" si="1"/>
        <v>39082852.101728</v>
      </c>
      <c r="K8" s="1">
        <f t="shared" si="1"/>
        <v>39082852.101728</v>
      </c>
      <c r="M8">
        <v>0</v>
      </c>
      <c r="N8">
        <v>1</v>
      </c>
      <c r="O8">
        <v>2</v>
      </c>
      <c r="P8">
        <v>3</v>
      </c>
      <c r="Q8">
        <v>4</v>
      </c>
      <c r="R8">
        <v>5</v>
      </c>
      <c r="S8">
        <v>6</v>
      </c>
      <c r="T8">
        <v>7</v>
      </c>
      <c r="U8">
        <v>8</v>
      </c>
      <c r="V8">
        <v>9</v>
      </c>
      <c r="W8">
        <v>10</v>
      </c>
    </row>
    <row r="9" spans="1:23" x14ac:dyDescent="0.3">
      <c r="C9" s="1"/>
      <c r="D9" s="1"/>
      <c r="E9" s="1"/>
      <c r="F9" s="1"/>
      <c r="G9" s="1"/>
      <c r="H9" s="1"/>
      <c r="I9" s="1"/>
      <c r="J9" s="1"/>
      <c r="K9" s="1"/>
    </row>
    <row r="10" spans="1:23" x14ac:dyDescent="0.3">
      <c r="A10" t="s">
        <v>26</v>
      </c>
      <c r="C10" s="1">
        <f>PV(0.15,M8,,C8)*(-1)</f>
        <v>39082852.101728</v>
      </c>
      <c r="D10" s="1">
        <f t="shared" ref="D10:K10" si="2">PV(0.15,N8,,D8)*(-1)</f>
        <v>33985088.784111306</v>
      </c>
      <c r="E10" s="1">
        <f t="shared" si="2"/>
        <v>29552251.116618529</v>
      </c>
      <c r="F10" s="1">
        <f t="shared" si="2"/>
        <v>25697609.666624814</v>
      </c>
      <c r="G10" s="1">
        <f t="shared" si="2"/>
        <v>22345747.536195491</v>
      </c>
      <c r="H10" s="1">
        <f t="shared" si="2"/>
        <v>19431084.814083036</v>
      </c>
      <c r="I10" s="1">
        <f t="shared" si="2"/>
        <v>16896595.490506988</v>
      </c>
      <c r="J10" s="1">
        <f t="shared" si="2"/>
        <v>14692691.730875645</v>
      </c>
      <c r="K10" s="1">
        <f t="shared" si="2"/>
        <v>12776253.679022301</v>
      </c>
    </row>
    <row r="11" spans="1:23" x14ac:dyDescent="0.3">
      <c r="A11" t="s">
        <v>27</v>
      </c>
      <c r="C11" s="3">
        <f>SUM(C10:K10)</f>
        <v>214460174.91976613</v>
      </c>
      <c r="D11" s="1"/>
      <c r="E11" s="1"/>
      <c r="F11" s="1"/>
      <c r="G11" s="1"/>
      <c r="H11" s="1"/>
      <c r="I11" s="1"/>
      <c r="J11" s="1"/>
      <c r="K11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EC73-8037-4081-A791-3FCB478A7367}">
  <dimension ref="A1:AI28"/>
  <sheetViews>
    <sheetView topLeftCell="A4" workbookViewId="0">
      <selection activeCell="B18" sqref="B18"/>
    </sheetView>
  </sheetViews>
  <sheetFormatPr defaultRowHeight="14.4" x14ac:dyDescent="0.3"/>
  <cols>
    <col min="3" max="3" width="15.5546875" bestFit="1" customWidth="1"/>
    <col min="4" max="18" width="10.88671875" bestFit="1" customWidth="1"/>
  </cols>
  <sheetData>
    <row r="1" spans="1:35" x14ac:dyDescent="0.3">
      <c r="A1" t="s">
        <v>28</v>
      </c>
    </row>
    <row r="2" spans="1:35" x14ac:dyDescent="0.3">
      <c r="A2" t="s">
        <v>29</v>
      </c>
    </row>
    <row r="3" spans="1:35" x14ac:dyDescent="0.3">
      <c r="A3" t="s">
        <v>30</v>
      </c>
    </row>
    <row r="4" spans="1:35" x14ac:dyDescent="0.3">
      <c r="A4" t="s">
        <v>31</v>
      </c>
    </row>
    <row r="5" spans="1:35" x14ac:dyDescent="0.3">
      <c r="A5" t="s">
        <v>17</v>
      </c>
      <c r="B5">
        <v>3.2</v>
      </c>
    </row>
    <row r="6" spans="1:35" x14ac:dyDescent="0.3">
      <c r="A6" t="s">
        <v>32</v>
      </c>
      <c r="C6">
        <v>2019</v>
      </c>
      <c r="D6">
        <v>2020</v>
      </c>
      <c r="E6">
        <v>2021</v>
      </c>
      <c r="F6">
        <v>2022</v>
      </c>
      <c r="G6">
        <v>2023</v>
      </c>
      <c r="H6">
        <v>2024</v>
      </c>
      <c r="I6">
        <v>2025</v>
      </c>
      <c r="J6">
        <v>2026</v>
      </c>
      <c r="K6">
        <v>2027</v>
      </c>
      <c r="L6">
        <v>2028</v>
      </c>
      <c r="M6">
        <v>2029</v>
      </c>
      <c r="N6">
        <v>2030</v>
      </c>
      <c r="O6">
        <v>2031</v>
      </c>
      <c r="P6">
        <v>2032</v>
      </c>
      <c r="Q6">
        <v>2033</v>
      </c>
      <c r="R6">
        <v>2034</v>
      </c>
    </row>
    <row r="7" spans="1:35" x14ac:dyDescent="0.3">
      <c r="A7" t="s">
        <v>1</v>
      </c>
      <c r="C7">
        <v>54</v>
      </c>
      <c r="D7">
        <v>62</v>
      </c>
      <c r="E7">
        <v>60</v>
      </c>
      <c r="F7">
        <v>70</v>
      </c>
      <c r="G7">
        <v>70</v>
      </c>
      <c r="H7">
        <v>70</v>
      </c>
      <c r="I7">
        <v>70</v>
      </c>
      <c r="J7">
        <v>70</v>
      </c>
      <c r="K7">
        <v>70</v>
      </c>
      <c r="L7">
        <v>70</v>
      </c>
      <c r="M7">
        <v>70</v>
      </c>
      <c r="N7">
        <v>70</v>
      </c>
      <c r="O7">
        <v>70</v>
      </c>
      <c r="P7">
        <v>70</v>
      </c>
      <c r="Q7">
        <v>70</v>
      </c>
      <c r="R7">
        <v>70</v>
      </c>
    </row>
    <row r="8" spans="1:35" x14ac:dyDescent="0.3">
      <c r="A8" t="s">
        <v>2</v>
      </c>
      <c r="C8" s="1">
        <f>C7*2204622.6218</f>
        <v>119049621.5772</v>
      </c>
      <c r="D8" s="1">
        <f t="shared" ref="D8:R8" si="0">D7*2204622.6218</f>
        <v>136686602.55159998</v>
      </c>
      <c r="E8" s="1">
        <f t="shared" si="0"/>
        <v>132277357.308</v>
      </c>
      <c r="F8" s="1">
        <f t="shared" si="0"/>
        <v>154323583.52599999</v>
      </c>
      <c r="G8" s="1">
        <f t="shared" si="0"/>
        <v>154323583.52599999</v>
      </c>
      <c r="H8" s="1">
        <f t="shared" si="0"/>
        <v>154323583.52599999</v>
      </c>
      <c r="I8" s="1">
        <f t="shared" si="0"/>
        <v>154323583.52599999</v>
      </c>
      <c r="J8" s="1">
        <f t="shared" si="0"/>
        <v>154323583.52599999</v>
      </c>
      <c r="K8" s="1">
        <f t="shared" si="0"/>
        <v>154323583.52599999</v>
      </c>
      <c r="L8" s="1">
        <f t="shared" si="0"/>
        <v>154323583.52599999</v>
      </c>
      <c r="M8" s="1">
        <f t="shared" si="0"/>
        <v>154323583.52599999</v>
      </c>
      <c r="N8" s="1">
        <f t="shared" si="0"/>
        <v>154323583.52599999</v>
      </c>
      <c r="O8" s="1">
        <f t="shared" si="0"/>
        <v>154323583.52599999</v>
      </c>
      <c r="P8" s="1">
        <f t="shared" si="0"/>
        <v>154323583.52599999</v>
      </c>
      <c r="Q8" s="1">
        <f t="shared" si="0"/>
        <v>154323583.52599999</v>
      </c>
      <c r="R8" s="1">
        <f t="shared" si="0"/>
        <v>154323583.52599999</v>
      </c>
    </row>
    <row r="9" spans="1:35" x14ac:dyDescent="0.3">
      <c r="A9" t="s">
        <v>34</v>
      </c>
      <c r="C9">
        <v>1.1000000000000001</v>
      </c>
      <c r="D9">
        <v>1.1000000000000001</v>
      </c>
      <c r="E9">
        <v>1.1000000000000001</v>
      </c>
      <c r="F9">
        <v>1.1000000000000001</v>
      </c>
      <c r="G9">
        <v>1.1000000000000001</v>
      </c>
      <c r="H9">
        <v>1.1000000000000001</v>
      </c>
      <c r="I9">
        <v>1.1000000000000001</v>
      </c>
      <c r="J9">
        <v>1.1000000000000001</v>
      </c>
      <c r="K9">
        <v>1.1000000000000001</v>
      </c>
      <c r="L9">
        <v>1.1000000000000001</v>
      </c>
      <c r="M9">
        <v>1.1000000000000001</v>
      </c>
      <c r="N9">
        <v>1.1000000000000001</v>
      </c>
      <c r="O9">
        <v>1.1000000000000001</v>
      </c>
      <c r="P9">
        <v>1.1000000000000001</v>
      </c>
      <c r="Q9">
        <v>1.1000000000000001</v>
      </c>
      <c r="R9">
        <v>1.1000000000000001</v>
      </c>
    </row>
    <row r="10" spans="1:35" x14ac:dyDescent="0.3">
      <c r="A10" t="s">
        <v>35</v>
      </c>
      <c r="C10" s="1">
        <f>60000000</f>
        <v>60000000</v>
      </c>
      <c r="D10" s="1">
        <f t="shared" ref="D10:R10" si="1">60000000</f>
        <v>60000000</v>
      </c>
      <c r="E10" s="1">
        <f t="shared" si="1"/>
        <v>60000000</v>
      </c>
      <c r="F10" s="1">
        <f t="shared" si="1"/>
        <v>60000000</v>
      </c>
      <c r="G10" s="1">
        <f t="shared" si="1"/>
        <v>60000000</v>
      </c>
      <c r="H10" s="1">
        <f t="shared" si="1"/>
        <v>60000000</v>
      </c>
      <c r="I10" s="1">
        <f t="shared" si="1"/>
        <v>60000000</v>
      </c>
      <c r="J10" s="1">
        <f t="shared" si="1"/>
        <v>60000000</v>
      </c>
      <c r="K10" s="1">
        <f t="shared" si="1"/>
        <v>60000000</v>
      </c>
      <c r="L10" s="1">
        <f t="shared" si="1"/>
        <v>60000000</v>
      </c>
      <c r="M10" s="1">
        <f t="shared" si="1"/>
        <v>60000000</v>
      </c>
      <c r="N10" s="1">
        <f t="shared" si="1"/>
        <v>60000000</v>
      </c>
      <c r="O10" s="1">
        <f t="shared" si="1"/>
        <v>60000000</v>
      </c>
      <c r="P10" s="1">
        <f t="shared" si="1"/>
        <v>60000000</v>
      </c>
      <c r="Q10" s="1">
        <f t="shared" si="1"/>
        <v>60000000</v>
      </c>
      <c r="R10" s="1">
        <f t="shared" si="1"/>
        <v>60000000</v>
      </c>
    </row>
    <row r="11" spans="1:35" x14ac:dyDescent="0.3">
      <c r="A11" t="s">
        <v>14</v>
      </c>
      <c r="C11" s="1">
        <f>($B$5-C9)*C8-C10</f>
        <v>190004205.31211999</v>
      </c>
      <c r="D11" s="1">
        <f t="shared" ref="D11:R11" si="2">($B$5-D9)*D8-D10</f>
        <v>227041865.35835999</v>
      </c>
      <c r="E11" s="1">
        <f t="shared" si="2"/>
        <v>217782450.34680003</v>
      </c>
      <c r="F11" s="1">
        <f t="shared" si="2"/>
        <v>264079525.40460002</v>
      </c>
      <c r="G11" s="1">
        <f t="shared" si="2"/>
        <v>264079525.40460002</v>
      </c>
      <c r="H11" s="1">
        <f t="shared" si="2"/>
        <v>264079525.40460002</v>
      </c>
      <c r="I11" s="1">
        <f t="shared" si="2"/>
        <v>264079525.40460002</v>
      </c>
      <c r="J11" s="1">
        <f t="shared" si="2"/>
        <v>264079525.40460002</v>
      </c>
      <c r="K11" s="1">
        <f t="shared" si="2"/>
        <v>264079525.40460002</v>
      </c>
      <c r="L11" s="1">
        <f t="shared" si="2"/>
        <v>264079525.40460002</v>
      </c>
      <c r="M11" s="1">
        <f t="shared" si="2"/>
        <v>264079525.40460002</v>
      </c>
      <c r="N11" s="1">
        <f t="shared" si="2"/>
        <v>264079525.40460002</v>
      </c>
      <c r="O11" s="1">
        <f t="shared" si="2"/>
        <v>264079525.40460002</v>
      </c>
      <c r="P11" s="1">
        <f t="shared" si="2"/>
        <v>264079525.40460002</v>
      </c>
      <c r="Q11" s="1">
        <f t="shared" si="2"/>
        <v>264079525.40460002</v>
      </c>
      <c r="R11" s="1">
        <f t="shared" si="2"/>
        <v>264079525.40460002</v>
      </c>
    </row>
    <row r="12" spans="1:35" x14ac:dyDescent="0.3">
      <c r="A12" t="s">
        <v>15</v>
      </c>
      <c r="C12" s="1">
        <f>PV(0.15,T12,,C11*0.79)*(-1)</f>
        <v>150103322.19657481</v>
      </c>
      <c r="D12" s="1">
        <f t="shared" ref="D12:R12" si="3">PV(0.15,U12,,D11*0.79)*(-1)</f>
        <v>155967890.11574298</v>
      </c>
      <c r="E12" s="1">
        <f t="shared" si="3"/>
        <v>130093108.33570667</v>
      </c>
      <c r="F12" s="1">
        <f t="shared" si="3"/>
        <v>137172893.93910354</v>
      </c>
      <c r="G12" s="1">
        <f t="shared" si="3"/>
        <v>119280777.33835091</v>
      </c>
      <c r="H12" s="1">
        <f t="shared" si="3"/>
        <v>103722415.07682687</v>
      </c>
      <c r="I12" s="1">
        <f t="shared" si="3"/>
        <v>90193404.414632067</v>
      </c>
      <c r="J12" s="1">
        <f t="shared" si="3"/>
        <v>78429047.317071378</v>
      </c>
      <c r="K12" s="1">
        <f t="shared" si="3"/>
        <v>68199171.580062076</v>
      </c>
      <c r="L12" s="1">
        <f t="shared" si="3"/>
        <v>59303627.460923545</v>
      </c>
      <c r="M12" s="1">
        <f t="shared" si="3"/>
        <v>51568371.705150917</v>
      </c>
      <c r="N12" s="1">
        <f t="shared" si="3"/>
        <v>44842062.352305144</v>
      </c>
      <c r="O12" s="1">
        <f t="shared" si="3"/>
        <v>38993097.697656654</v>
      </c>
      <c r="P12" s="1">
        <f t="shared" si="3"/>
        <v>33907041.476223178</v>
      </c>
      <c r="Q12" s="1">
        <f t="shared" si="3"/>
        <v>29484383.892367981</v>
      </c>
      <c r="R12" s="1">
        <f t="shared" si="3"/>
        <v>25638594.689015642</v>
      </c>
      <c r="T12">
        <v>0</v>
      </c>
      <c r="U12">
        <v>1</v>
      </c>
      <c r="V12">
        <v>2</v>
      </c>
      <c r="W12">
        <v>3</v>
      </c>
      <c r="X12">
        <v>4</v>
      </c>
      <c r="Y12">
        <v>5</v>
      </c>
      <c r="Z12">
        <v>6</v>
      </c>
      <c r="AA12">
        <v>7</v>
      </c>
      <c r="AB12">
        <v>8</v>
      </c>
      <c r="AC12">
        <v>9</v>
      </c>
      <c r="AD12">
        <v>10</v>
      </c>
      <c r="AE12">
        <v>11</v>
      </c>
      <c r="AF12">
        <v>12</v>
      </c>
      <c r="AG12">
        <v>13</v>
      </c>
      <c r="AH12">
        <v>14</v>
      </c>
      <c r="AI12">
        <v>15</v>
      </c>
    </row>
    <row r="14" spans="1:35" x14ac:dyDescent="0.3">
      <c r="A14" t="s">
        <v>36</v>
      </c>
      <c r="C14" s="1">
        <f>SUM(C12:R12)</f>
        <v>1316899209.5877144</v>
      </c>
    </row>
    <row r="17" spans="1:18" x14ac:dyDescent="0.3">
      <c r="A17" t="s">
        <v>33</v>
      </c>
      <c r="B17">
        <v>1600</v>
      </c>
    </row>
    <row r="18" spans="1:18" x14ac:dyDescent="0.3">
      <c r="A18" t="s">
        <v>32</v>
      </c>
      <c r="C18">
        <v>2019</v>
      </c>
      <c r="D18">
        <v>2020</v>
      </c>
      <c r="E18">
        <v>2021</v>
      </c>
      <c r="F18">
        <v>2022</v>
      </c>
      <c r="G18">
        <v>2023</v>
      </c>
      <c r="H18">
        <v>2024</v>
      </c>
      <c r="I18">
        <v>2025</v>
      </c>
      <c r="J18">
        <v>2026</v>
      </c>
      <c r="K18">
        <v>2027</v>
      </c>
      <c r="L18">
        <v>2028</v>
      </c>
      <c r="M18">
        <v>2029</v>
      </c>
      <c r="N18">
        <v>2030</v>
      </c>
      <c r="O18">
        <v>2031</v>
      </c>
      <c r="P18">
        <v>2032</v>
      </c>
      <c r="Q18">
        <v>2033</v>
      </c>
      <c r="R18">
        <v>2034</v>
      </c>
    </row>
    <row r="19" spans="1:18" x14ac:dyDescent="0.3">
      <c r="A19" t="s">
        <v>37</v>
      </c>
      <c r="C19">
        <v>100</v>
      </c>
      <c r="D19">
        <v>105</v>
      </c>
      <c r="E19">
        <v>87</v>
      </c>
      <c r="F19">
        <v>105</v>
      </c>
      <c r="G19">
        <v>105</v>
      </c>
      <c r="H19">
        <v>105</v>
      </c>
      <c r="I19">
        <v>105</v>
      </c>
      <c r="J19">
        <v>105</v>
      </c>
      <c r="K19">
        <v>105</v>
      </c>
      <c r="L19">
        <v>105</v>
      </c>
      <c r="M19">
        <v>105</v>
      </c>
      <c r="N19">
        <v>105</v>
      </c>
      <c r="O19">
        <v>105</v>
      </c>
      <c r="P19">
        <v>105</v>
      </c>
      <c r="Q19">
        <v>105</v>
      </c>
      <c r="R19">
        <v>105</v>
      </c>
    </row>
    <row r="20" spans="1:18" x14ac:dyDescent="0.3">
      <c r="A20" t="s">
        <v>1</v>
      </c>
      <c r="C20">
        <f>C19*1000</f>
        <v>100000</v>
      </c>
      <c r="D20">
        <f t="shared" ref="D20:R20" si="4">D19*1000</f>
        <v>105000</v>
      </c>
      <c r="E20">
        <f t="shared" si="4"/>
        <v>87000</v>
      </c>
      <c r="F20">
        <f t="shared" si="4"/>
        <v>105000</v>
      </c>
      <c r="G20">
        <f t="shared" si="4"/>
        <v>105000</v>
      </c>
      <c r="H20">
        <f t="shared" si="4"/>
        <v>105000</v>
      </c>
      <c r="I20">
        <f t="shared" si="4"/>
        <v>105000</v>
      </c>
      <c r="J20">
        <f t="shared" si="4"/>
        <v>105000</v>
      </c>
      <c r="K20">
        <f t="shared" si="4"/>
        <v>105000</v>
      </c>
      <c r="L20">
        <f t="shared" si="4"/>
        <v>105000</v>
      </c>
      <c r="M20">
        <f t="shared" si="4"/>
        <v>105000</v>
      </c>
      <c r="N20">
        <f t="shared" si="4"/>
        <v>105000</v>
      </c>
      <c r="O20">
        <f t="shared" si="4"/>
        <v>105000</v>
      </c>
      <c r="P20">
        <f t="shared" si="4"/>
        <v>105000</v>
      </c>
      <c r="Q20">
        <f t="shared" si="4"/>
        <v>105000</v>
      </c>
      <c r="R20">
        <f t="shared" si="4"/>
        <v>105000</v>
      </c>
    </row>
    <row r="21" spans="1:18" x14ac:dyDescent="0.3">
      <c r="A21" t="s">
        <v>23</v>
      </c>
      <c r="C21">
        <v>430</v>
      </c>
      <c r="D21">
        <v>430</v>
      </c>
      <c r="E21">
        <v>430</v>
      </c>
      <c r="F21">
        <v>430</v>
      </c>
      <c r="G21">
        <v>430</v>
      </c>
      <c r="H21">
        <v>430</v>
      </c>
      <c r="I21">
        <v>430</v>
      </c>
      <c r="J21">
        <v>430</v>
      </c>
      <c r="K21">
        <v>430</v>
      </c>
      <c r="L21">
        <v>430</v>
      </c>
      <c r="M21">
        <v>430</v>
      </c>
      <c r="N21">
        <v>430</v>
      </c>
      <c r="O21">
        <v>430</v>
      </c>
      <c r="P21">
        <v>430</v>
      </c>
      <c r="Q21">
        <v>430</v>
      </c>
      <c r="R21">
        <v>430</v>
      </c>
    </row>
    <row r="23" spans="1:18" x14ac:dyDescent="0.3">
      <c r="A23" t="s">
        <v>14</v>
      </c>
      <c r="C23" s="1">
        <f>($B$17-C21)*C20</f>
        <v>117000000</v>
      </c>
      <c r="D23" s="1">
        <f t="shared" ref="D23:R23" si="5">($B$17-D21)*D20</f>
        <v>122850000</v>
      </c>
      <c r="E23" s="1">
        <f t="shared" si="5"/>
        <v>101790000</v>
      </c>
      <c r="F23" s="1">
        <f t="shared" si="5"/>
        <v>122850000</v>
      </c>
      <c r="G23" s="1">
        <f t="shared" si="5"/>
        <v>122850000</v>
      </c>
      <c r="H23" s="1">
        <f t="shared" si="5"/>
        <v>122850000</v>
      </c>
      <c r="I23" s="1">
        <f t="shared" si="5"/>
        <v>122850000</v>
      </c>
      <c r="J23" s="1">
        <f t="shared" si="5"/>
        <v>122850000</v>
      </c>
      <c r="K23" s="1">
        <f t="shared" si="5"/>
        <v>122850000</v>
      </c>
      <c r="L23" s="1">
        <f t="shared" si="5"/>
        <v>122850000</v>
      </c>
      <c r="M23" s="1">
        <f t="shared" si="5"/>
        <v>122850000</v>
      </c>
      <c r="N23" s="1">
        <f t="shared" si="5"/>
        <v>122850000</v>
      </c>
      <c r="O23" s="1">
        <f t="shared" si="5"/>
        <v>122850000</v>
      </c>
      <c r="P23" s="1">
        <f t="shared" si="5"/>
        <v>122850000</v>
      </c>
      <c r="Q23" s="1">
        <f t="shared" si="5"/>
        <v>122850000</v>
      </c>
      <c r="R23" s="1">
        <f t="shared" si="5"/>
        <v>122850000</v>
      </c>
    </row>
    <row r="24" spans="1:18" x14ac:dyDescent="0.3">
      <c r="A24" t="s">
        <v>15</v>
      </c>
      <c r="C24" s="1">
        <f>PV(0.15,T12,,C23)*(-1)</f>
        <v>117000000</v>
      </c>
      <c r="D24" s="1">
        <f t="shared" ref="D24:R24" si="6">PV(0.15,U12,,D23)*(-1)</f>
        <v>106826086.95652175</v>
      </c>
      <c r="E24" s="1">
        <f t="shared" si="6"/>
        <v>76967863.894139901</v>
      </c>
      <c r="F24" s="1">
        <f t="shared" si="6"/>
        <v>80775869.15426977</v>
      </c>
      <c r="G24" s="1">
        <f t="shared" si="6"/>
        <v>70239886.221104145</v>
      </c>
      <c r="H24" s="1">
        <f t="shared" si="6"/>
        <v>61078161.931394912</v>
      </c>
      <c r="I24" s="1">
        <f t="shared" si="6"/>
        <v>53111445.157734714</v>
      </c>
      <c r="J24" s="1">
        <f t="shared" si="6"/>
        <v>46183865.354551934</v>
      </c>
      <c r="K24" s="1">
        <f t="shared" si="6"/>
        <v>40159882.917001687</v>
      </c>
      <c r="L24" s="1">
        <f t="shared" si="6"/>
        <v>34921637.319131903</v>
      </c>
      <c r="M24" s="1">
        <f t="shared" si="6"/>
        <v>30366641.14707122</v>
      </c>
      <c r="N24" s="1">
        <f t="shared" si="6"/>
        <v>26405774.910496715</v>
      </c>
      <c r="O24" s="1">
        <f t="shared" si="6"/>
        <v>22961543.400431931</v>
      </c>
      <c r="P24" s="1">
        <f t="shared" si="6"/>
        <v>19966559.478636462</v>
      </c>
      <c r="Q24" s="1">
        <f t="shared" si="6"/>
        <v>17362225.633596923</v>
      </c>
      <c r="R24" s="1">
        <f t="shared" si="6"/>
        <v>15097587.507475588</v>
      </c>
    </row>
    <row r="26" spans="1:18" x14ac:dyDescent="0.3">
      <c r="A26" t="s">
        <v>36</v>
      </c>
      <c r="C26" s="1">
        <f>SUM(C24:R24)</f>
        <v>819425030.98355961</v>
      </c>
    </row>
    <row r="28" spans="1:18" x14ac:dyDescent="0.3">
      <c r="A28" t="s">
        <v>21</v>
      </c>
      <c r="C28" s="3">
        <f>C14+C26</f>
        <v>2136324240.571274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Candelaria</vt:lpstr>
      <vt:lpstr>Eagle</vt:lpstr>
      <vt:lpstr>Neves-Corvo</vt:lpstr>
      <vt:lpstr>Zinkgruvan</vt:lpstr>
      <vt:lpstr>Chapada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</dc:creator>
  <cp:lastModifiedBy>jindra</cp:lastModifiedBy>
  <dcterms:created xsi:type="dcterms:W3CDTF">2019-10-05T09:49:18Z</dcterms:created>
  <dcterms:modified xsi:type="dcterms:W3CDTF">2019-10-05T14:48:43Z</dcterms:modified>
</cp:coreProperties>
</file>