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60" windowWidth="11355" windowHeight="10395" activeTab="0"/>
  </bookViews>
  <sheets>
    <sheet name="SP-วิเคราะห์กำแพงกันดิน" sheetId="1" r:id="rId1"/>
    <sheet name="SP-ออกแบบเสาเข็ม" sheetId="2" r:id="rId2"/>
    <sheet name="กรมโยธา-กำแพงกันดินแบบมีสมอยึด" sheetId="3" r:id="rId3"/>
  </sheets>
  <definedNames>
    <definedName name="\0">#REF!</definedName>
    <definedName name="\b">#REF!</definedName>
    <definedName name="\i">#REF!</definedName>
    <definedName name="\m">#REF!</definedName>
    <definedName name="MENU">#REF!</definedName>
    <definedName name="MENU2">#REF!</definedName>
    <definedName name="MENU3">#REF!</definedName>
    <definedName name="MENU4">#REF!</definedName>
    <definedName name="_xlnm.Print_Area" localSheetId="0">'SP-วิเคราะห์กำแพงกันดิน'!$B$2:$V$26,'SP-วิเคราะห์กำแพงกันดิน'!$H$28:$Z$41,'SP-วิเคราะห์กำแพงกันดิน'!$H$43:$T$56</definedName>
    <definedName name="_xlnm.Print_Area" localSheetId="1">'SP-ออกแบบเสาเข็ม'!$A$2:$J$33,'SP-ออกแบบเสาเข็ม'!$A$35:$K$51</definedName>
    <definedName name="Print_Area_MI">#REF!</definedName>
    <definedName name="SERMPUN3">#REF!</definedName>
    <definedName name="SERMPUN4">#REF!</definedName>
    <definedName name="SERMPUN5">#REF!</definedName>
  </definedNames>
  <calcPr fullCalcOnLoad="1"/>
</workbook>
</file>

<file path=xl/comments2.xml><?xml version="1.0" encoding="utf-8"?>
<comments xmlns="http://schemas.openxmlformats.org/spreadsheetml/2006/main">
  <authors>
    <author>Mr.Sermpun  Aimjabok</author>
    <author>ทำให้ผู้ใช้ Microsoft Office พอใจ</author>
  </authors>
  <commentList>
    <comment ref="C48" authorId="0">
      <text>
        <r>
          <rPr>
            <sz val="8"/>
            <rFont val="MS Sans Serif"/>
            <family val="2"/>
          </rPr>
          <t>หมายถึงขนาดของหัวชู(เหล็กหล่อปลายเสาเข็ม)  จะใช้หรือไม่ขึ้นอยู่กับดุลย์พินิจของผู้ออกแบบ  ซึ่งผมแนะนำดังนี้
     -ในกรณีที่ดินที่อยู่ลึกลงไปเป็นดินดานหรือเป็นหิน  ก็ควรที่จะใส่หัวชู
     -ในกรณีที่ดินที่อยู่ลึกลงไปเป็นดินทรายแน่น(N&gt;30)  ก็ควรที่จะใส่หัวชู
     -ในกรณีที่ดินที่อยู่ลึกลงไปเป็นดินเหนียวแข็ง(N&gt;20)  ก็ควรที่จะใส่หัวชู</t>
        </r>
      </text>
    </comment>
    <comment ref="D7" authorId="1">
      <text>
        <r>
          <rPr>
            <sz val="8"/>
            <rFont val="MS Sans Serif"/>
            <family val="0"/>
          </rPr>
          <t>ป้อนขนาดหน้าตัดของเสาเข็มคอนกรีตอัดแรงซึ่งโดยทั่วไปในภาคอิสานนิยมใช้เสาเข็มรูปสี่เหลี่ยมจตุรัสตันดังนี้(2540)
   -[/] 0.12x0.12xL ม.(มี มอก.)
   -[/] 0.15x0.15xL ม.(มี มอก.)
   -[/] 0.18x0.18xL ม.(มี มอก.)
   -[/] 0.25x0.25xL ม.(มี มอก.) ***
   -[/] 0.26x0.26xL ม.(มี มอก.)
   -[/] 0.30x0.30xL ม.(มี มอก.) ***
   -[/] 0.35x0.35xL ม.(มี มอก.) ***
   -[/] 0.40x0.40xL ม.(มี มอก.)
   -[/] 0.45x0.45xL ม.(มี มอก.)
ส่วนความยาวขึ้นอยู่กับผลการทดสอบในสนามเท่านั้นซึ่งปกติในภาคอีสานจะนิยมใช้(7-15 ม.)</t>
        </r>
      </text>
    </comment>
    <comment ref="E48" authorId="0">
      <text>
        <r>
          <rPr>
            <sz val="8"/>
            <rFont val="MS Sans Serif"/>
            <family val="2"/>
          </rPr>
          <t xml:space="preserve">หมายถึงขนาดหน้ากว้างตรงบริเวณโคนของหัวชู
     1.หัวชู 7A ขนาดหน้ากว้างเท่ากับ 7 cm.
     2.หัวชู 9A ขนาดหน้ากว้างเท่ากับ 9 cm
     3.หัวชู 9D ขนาดหน้ากว้างเท่ากับ 9 cm
     4.หัวชู 11A ขนาดหน้ากว้างเท่ากับ 11 cm
     5.หัวชู 12C ขนาดหน้ากว้างเท่ากับ 12 cm
     6.หัวชู 12E ขนาดหน้ากว้างเท่ากับ 12 cm
     7.หัวชู 12F ขนาดหน้ากว้างเท่ากับ 12 cm
     8.หัวชู 12G ขนาดหน้ากว้างเท่ากับ 12 cm
     9.หัวชู 12R ขนาดหน้ากว้างเท่ากับ 12 cm
</t>
        </r>
      </text>
    </comment>
    <comment ref="G48" authorId="0">
      <text>
        <r>
          <rPr>
            <sz val="8"/>
            <rFont val="MS Sans Serif"/>
            <family val="2"/>
          </rPr>
          <t xml:space="preserve">หมายถึงขนาดความยาวของหัวชู
     1.หัวชู 7A ขนาดความยาวเท่ากับ 6 cm.
     2.หัวชู 9A ขนาดความยาวเท่ากับ 6 cm
     3.หัวชู 9D ขนาดความยาวเท่ากับ 6.5 cm
     4.หัวชู 11A ขนาดความยาวเท่ากับ 9 cm
     5.หัวชู 12C ขนาดความยาวเท่ากับ 9 cm
     6.หัวชู 12E ขนาดความยาวเท่ากับ 12.5 cm
     7.หัวชู 12F ขนาดความยาวเท่ากับ 15 cm
     8.หัวชู 12G ขนาดความยาวเท่ากับ 12.5 cm
     9.หัวชู 12R ขนาดความยาวเท่ากับ 15 cm
</t>
        </r>
      </text>
    </comment>
  </commentList>
</comments>
</file>

<file path=xl/sharedStrings.xml><?xml version="1.0" encoding="utf-8"?>
<sst xmlns="http://schemas.openxmlformats.org/spreadsheetml/2006/main" count="292" uniqueCount="213">
  <si>
    <t>q  =</t>
  </si>
  <si>
    <t>H =</t>
  </si>
  <si>
    <t>m.</t>
  </si>
  <si>
    <t>g  =</t>
  </si>
  <si>
    <t>f  =</t>
  </si>
  <si>
    <r>
      <t>kg/m.</t>
    </r>
    <r>
      <rPr>
        <vertAlign val="superscript"/>
        <sz val="16"/>
        <rFont val="AngsanaUPC"/>
        <family val="1"/>
      </rPr>
      <t>2</t>
    </r>
  </si>
  <si>
    <t>องศา</t>
  </si>
  <si>
    <r>
      <t>kg/m.</t>
    </r>
    <r>
      <rPr>
        <vertAlign val="superscript"/>
        <sz val="16"/>
        <rFont val="AngsanaUPC"/>
        <family val="1"/>
      </rPr>
      <t>3</t>
    </r>
  </si>
  <si>
    <t>R  =</t>
  </si>
  <si>
    <t>kg./m.</t>
  </si>
  <si>
    <t>b  =</t>
  </si>
  <si>
    <t>ระยะห่างSheetPile</t>
  </si>
  <si>
    <t>C  =</t>
  </si>
  <si>
    <t>h  =</t>
  </si>
  <si>
    <t>Pa =</t>
  </si>
  <si>
    <t>=</t>
  </si>
  <si>
    <t>Ka =</t>
  </si>
  <si>
    <t>y  =</t>
  </si>
  <si>
    <t>3.แรงดันสุทธิ์ (R)</t>
  </si>
  <si>
    <t>2.แรงดันที่ระดับผิวดิน (Pa)</t>
  </si>
  <si>
    <t>1.แรงกดที่ระดับผิวดิน (qa)</t>
  </si>
  <si>
    <t>4.หาระยะแรง R กระทำ (y)</t>
  </si>
  <si>
    <t>5.หาค่า 4C-qa</t>
  </si>
  <si>
    <t>6.หาค่า 4C+qa</t>
  </si>
  <si>
    <t>7.หา R(12Cy+R)/(2C+qa)</t>
  </si>
  <si>
    <t>8.หา D จากสมการ</t>
  </si>
  <si>
    <t xml:space="preserve">D  = </t>
  </si>
  <si>
    <t>a</t>
  </si>
  <si>
    <t>b</t>
  </si>
  <si>
    <t>c</t>
  </si>
  <si>
    <t>D</t>
  </si>
  <si>
    <t>9.ใช้ SheetPile ยาวรวม</t>
  </si>
  <si>
    <t xml:space="preserve">Use = </t>
  </si>
  <si>
    <t>น้ำหนักกดทับ</t>
  </si>
  <si>
    <t>kg.-m.</t>
  </si>
  <si>
    <t>kg.</t>
  </si>
  <si>
    <t>Cantilever sheet pile wall in cohesive soil</t>
  </si>
  <si>
    <t>กรณี ปลายอิสระและดินถมไม่ใช่ดินเหนียว</t>
  </si>
  <si>
    <t>10.ค่าแรงเฉือนสูงสุด</t>
  </si>
  <si>
    <t>11.โมเมนต์ดัดสูงสุด</t>
  </si>
  <si>
    <t>3.0 m.</t>
  </si>
  <si>
    <t>1.50 m.</t>
  </si>
  <si>
    <t>แผ่นพื้นคอนกรีตอัดแรงรับ</t>
  </si>
  <si>
    <r>
      <t>น้ำหนักบรทุกได้ 1,000 kg./m.</t>
    </r>
    <r>
      <rPr>
        <vertAlign val="superscript"/>
        <sz val="16"/>
        <rFont val="AngsanaUPC"/>
        <family val="1"/>
      </rPr>
      <t>2</t>
    </r>
  </si>
  <si>
    <t>fc'</t>
  </si>
  <si>
    <t>ksc.</t>
  </si>
  <si>
    <t>fy</t>
  </si>
  <si>
    <t>As</t>
  </si>
  <si>
    <t>คานรัดหัวเสาเข็มรับแรงดึง 4,500 kg. (20*20 cm.)</t>
  </si>
  <si>
    <t>เส้น</t>
  </si>
  <si>
    <r>
      <t>cm.</t>
    </r>
    <r>
      <rPr>
        <vertAlign val="superscript"/>
        <sz val="16"/>
        <rFont val="AngsanaUPC"/>
        <family val="1"/>
      </rPr>
      <t xml:space="preserve">2 </t>
    </r>
    <r>
      <rPr>
        <sz val="16"/>
        <rFont val="AngsanaUPC"/>
        <family val="1"/>
      </rPr>
      <t>=</t>
    </r>
  </si>
  <si>
    <t xml:space="preserve"> RB 12 mm.=</t>
  </si>
  <si>
    <t>Stir. RB 6 mm. @ 0.20 m.</t>
  </si>
  <si>
    <t>Mmax</t>
  </si>
  <si>
    <t>Vmav</t>
  </si>
  <si>
    <t>เสาเข็มออกแบบให้รับแรงขณะใช้งาน (รูปตัว I)</t>
  </si>
  <si>
    <t>ทุกๆ</t>
  </si>
  <si>
    <t>(สั่งจากโรงงานผลิต)</t>
  </si>
  <si>
    <t>(เพื่อยึดกับเหล็กคานรัดหัวเสาเข็ม)</t>
  </si>
  <si>
    <t xml:space="preserve">L  = </t>
  </si>
  <si>
    <t>โครงการก่อสร้าง  :</t>
  </si>
  <si>
    <t>สถานที่ก่อสร้าง   :</t>
  </si>
  <si>
    <t xml:space="preserve">วิศวกรอกแบบ    : </t>
  </si>
  <si>
    <t>หน่วยงาน  :</t>
  </si>
  <si>
    <t>ว/ด/ป   :</t>
  </si>
  <si>
    <t>x</t>
  </si>
  <si>
    <t>j</t>
  </si>
  <si>
    <t>fs</t>
  </si>
  <si>
    <t>R</t>
  </si>
  <si>
    <t xml:space="preserve">  DESIGN  PRESTRESSED  CONCRETE  PILE  </t>
  </si>
  <si>
    <t>Pile  Sise</t>
  </si>
  <si>
    <t>m        x</t>
  </si>
  <si>
    <t>2.1.Use Tendon Dia.</t>
  </si>
  <si>
    <t>mm.</t>
  </si>
  <si>
    <t>2.2.Area of Tendon</t>
  </si>
  <si>
    <t>2.4.Percent Losses</t>
  </si>
  <si>
    <t>%</t>
  </si>
  <si>
    <t>kg./tendon</t>
  </si>
  <si>
    <t>3.1.Self Load(w)</t>
  </si>
  <si>
    <t>4.1.Req.No.of Tendon</t>
  </si>
  <si>
    <t>bars</t>
  </si>
  <si>
    <t>3.2.Factor of Impact</t>
  </si>
  <si>
    <t>4.2.Design Tendon</t>
  </si>
  <si>
    <t>4.3.Dia. of Stirrup</t>
  </si>
  <si>
    <t>3.4.Net Section Area</t>
  </si>
  <si>
    <t>cm.(1.5b)</t>
  </si>
  <si>
    <t>3.5.Section Modulus</t>
  </si>
  <si>
    <t>cm.(3.0b)</t>
  </si>
  <si>
    <t>3.6.Moment of Inertia</t>
  </si>
  <si>
    <t>cm.(L-9b)</t>
  </si>
  <si>
    <t>5.1.At Initial Stage : For Compressive Stress</t>
  </si>
  <si>
    <t>5.2.At Initial Stage : For Tensile Stress</t>
  </si>
  <si>
    <t>5.3.At Final Stage : For Compressive Stress</t>
  </si>
  <si>
    <t>5.4.At Final Stage : For Tensile Stress</t>
  </si>
  <si>
    <t>6.1.Ult. Load At Tip</t>
  </si>
  <si>
    <t>tons/pile</t>
  </si>
  <si>
    <t>6.2.Load For Buck.</t>
  </si>
  <si>
    <t>6.3.Safety Factor</t>
  </si>
  <si>
    <t>6.4.Safe Comp. Load</t>
  </si>
  <si>
    <t>6.5.Tensile Strength</t>
  </si>
  <si>
    <t>6.6.Design  Load</t>
  </si>
  <si>
    <t>Detail</t>
  </si>
  <si>
    <t>Lifting  Points</t>
  </si>
  <si>
    <t>Cast Iron</t>
  </si>
  <si>
    <t>Dowel bars</t>
  </si>
  <si>
    <t>[ หมายเหตุ ]</t>
  </si>
  <si>
    <t>1.Use  Pile  Shoe  Size</t>
  </si>
  <si>
    <t>2.Use  Dowel  Bars</t>
  </si>
  <si>
    <t>3.Use Value of Elongation  0.631 cm. - 0.70 cm.  Per Bed Length 1 m.(+-4%)</t>
  </si>
  <si>
    <t>4.Use Covering 5 - 6 cm.</t>
  </si>
  <si>
    <t>1.P.C.Wire</t>
  </si>
  <si>
    <t>2.P.C.Strand</t>
  </si>
  <si>
    <t>รูปร่าง</t>
  </si>
  <si>
    <t>ปลอก</t>
  </si>
  <si>
    <r>
      <t>1.1.Comp.Strength;f'</t>
    </r>
    <r>
      <rPr>
        <vertAlign val="subscript"/>
        <sz val="16"/>
        <color indexed="8"/>
        <rFont val="AngsanaUPC"/>
        <family val="1"/>
      </rPr>
      <t>c</t>
    </r>
  </si>
  <si>
    <r>
      <t>kg./cm.</t>
    </r>
    <r>
      <rPr>
        <vertAlign val="superscript"/>
        <sz val="16"/>
        <color indexed="8"/>
        <rFont val="AngsanaUPC"/>
        <family val="1"/>
      </rPr>
      <t>2</t>
    </r>
  </si>
  <si>
    <r>
      <t>cm.</t>
    </r>
    <r>
      <rPr>
        <vertAlign val="superscript"/>
        <sz val="16"/>
        <color indexed="8"/>
        <rFont val="AngsanaUPC"/>
        <family val="1"/>
      </rPr>
      <t>2</t>
    </r>
  </si>
  <si>
    <r>
      <t>1.2.All.Strength ; f</t>
    </r>
    <r>
      <rPr>
        <vertAlign val="subscript"/>
        <sz val="16"/>
        <color indexed="8"/>
        <rFont val="AngsanaUPC"/>
        <family val="1"/>
      </rPr>
      <t>ac</t>
    </r>
  </si>
  <si>
    <r>
      <t>2.3.Tensile Strength;f</t>
    </r>
    <r>
      <rPr>
        <vertAlign val="subscript"/>
        <sz val="16"/>
        <color indexed="8"/>
        <rFont val="AngsanaUPC"/>
        <family val="1"/>
      </rPr>
      <t>y</t>
    </r>
  </si>
  <si>
    <r>
      <t>1.3.All.Strength ; f</t>
    </r>
    <r>
      <rPr>
        <vertAlign val="subscript"/>
        <sz val="16"/>
        <color indexed="8"/>
        <rFont val="AngsanaUPC"/>
        <family val="1"/>
      </rPr>
      <t>at</t>
    </r>
  </si>
  <si>
    <r>
      <t>2.5.All.Strength ; f</t>
    </r>
    <r>
      <rPr>
        <vertAlign val="subscript"/>
        <sz val="16"/>
        <color indexed="8"/>
        <rFont val="AngsanaUPC"/>
        <family val="1"/>
      </rPr>
      <t>si</t>
    </r>
  </si>
  <si>
    <r>
      <t>1.4.Comp.Strength;f'</t>
    </r>
    <r>
      <rPr>
        <vertAlign val="subscript"/>
        <sz val="16"/>
        <color indexed="8"/>
        <rFont val="AngsanaUPC"/>
        <family val="1"/>
      </rPr>
      <t>ci</t>
    </r>
  </si>
  <si>
    <r>
      <t>2.6.Strength Loss ; f</t>
    </r>
    <r>
      <rPr>
        <vertAlign val="subscript"/>
        <sz val="16"/>
        <color indexed="8"/>
        <rFont val="AngsanaUPC"/>
        <family val="1"/>
      </rPr>
      <t>sl</t>
    </r>
  </si>
  <si>
    <r>
      <t>1.5.All.Strength ; f</t>
    </r>
    <r>
      <rPr>
        <vertAlign val="subscript"/>
        <sz val="16"/>
        <color indexed="8"/>
        <rFont val="AngsanaUPC"/>
        <family val="1"/>
      </rPr>
      <t>aci</t>
    </r>
  </si>
  <si>
    <r>
      <t>2.7.All.Strength ; f</t>
    </r>
    <r>
      <rPr>
        <vertAlign val="subscript"/>
        <sz val="16"/>
        <color indexed="8"/>
        <rFont val="AngsanaUPC"/>
        <family val="1"/>
      </rPr>
      <t>se</t>
    </r>
  </si>
  <si>
    <r>
      <t>1.6.All.Strength ; f</t>
    </r>
    <r>
      <rPr>
        <vertAlign val="subscript"/>
        <sz val="16"/>
        <color indexed="8"/>
        <rFont val="AngsanaUPC"/>
        <family val="1"/>
      </rPr>
      <t>ati</t>
    </r>
  </si>
  <si>
    <r>
      <t>2.8.All.Force ; f</t>
    </r>
    <r>
      <rPr>
        <vertAlign val="subscript"/>
        <sz val="16"/>
        <color indexed="8"/>
        <rFont val="AngsanaUPC"/>
        <family val="1"/>
      </rPr>
      <t>fe</t>
    </r>
  </si>
  <si>
    <r>
      <t>3.3.Moment(M</t>
    </r>
    <r>
      <rPr>
        <vertAlign val="subscript"/>
        <sz val="16"/>
        <color indexed="8"/>
        <rFont val="AngsanaUPC"/>
        <family val="1"/>
      </rPr>
      <t>max.</t>
    </r>
    <r>
      <rPr>
        <sz val="16"/>
        <color indexed="8"/>
        <rFont val="AngsanaUPC"/>
        <family val="1"/>
      </rPr>
      <t>)</t>
    </r>
  </si>
  <si>
    <r>
      <t>cm.</t>
    </r>
    <r>
      <rPr>
        <vertAlign val="superscript"/>
        <sz val="16"/>
        <color indexed="8"/>
        <rFont val="AngsanaUPC"/>
        <family val="1"/>
      </rPr>
      <t>3</t>
    </r>
  </si>
  <si>
    <r>
      <t>cm.</t>
    </r>
    <r>
      <rPr>
        <vertAlign val="superscript"/>
        <sz val="16"/>
        <color indexed="8"/>
        <rFont val="AngsanaUPC"/>
        <family val="1"/>
      </rPr>
      <t>4</t>
    </r>
  </si>
  <si>
    <t xml:space="preserve">Dowel bar 4-DB12 mm. ยาว 0.50 m. </t>
  </si>
  <si>
    <t>ð</t>
  </si>
  <si>
    <t>ใช้สำหรับออกแบบเสาเข็ม (แทนน้ำหนักตัวมันเอง)</t>
  </si>
  <si>
    <t>&lt;DPT&gt;</t>
  </si>
  <si>
    <t xml:space="preserve"> (Free Earth Support Method)</t>
  </si>
  <si>
    <t>q =</t>
  </si>
  <si>
    <t>A</t>
  </si>
  <si>
    <t xml:space="preserve">   a       F</t>
  </si>
  <si>
    <t xml:space="preserve"> </t>
  </si>
  <si>
    <t>F=</t>
  </si>
  <si>
    <t>kg</t>
  </si>
  <si>
    <t>y =</t>
  </si>
  <si>
    <t>x =</t>
  </si>
  <si>
    <t xml:space="preserve">         b</t>
  </si>
  <si>
    <t>degree</t>
  </si>
  <si>
    <t xml:space="preserve">            c</t>
  </si>
  <si>
    <t xml:space="preserve">e  d   </t>
  </si>
  <si>
    <t>Try: L=</t>
  </si>
  <si>
    <t>m</t>
  </si>
  <si>
    <t>z =</t>
  </si>
  <si>
    <t xml:space="preserve">   Zero</t>
  </si>
  <si>
    <t xml:space="preserve">   Pressure</t>
  </si>
  <si>
    <t>Pile Width=</t>
  </si>
  <si>
    <t>@</t>
  </si>
  <si>
    <t>Max Moment=</t>
  </si>
  <si>
    <t>kg-m</t>
  </si>
  <si>
    <t>at</t>
  </si>
  <si>
    <t>m from top</t>
  </si>
  <si>
    <t>(kg)</t>
  </si>
  <si>
    <t>f</t>
  </si>
  <si>
    <t>Horizontal Force Diagram</t>
  </si>
  <si>
    <t xml:space="preserve">       Area Forces</t>
  </si>
  <si>
    <t>Note:</t>
  </si>
  <si>
    <t>a =</t>
  </si>
  <si>
    <t>kg/m</t>
  </si>
  <si>
    <t>b =</t>
  </si>
  <si>
    <t>c =</t>
  </si>
  <si>
    <t>d =</t>
  </si>
  <si>
    <t>e =</t>
  </si>
  <si>
    <t xml:space="preserve"> f =</t>
  </si>
  <si>
    <t>หมายเหตุ</t>
  </si>
  <si>
    <t>โปรแกรมนี้เป็นเพียงโปรแกรมช่วยในการคำนวนเขื่อนกันดินชนิดตอกเสาเข็มแบบมีสมอดึง</t>
  </si>
  <si>
    <t>การนำผลลัพธ์นี้ไปใช้งานต่อไป เป็นวิจารณญาณและความรับผิดชอบของผู้ใช้งานเอง</t>
  </si>
  <si>
    <r>
      <t xml:space="preserve">   </t>
    </r>
    <r>
      <rPr>
        <b/>
        <i/>
        <u val="single"/>
        <sz val="10"/>
        <rFont val="Arial"/>
        <family val="2"/>
      </rPr>
      <t>Anchored Bulkhead</t>
    </r>
  </si>
  <si>
    <r>
      <t>kg/m</t>
    </r>
    <r>
      <rPr>
        <vertAlign val="superscript"/>
        <sz val="10"/>
        <rFont val="Arial"/>
        <family val="2"/>
      </rPr>
      <t>2</t>
    </r>
  </si>
  <si>
    <r>
      <t>g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>=</t>
    </r>
  </si>
  <si>
    <r>
      <t>kg/m</t>
    </r>
    <r>
      <rPr>
        <vertAlign val="super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</si>
  <si>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</t>
    </r>
  </si>
  <si>
    <r>
      <t>f</t>
    </r>
    <r>
      <rPr>
        <vertAlign val="subscript"/>
        <sz val="10"/>
        <rFont val="Symbol"/>
        <family val="1"/>
      </rPr>
      <t>1</t>
    </r>
    <r>
      <rPr>
        <sz val="10"/>
        <rFont val="Symbol"/>
        <family val="1"/>
      </rPr>
      <t>=</t>
    </r>
  </si>
  <si>
    <r>
      <t>g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>=</t>
    </r>
  </si>
  <si>
    <r>
      <t>f</t>
    </r>
    <r>
      <rPr>
        <vertAlign val="subscript"/>
        <sz val="10"/>
        <rFont val="Symbol"/>
        <family val="1"/>
      </rPr>
      <t>2</t>
    </r>
    <r>
      <rPr>
        <sz val="10"/>
        <rFont val="Symbol"/>
        <family val="1"/>
      </rPr>
      <t>=</t>
    </r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</si>
  <si>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/FS</t>
    </r>
    <r>
      <rPr>
        <sz val="10"/>
        <rFont val="Arial"/>
        <family val="2"/>
      </rPr>
      <t>=</t>
    </r>
  </si>
  <si>
    <r>
      <t>e</t>
    </r>
    <r>
      <rPr>
        <sz val="10"/>
        <color indexed="9"/>
        <rFont val="Arial"/>
        <family val="2"/>
      </rPr>
      <t>M</t>
    </r>
    <r>
      <rPr>
        <vertAlign val="subscript"/>
        <sz val="10"/>
        <color indexed="9"/>
        <rFont val="Arial"/>
        <family val="2"/>
      </rPr>
      <t>@A</t>
    </r>
    <r>
      <rPr>
        <sz val="10"/>
        <color indexed="9"/>
        <rFont val="Arial"/>
        <family val="2"/>
      </rPr>
      <t>=</t>
    </r>
  </si>
  <si>
    <r>
      <t>FS</t>
    </r>
    <r>
      <rPr>
        <sz val="10"/>
        <rFont val="Arial"/>
        <family val="0"/>
      </rPr>
      <t>=</t>
    </r>
  </si>
  <si>
    <t>Section : Side view</t>
  </si>
  <si>
    <t>โครงการก่อสร้าง :</t>
  </si>
  <si>
    <t>หน่วยงาน :</t>
  </si>
  <si>
    <t>วิศวกร  :</t>
  </si>
  <si>
    <t>ว/ด/ป  :</t>
  </si>
  <si>
    <t>สถานที่  :</t>
  </si>
  <si>
    <t>ประเภทโครงสร้าง  :</t>
  </si>
  <si>
    <t>ที่สภาวะใช้งาน</t>
  </si>
  <si>
    <t>ขณะถ่ายแรง</t>
  </si>
  <si>
    <t>1.คุณสมบัติของคอนกรีต</t>
  </si>
  <si>
    <t>2.คุณสมบัติของลวดอัดแรงกำลังสูง</t>
  </si>
  <si>
    <t>3.ข้อมูลที่ใช้ออกแบบ</t>
  </si>
  <si>
    <t>4.ออกแบบลวดอัดแรง</t>
  </si>
  <si>
    <t>5.ตรวจสอบหน่วยแรงที่เกิด</t>
  </si>
  <si>
    <t>6.ตรวจสอบกำลังรับแรงของเสาเข็ม</t>
  </si>
  <si>
    <t>รายละเอียด</t>
  </si>
  <si>
    <t>(หล่อในที่)</t>
  </si>
  <si>
    <t>ชื่อขนาด</t>
  </si>
  <si>
    <t>I-18*18</t>
  </si>
  <si>
    <t>I-22*22</t>
  </si>
  <si>
    <t>I-26*26</t>
  </si>
  <si>
    <t>I-30*30</t>
  </si>
  <si>
    <t>I-35*35</t>
  </si>
  <si>
    <t>I-40*40</t>
  </si>
  <si>
    <t>A(cm2)</t>
  </si>
  <si>
    <t>I(cm4)</t>
  </si>
  <si>
    <t>Z(cm3)</t>
  </si>
  <si>
    <t>เขียนโดยอาจารย์เสริมพันธ์  เอี่ยมจะบก (ใช้ในการวิเคราะห์เพื่อการออกแบบในเบื้องต้น, 8 กค. 2550)</t>
  </si>
  <si>
    <t>ออกแบบเสาเข็ม Sheet Pile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</si>
</sst>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m/d/yy\ h:mm\ AM/PM"/>
    <numFmt numFmtId="181" formatCode="#\ ?/4"/>
    <numFmt numFmtId="182" formatCode="#,##0.000"/>
    <numFmt numFmtId="183" formatCode="#,##0.0"/>
    <numFmt numFmtId="184" formatCode=";;;"/>
    <numFmt numFmtId="185" formatCode="&quot;฿&quot;#,##0.00"/>
    <numFmt numFmtId="186" formatCode="d\-mmm\-yyyy"/>
    <numFmt numFmtId="187" formatCode="[$-409]dddd\,\ mmmm\ dd\,\ yyyy"/>
    <numFmt numFmtId="188" formatCode="[$-409]d\-mmm\-yyyy;@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55">
    <font>
      <sz val="16"/>
      <name val="AngsanaUPC"/>
      <family val="0"/>
    </font>
    <font>
      <sz val="8"/>
      <name val="AngsanaUPC"/>
      <family val="0"/>
    </font>
    <font>
      <sz val="12"/>
      <name val="Symbol"/>
      <family val="1"/>
    </font>
    <font>
      <vertAlign val="superscript"/>
      <sz val="16"/>
      <name val="AngsanaUPC"/>
      <family val="1"/>
    </font>
    <font>
      <sz val="16"/>
      <color indexed="12"/>
      <name val="AngsanaUPC"/>
      <family val="0"/>
    </font>
    <font>
      <u val="single"/>
      <sz val="16"/>
      <color indexed="12"/>
      <name val="AngsanaUPC"/>
      <family val="0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CordiaUPC"/>
      <family val="0"/>
    </font>
    <font>
      <sz val="8"/>
      <name val="MS Sans Serif"/>
      <family val="2"/>
    </font>
    <font>
      <sz val="14"/>
      <color indexed="8"/>
      <name val="CordiaUPC"/>
      <family val="0"/>
    </font>
    <font>
      <sz val="14"/>
      <color indexed="8"/>
      <name val="AngsanaUPC"/>
      <family val="1"/>
    </font>
    <font>
      <b/>
      <sz val="18"/>
      <color indexed="8"/>
      <name val="AngsanaUPC"/>
      <family val="1"/>
    </font>
    <font>
      <b/>
      <sz val="16"/>
      <color indexed="8"/>
      <name val="Angsana New"/>
      <family val="1"/>
    </font>
    <font>
      <sz val="16"/>
      <color indexed="8"/>
      <name val="AngsanaUPC"/>
      <family val="1"/>
    </font>
    <font>
      <sz val="16"/>
      <color indexed="8"/>
      <name val="Angsana New"/>
      <family val="1"/>
    </font>
    <font>
      <vertAlign val="subscript"/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b/>
      <sz val="18"/>
      <color indexed="8"/>
      <name val="CordiaUPC"/>
      <family val="2"/>
    </font>
    <font>
      <b/>
      <u val="double"/>
      <sz val="16"/>
      <color indexed="8"/>
      <name val="AngsanaUPC"/>
      <family val="1"/>
    </font>
    <font>
      <sz val="16"/>
      <color indexed="12"/>
      <name val="Angsana New"/>
      <family val="1"/>
    </font>
    <font>
      <sz val="12"/>
      <name val="Wingdings"/>
      <family val="0"/>
    </font>
    <font>
      <sz val="16"/>
      <color indexed="10"/>
      <name val="AngsanaUPC"/>
      <family val="1"/>
    </font>
    <font>
      <sz val="10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vertAlign val="subscript"/>
      <sz val="10"/>
      <name val="Symbol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b/>
      <i/>
      <sz val="10"/>
      <color indexed="12"/>
      <name val="Arial"/>
      <family val="2"/>
    </font>
    <font>
      <sz val="9"/>
      <color indexed="14"/>
      <name val="Arial"/>
      <family val="2"/>
    </font>
    <font>
      <vertAlign val="subscript"/>
      <sz val="10"/>
      <color indexed="9"/>
      <name val="Arial"/>
      <family val="2"/>
    </font>
    <font>
      <sz val="10"/>
      <color indexed="9"/>
      <name val="Symbol"/>
      <family val="1"/>
    </font>
    <font>
      <sz val="10"/>
      <color indexed="14"/>
      <name val="Arial"/>
      <family val="0"/>
    </font>
    <font>
      <b/>
      <sz val="10"/>
      <name val="Arial"/>
      <family val="0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  <font>
      <b/>
      <sz val="16"/>
      <color indexed="12"/>
      <name val="Angsana New"/>
      <family val="1"/>
    </font>
    <font>
      <b/>
      <sz val="16"/>
      <color indexed="17"/>
      <name val="Angsana New"/>
      <family val="1"/>
    </font>
    <font>
      <b/>
      <sz val="20"/>
      <color indexed="17"/>
      <name val="AngsanaUPC"/>
      <family val="1"/>
    </font>
    <font>
      <sz val="12"/>
      <color indexed="8"/>
      <name val="AngsanaUPC"/>
      <family val="1"/>
    </font>
    <font>
      <b/>
      <sz val="14"/>
      <color indexed="8"/>
      <name val="AngsanaUPC"/>
      <family val="1"/>
    </font>
    <font>
      <b/>
      <sz val="16"/>
      <color indexed="12"/>
      <name val="AngsanaUPC"/>
      <family val="1"/>
    </font>
    <font>
      <b/>
      <sz val="18"/>
      <color indexed="12"/>
      <name val="AngsanaUPC"/>
      <family val="1"/>
    </font>
    <font>
      <b/>
      <sz val="18"/>
      <color indexed="17"/>
      <name val="AngsanaUPC"/>
      <family val="1"/>
    </font>
    <font>
      <b/>
      <sz val="26"/>
      <color indexed="17"/>
      <name val="AngsanaUPC"/>
      <family val="1"/>
    </font>
    <font>
      <b/>
      <sz val="16"/>
      <color indexed="10"/>
      <name val="AngsanaUPC"/>
      <family val="1"/>
    </font>
    <font>
      <b/>
      <sz val="16"/>
      <color indexed="17"/>
      <name val="AngsanaUPC"/>
      <family val="1"/>
    </font>
    <font>
      <sz val="14"/>
      <color indexed="17"/>
      <name val="CordiaUPC"/>
      <family val="0"/>
    </font>
    <font>
      <b/>
      <sz val="8"/>
      <name val="AngsanaUPC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4" fontId="7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4" fontId="0" fillId="0" borderId="0" xfId="19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 quotePrefix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20" applyFont="1" applyProtection="1">
      <alignment/>
      <protection hidden="1"/>
    </xf>
    <xf numFmtId="0" fontId="10" fillId="0" borderId="0" xfId="20" applyNumberFormat="1" applyFont="1" applyProtection="1">
      <alignment/>
      <protection hidden="1"/>
    </xf>
    <xf numFmtId="0" fontId="10" fillId="0" borderId="0" xfId="20" applyNumberFormat="1" applyFont="1" applyAlignment="1" applyProtection="1">
      <alignment horizontal="right"/>
      <protection hidden="1"/>
    </xf>
    <xf numFmtId="0" fontId="10" fillId="0" borderId="0" xfId="20" applyNumberFormat="1" applyFont="1" applyAlignment="1" applyProtection="1" quotePrefix="1">
      <alignment horizontal="right"/>
      <protection hidden="1"/>
    </xf>
    <xf numFmtId="0" fontId="11" fillId="0" borderId="0" xfId="20" applyFont="1" applyBorder="1" applyProtection="1">
      <alignment/>
      <protection hidden="1"/>
    </xf>
    <xf numFmtId="4" fontId="11" fillId="0" borderId="0" xfId="20" applyNumberFormat="1" applyFont="1" applyBorder="1" applyProtection="1">
      <alignment/>
      <protection hidden="1"/>
    </xf>
    <xf numFmtId="0" fontId="10" fillId="0" borderId="7" xfId="20" applyFont="1" applyBorder="1" applyProtection="1">
      <alignment/>
      <protection hidden="1"/>
    </xf>
    <xf numFmtId="0" fontId="10" fillId="0" borderId="8" xfId="20" applyFont="1" applyBorder="1" applyProtection="1">
      <alignment/>
      <protection hidden="1"/>
    </xf>
    <xf numFmtId="0" fontId="11" fillId="0" borderId="0" xfId="20" applyFont="1" applyBorder="1" applyAlignment="1" applyProtection="1" quotePrefix="1">
      <alignment horizontal="left"/>
      <protection hidden="1"/>
    </xf>
    <xf numFmtId="0" fontId="10" fillId="0" borderId="3" xfId="20" applyFont="1" applyBorder="1" applyProtection="1">
      <alignment/>
      <protection hidden="1"/>
    </xf>
    <xf numFmtId="0" fontId="11" fillId="0" borderId="0" xfId="20" applyFont="1" applyBorder="1" applyAlignment="1" applyProtection="1" quotePrefix="1">
      <alignment horizontal="centerContinuous"/>
      <protection hidden="1"/>
    </xf>
    <xf numFmtId="0" fontId="10" fillId="0" borderId="0" xfId="20" applyFont="1" applyAlignment="1" applyProtection="1">
      <alignment horizontal="centerContinuous"/>
      <protection hidden="1"/>
    </xf>
    <xf numFmtId="0" fontId="10" fillId="0" borderId="4" xfId="20" applyFont="1" applyBorder="1" applyProtection="1">
      <alignment/>
      <protection hidden="1"/>
    </xf>
    <xf numFmtId="0" fontId="12" fillId="0" borderId="0" xfId="20" applyFont="1" applyBorder="1" applyProtection="1">
      <alignment/>
      <protection hidden="1"/>
    </xf>
    <xf numFmtId="0" fontId="11" fillId="0" borderId="0" xfId="20" applyFont="1" applyBorder="1" applyAlignment="1" applyProtection="1">
      <alignment horizontal="right"/>
      <protection hidden="1"/>
    </xf>
    <xf numFmtId="0" fontId="13" fillId="0" borderId="7" xfId="20" applyFont="1" applyBorder="1" applyAlignment="1" applyProtection="1">
      <alignment horizontal="centerContinuous"/>
      <protection hidden="1"/>
    </xf>
    <xf numFmtId="181" fontId="15" fillId="0" borderId="6" xfId="20" applyNumberFormat="1" applyFont="1" applyBorder="1" applyAlignment="1" applyProtection="1">
      <alignment horizontal="right"/>
      <protection hidden="1"/>
    </xf>
    <xf numFmtId="185" fontId="15" fillId="0" borderId="6" xfId="20" applyNumberFormat="1" applyFont="1" applyBorder="1" applyAlignment="1" applyProtection="1">
      <alignment horizontal="right"/>
      <protection hidden="1"/>
    </xf>
    <xf numFmtId="0" fontId="15" fillId="0" borderId="6" xfId="20" applyFont="1" applyBorder="1" applyAlignment="1" applyProtection="1">
      <alignment horizontal="right"/>
      <protection hidden="1"/>
    </xf>
    <xf numFmtId="0" fontId="15" fillId="0" borderId="6" xfId="20" applyFont="1" applyBorder="1" applyAlignment="1" applyProtection="1">
      <alignment horizontal="left"/>
      <protection hidden="1"/>
    </xf>
    <xf numFmtId="0" fontId="13" fillId="0" borderId="8" xfId="20" applyFont="1" applyBorder="1" applyAlignment="1" applyProtection="1">
      <alignment horizontal="left"/>
      <protection hidden="1"/>
    </xf>
    <xf numFmtId="0" fontId="10" fillId="0" borderId="2" xfId="20" applyFont="1" applyBorder="1" applyProtection="1">
      <alignment/>
      <protection hidden="1"/>
    </xf>
    <xf numFmtId="0" fontId="10" fillId="0" borderId="0" xfId="20" applyFont="1" applyBorder="1" applyAlignment="1" applyProtection="1" quotePrefix="1">
      <alignment horizontal="left"/>
      <protection hidden="1"/>
    </xf>
    <xf numFmtId="0" fontId="10" fillId="0" borderId="0" xfId="20" applyFont="1" applyBorder="1" applyProtection="1">
      <alignment/>
      <protection hidden="1"/>
    </xf>
    <xf numFmtId="0" fontId="10" fillId="0" borderId="0" xfId="20" applyFont="1" applyBorder="1" applyAlignment="1" applyProtection="1">
      <alignment horizontal="right"/>
      <protection hidden="1"/>
    </xf>
    <xf numFmtId="0" fontId="14" fillId="0" borderId="0" xfId="20" applyFont="1" applyBorder="1" applyAlignment="1" applyProtection="1">
      <alignment horizontal="left"/>
      <protection hidden="1"/>
    </xf>
    <xf numFmtId="0" fontId="14" fillId="0" borderId="0" xfId="20" applyFont="1" applyBorder="1" applyProtection="1">
      <alignment/>
      <protection hidden="1"/>
    </xf>
    <xf numFmtId="4" fontId="14" fillId="0" borderId="9" xfId="20" applyNumberFormat="1" applyFont="1" applyBorder="1" applyAlignment="1" applyProtection="1">
      <alignment horizontal="right"/>
      <protection hidden="1"/>
    </xf>
    <xf numFmtId="183" fontId="14" fillId="0" borderId="0" xfId="20" applyNumberFormat="1" applyFont="1" applyBorder="1" applyProtection="1">
      <alignment/>
      <protection hidden="1"/>
    </xf>
    <xf numFmtId="182" fontId="14" fillId="0" borderId="0" xfId="20" applyNumberFormat="1" applyFont="1" applyBorder="1" applyAlignment="1" applyProtection="1">
      <alignment horizontal="right"/>
      <protection hidden="1"/>
    </xf>
    <xf numFmtId="183" fontId="14" fillId="0" borderId="0" xfId="20" applyNumberFormat="1" applyFont="1" applyBorder="1" applyAlignment="1" applyProtection="1">
      <alignment horizontal="right"/>
      <protection hidden="1"/>
    </xf>
    <xf numFmtId="0" fontId="14" fillId="0" borderId="0" xfId="20" applyNumberFormat="1" applyFont="1" applyAlignment="1" applyProtection="1">
      <alignment horizontal="right"/>
      <protection hidden="1"/>
    </xf>
    <xf numFmtId="0" fontId="18" fillId="0" borderId="0" xfId="20" applyFont="1" applyBorder="1" applyProtection="1">
      <alignment/>
      <protection hidden="1"/>
    </xf>
    <xf numFmtId="4" fontId="14" fillId="0" borderId="0" xfId="20" applyNumberFormat="1" applyFont="1" applyBorder="1" applyAlignment="1" applyProtection="1">
      <alignment horizontal="centerContinuous"/>
      <protection hidden="1"/>
    </xf>
    <xf numFmtId="3" fontId="14" fillId="0" borderId="0" xfId="20" applyNumberFormat="1" applyFont="1" applyBorder="1" applyAlignment="1" applyProtection="1">
      <alignment horizontal="right"/>
      <protection hidden="1"/>
    </xf>
    <xf numFmtId="0" fontId="14" fillId="0" borderId="0" xfId="20" applyFont="1" applyBorder="1" applyAlignment="1" applyProtection="1">
      <alignment horizontal="center"/>
      <protection hidden="1"/>
    </xf>
    <xf numFmtId="4" fontId="14" fillId="0" borderId="0" xfId="20" applyNumberFormat="1" applyFont="1" applyBorder="1" applyAlignment="1" applyProtection="1">
      <alignment horizontal="right"/>
      <protection hidden="1"/>
    </xf>
    <xf numFmtId="4" fontId="14" fillId="0" borderId="0" xfId="20" applyNumberFormat="1" applyFont="1" applyFill="1" applyBorder="1" applyAlignment="1" applyProtection="1">
      <alignment horizontal="centerContinuous"/>
      <protection hidden="1"/>
    </xf>
    <xf numFmtId="0" fontId="14" fillId="0" borderId="0" xfId="20" applyFont="1" applyBorder="1" applyAlignment="1" applyProtection="1">
      <alignment horizontal="centerContinuous"/>
      <protection hidden="1"/>
    </xf>
    <xf numFmtId="4" fontId="14" fillId="0" borderId="0" xfId="20" applyNumberFormat="1" applyFont="1" applyFill="1" applyBorder="1" applyAlignment="1" applyProtection="1">
      <alignment horizontal="right"/>
      <protection hidden="1"/>
    </xf>
    <xf numFmtId="0" fontId="14" fillId="0" borderId="0" xfId="20" applyNumberFormat="1" applyFont="1" applyBorder="1" applyAlignment="1" applyProtection="1">
      <alignment horizontal="left"/>
      <protection hidden="1"/>
    </xf>
    <xf numFmtId="0" fontId="14" fillId="0" borderId="0" xfId="20" applyFont="1" applyBorder="1" applyAlignment="1" applyProtection="1" quotePrefix="1">
      <alignment horizontal="left"/>
      <protection hidden="1"/>
    </xf>
    <xf numFmtId="0" fontId="14" fillId="0" borderId="0" xfId="20" applyFont="1" applyBorder="1" applyAlignment="1" applyProtection="1">
      <alignment horizontal="right"/>
      <protection hidden="1"/>
    </xf>
    <xf numFmtId="3" fontId="14" fillId="0" borderId="0" xfId="20" applyNumberFormat="1" applyFont="1" applyFill="1" applyBorder="1" applyAlignment="1" applyProtection="1">
      <alignment horizontal="centerContinuous"/>
      <protection hidden="1"/>
    </xf>
    <xf numFmtId="4" fontId="14" fillId="0" borderId="0" xfId="20" applyNumberFormat="1" applyFont="1" applyBorder="1" applyAlignment="1" applyProtection="1">
      <alignment horizontal="left"/>
      <protection hidden="1"/>
    </xf>
    <xf numFmtId="0" fontId="10" fillId="0" borderId="2" xfId="20" applyFont="1" applyBorder="1" applyAlignment="1" applyProtection="1">
      <alignment horizontal="left"/>
      <protection hidden="1"/>
    </xf>
    <xf numFmtId="0" fontId="14" fillId="0" borderId="9" xfId="20" applyFont="1" applyBorder="1" applyAlignment="1" applyProtection="1">
      <alignment horizontal="right"/>
      <protection hidden="1"/>
    </xf>
    <xf numFmtId="3" fontId="14" fillId="0" borderId="0" xfId="20" applyNumberFormat="1" applyFont="1" applyBorder="1" applyAlignment="1" applyProtection="1">
      <alignment horizontal="center"/>
      <protection hidden="1"/>
    </xf>
    <xf numFmtId="3" fontId="14" fillId="0" borderId="0" xfId="20" applyNumberFormat="1" applyFont="1" applyBorder="1" applyAlignment="1" applyProtection="1" quotePrefix="1">
      <alignment horizontal="left"/>
      <protection hidden="1"/>
    </xf>
    <xf numFmtId="4" fontId="14" fillId="0" borderId="10" xfId="20" applyNumberFormat="1" applyFont="1" applyBorder="1" applyAlignment="1" applyProtection="1">
      <alignment horizontal="right"/>
      <protection hidden="1"/>
    </xf>
    <xf numFmtId="4" fontId="14" fillId="0" borderId="0" xfId="20" applyNumberFormat="1" applyFont="1" applyBorder="1" applyAlignment="1" applyProtection="1">
      <alignment horizontal="center"/>
      <protection hidden="1"/>
    </xf>
    <xf numFmtId="3" fontId="14" fillId="0" borderId="0" xfId="20" applyNumberFormat="1" applyFont="1" applyBorder="1" applyProtection="1">
      <alignment/>
      <protection hidden="1"/>
    </xf>
    <xf numFmtId="4" fontId="16" fillId="0" borderId="0" xfId="20" applyNumberFormat="1" applyFont="1" applyBorder="1" applyAlignment="1" applyProtection="1">
      <alignment horizontal="center"/>
      <protection hidden="1"/>
    </xf>
    <xf numFmtId="3" fontId="14" fillId="0" borderId="0" xfId="20" applyNumberFormat="1" applyFont="1" applyBorder="1" applyAlignment="1" applyProtection="1">
      <alignment horizontal="left"/>
      <protection hidden="1"/>
    </xf>
    <xf numFmtId="0" fontId="17" fillId="0" borderId="0" xfId="20" applyFont="1" applyBorder="1" applyProtection="1">
      <alignment/>
      <protection hidden="1"/>
    </xf>
    <xf numFmtId="0" fontId="16" fillId="0" borderId="0" xfId="20" applyFont="1" applyBorder="1" applyAlignment="1" applyProtection="1">
      <alignment horizontal="centerContinuous"/>
      <protection hidden="1"/>
    </xf>
    <xf numFmtId="0" fontId="17" fillId="0" borderId="0" xfId="20" applyFont="1" applyBorder="1" applyAlignment="1" applyProtection="1">
      <alignment horizontal="centerContinuous"/>
      <protection hidden="1"/>
    </xf>
    <xf numFmtId="0" fontId="15" fillId="0" borderId="1" xfId="20" applyFont="1" applyBorder="1" applyProtection="1">
      <alignment/>
      <protection hidden="1"/>
    </xf>
    <xf numFmtId="0" fontId="15" fillId="0" borderId="1" xfId="20" applyFont="1" applyBorder="1" applyAlignment="1" applyProtection="1">
      <alignment horizontal="centerContinuous"/>
      <protection hidden="1"/>
    </xf>
    <xf numFmtId="0" fontId="15" fillId="0" borderId="1" xfId="20" applyFont="1" applyBorder="1" applyAlignment="1" applyProtection="1">
      <alignment horizontal="right"/>
      <protection hidden="1"/>
    </xf>
    <xf numFmtId="0" fontId="10" fillId="0" borderId="5" xfId="20" applyFont="1" applyBorder="1" applyProtection="1">
      <alignment/>
      <protection hidden="1"/>
    </xf>
    <xf numFmtId="0" fontId="15" fillId="0" borderId="0" xfId="20" applyFont="1" applyProtection="1">
      <alignment/>
      <protection hidden="1"/>
    </xf>
    <xf numFmtId="0" fontId="15" fillId="0" borderId="0" xfId="20" applyFont="1" applyAlignment="1" applyProtection="1">
      <alignment horizontal="centerContinuous"/>
      <protection hidden="1"/>
    </xf>
    <xf numFmtId="0" fontId="15" fillId="0" borderId="0" xfId="20" applyFont="1" applyAlignment="1" applyProtection="1">
      <alignment horizontal="right"/>
      <protection hidden="1"/>
    </xf>
    <xf numFmtId="0" fontId="10" fillId="0" borderId="6" xfId="20" applyFont="1" applyBorder="1" applyProtection="1">
      <alignment/>
      <protection hidden="1"/>
    </xf>
    <xf numFmtId="0" fontId="10" fillId="0" borderId="6" xfId="20" applyFont="1" applyBorder="1" applyAlignment="1" applyProtection="1">
      <alignment horizontal="right"/>
      <protection hidden="1"/>
    </xf>
    <xf numFmtId="0" fontId="10" fillId="0" borderId="8" xfId="20" applyNumberFormat="1" applyFont="1" applyBorder="1" applyProtection="1">
      <alignment/>
      <protection hidden="1"/>
    </xf>
    <xf numFmtId="0" fontId="10" fillId="0" borderId="2" xfId="20" applyNumberFormat="1" applyFont="1" applyBorder="1" applyProtection="1">
      <alignment/>
      <protection hidden="1"/>
    </xf>
    <xf numFmtId="0" fontId="14" fillId="0" borderId="0" xfId="20" applyFont="1" applyBorder="1" applyAlignment="1" applyProtection="1">
      <alignment horizontal="left"/>
      <protection locked="0"/>
    </xf>
    <xf numFmtId="0" fontId="14" fillId="0" borderId="0" xfId="20" applyFont="1" applyBorder="1" applyAlignment="1" applyProtection="1">
      <alignment horizontal="left"/>
      <protection hidden="1" locked="0"/>
    </xf>
    <xf numFmtId="0" fontId="11" fillId="0" borderId="0" xfId="20" applyFont="1" applyBorder="1" applyAlignment="1" applyProtection="1">
      <alignment horizontal="left"/>
      <protection hidden="1"/>
    </xf>
    <xf numFmtId="0" fontId="11" fillId="0" borderId="0" xfId="20" applyFont="1" applyBorder="1" applyAlignment="1" applyProtection="1">
      <alignment horizontal="center"/>
      <protection hidden="1"/>
    </xf>
    <xf numFmtId="0" fontId="10" fillId="0" borderId="0" xfId="20" applyFont="1" applyBorder="1" applyAlignment="1" applyProtection="1">
      <alignment horizontal="left"/>
      <protection hidden="1"/>
    </xf>
    <xf numFmtId="3" fontId="11" fillId="0" borderId="0" xfId="20" applyNumberFormat="1" applyFont="1" applyBorder="1" applyAlignment="1" applyProtection="1">
      <alignment horizontal="center"/>
      <protection hidden="1"/>
    </xf>
    <xf numFmtId="0" fontId="19" fillId="0" borderId="0" xfId="20" applyFont="1" applyBorder="1" applyProtection="1">
      <alignment/>
      <protection hidden="1"/>
    </xf>
    <xf numFmtId="0" fontId="14" fillId="0" borderId="6" xfId="20" applyFont="1" applyBorder="1" applyProtection="1">
      <alignment/>
      <protection hidden="1"/>
    </xf>
    <xf numFmtId="0" fontId="14" fillId="0" borderId="6" xfId="20" applyFont="1" applyBorder="1" applyAlignment="1" applyProtection="1" quotePrefix="1">
      <alignment horizontal="center"/>
      <protection hidden="1"/>
    </xf>
    <xf numFmtId="0" fontId="14" fillId="0" borderId="6" xfId="20" applyFont="1" applyBorder="1" applyAlignment="1" applyProtection="1">
      <alignment horizontal="left"/>
      <protection hidden="1"/>
    </xf>
    <xf numFmtId="0" fontId="10" fillId="0" borderId="8" xfId="20" applyFont="1" applyBorder="1" applyAlignment="1" applyProtection="1">
      <alignment horizontal="right"/>
      <protection hidden="1"/>
    </xf>
    <xf numFmtId="0" fontId="14" fillId="0" borderId="0" xfId="20" applyFont="1" applyBorder="1" applyAlignment="1" applyProtection="1" quotePrefix="1">
      <alignment horizontal="center"/>
      <protection hidden="1"/>
    </xf>
    <xf numFmtId="0" fontId="10" fillId="0" borderId="2" xfId="20" applyFont="1" applyBorder="1" applyAlignment="1" applyProtection="1">
      <alignment horizontal="right"/>
      <protection hidden="1"/>
    </xf>
    <xf numFmtId="0" fontId="14" fillId="0" borderId="1" xfId="20" applyFont="1" applyBorder="1" applyProtection="1">
      <alignment/>
      <protection hidden="1"/>
    </xf>
    <xf numFmtId="0" fontId="10" fillId="0" borderId="1" xfId="20" applyFont="1" applyBorder="1" applyProtection="1">
      <alignment/>
      <protection hidden="1"/>
    </xf>
    <xf numFmtId="0" fontId="10" fillId="0" borderId="1" xfId="20" applyFont="1" applyBorder="1" applyAlignment="1" applyProtection="1">
      <alignment horizontal="right"/>
      <protection hidden="1"/>
    </xf>
    <xf numFmtId="0" fontId="10" fillId="0" borderId="5" xfId="20" applyFont="1" applyBorder="1" applyAlignment="1" applyProtection="1">
      <alignment horizontal="right"/>
      <protection hidden="1"/>
    </xf>
    <xf numFmtId="0" fontId="10" fillId="0" borderId="5" xfId="20" applyNumberFormat="1" applyFont="1" applyBorder="1" applyProtection="1">
      <alignment/>
      <protection hidden="1"/>
    </xf>
    <xf numFmtId="0" fontId="10" fillId="0" borderId="0" xfId="20" applyFont="1" applyAlignment="1" applyProtection="1">
      <alignment horizontal="right"/>
      <protection hidden="1"/>
    </xf>
    <xf numFmtId="4" fontId="10" fillId="0" borderId="0" xfId="20" applyNumberFormat="1" applyFont="1" applyProtection="1">
      <alignment/>
      <protection hidden="1"/>
    </xf>
    <xf numFmtId="0" fontId="10" fillId="0" borderId="0" xfId="20" applyFont="1" applyProtection="1">
      <alignment/>
      <protection locked="0"/>
    </xf>
    <xf numFmtId="4" fontId="20" fillId="0" borderId="6" xfId="20" applyNumberFormat="1" applyFont="1" applyBorder="1" applyAlignment="1" applyProtection="1">
      <alignment horizontal="right"/>
      <protection locked="0"/>
    </xf>
    <xf numFmtId="4" fontId="4" fillId="0" borderId="0" xfId="20" applyNumberFormat="1" applyFont="1" applyFill="1" applyBorder="1" applyAlignment="1" applyProtection="1">
      <alignment horizontal="centerContinuous"/>
      <protection locked="0"/>
    </xf>
    <xf numFmtId="4" fontId="4" fillId="0" borderId="10" xfId="20" applyNumberFormat="1" applyFont="1" applyFill="1" applyBorder="1" applyAlignment="1" applyProtection="1">
      <alignment horizontal="right"/>
      <protection locked="0"/>
    </xf>
    <xf numFmtId="4" fontId="4" fillId="0" borderId="0" xfId="20" applyNumberFormat="1" applyFont="1" applyBorder="1" applyAlignment="1" applyProtection="1">
      <alignment horizontal="center"/>
      <protection locked="0"/>
    </xf>
    <xf numFmtId="4" fontId="4" fillId="0" borderId="10" xfId="20" applyNumberFormat="1" applyFont="1" applyBorder="1" applyAlignment="1" applyProtection="1">
      <alignment horizontal="right"/>
      <protection locked="0"/>
    </xf>
    <xf numFmtId="2" fontId="4" fillId="0" borderId="10" xfId="20" applyNumberFormat="1" applyFont="1" applyBorder="1" applyAlignment="1" applyProtection="1">
      <alignment horizontal="right"/>
      <protection locked="0"/>
    </xf>
    <xf numFmtId="4" fontId="4" fillId="0" borderId="6" xfId="20" applyNumberFormat="1" applyFont="1" applyBorder="1" applyAlignment="1" applyProtection="1">
      <alignment horizontal="right"/>
      <protection locked="0"/>
    </xf>
    <xf numFmtId="4" fontId="4" fillId="0" borderId="6" xfId="20" applyNumberFormat="1" applyFont="1" applyBorder="1" applyAlignment="1" applyProtection="1">
      <alignment horizontal="center"/>
      <protection locked="0"/>
    </xf>
    <xf numFmtId="0" fontId="4" fillId="0" borderId="0" xfId="20" applyFont="1" applyBorder="1" applyAlignment="1" applyProtection="1">
      <alignment horizontal="center"/>
      <protection locked="0"/>
    </xf>
    <xf numFmtId="0" fontId="4" fillId="0" borderId="0" xfId="20" applyFont="1" applyBorder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22" fillId="0" borderId="0" xfId="20" applyFont="1" applyBorder="1" applyAlignment="1" applyProtection="1">
      <alignment horizontal="right"/>
      <protection hidden="1"/>
    </xf>
    <xf numFmtId="0" fontId="22" fillId="0" borderId="9" xfId="20" applyFont="1" applyBorder="1" applyAlignment="1" applyProtection="1">
      <alignment horizontal="right"/>
      <protection hidden="1"/>
    </xf>
    <xf numFmtId="4" fontId="4" fillId="0" borderId="0" xfId="20" applyNumberFormat="1" applyFont="1" applyBorder="1" applyAlignment="1" applyProtection="1">
      <alignment horizontal="right"/>
      <protection locked="0"/>
    </xf>
    <xf numFmtId="0" fontId="23" fillId="0" borderId="0" xfId="21" applyProtection="1">
      <alignment/>
      <protection locked="0"/>
    </xf>
    <xf numFmtId="0" fontId="23" fillId="0" borderId="0" xfId="21">
      <alignment/>
      <protection/>
    </xf>
    <xf numFmtId="0" fontId="25" fillId="0" borderId="0" xfId="21" applyFont="1" applyAlignment="1">
      <alignment horizontal="left"/>
      <protection/>
    </xf>
    <xf numFmtId="0" fontId="26" fillId="0" borderId="0" xfId="21" applyFont="1" applyAlignment="1" quotePrefix="1">
      <alignment horizontal="left"/>
      <protection/>
    </xf>
    <xf numFmtId="0" fontId="27" fillId="0" borderId="0" xfId="21" applyFont="1">
      <alignment/>
      <protection/>
    </xf>
    <xf numFmtId="0" fontId="23" fillId="0" borderId="0" xfId="21" applyAlignment="1" quotePrefix="1">
      <alignment horizontal="left"/>
      <protection/>
    </xf>
    <xf numFmtId="0" fontId="23" fillId="0" borderId="0" xfId="21" applyAlignment="1" quotePrefix="1">
      <alignment horizontal="right"/>
      <protection/>
    </xf>
    <xf numFmtId="0" fontId="28" fillId="0" borderId="11" xfId="21" applyFont="1" applyBorder="1" applyProtection="1">
      <alignment/>
      <protection locked="0"/>
    </xf>
    <xf numFmtId="0" fontId="23" fillId="0" borderId="0" xfId="21" applyAlignment="1">
      <alignment horizontal="right"/>
      <protection/>
    </xf>
    <xf numFmtId="1" fontId="23" fillId="0" borderId="0" xfId="21" applyNumberFormat="1" applyProtection="1">
      <alignment/>
      <protection hidden="1"/>
    </xf>
    <xf numFmtId="0" fontId="30" fillId="0" borderId="0" xfId="21" applyFont="1">
      <alignment/>
      <protection/>
    </xf>
    <xf numFmtId="0" fontId="28" fillId="0" borderId="11" xfId="21" applyNumberFormat="1" applyFont="1" applyBorder="1" applyAlignment="1" applyProtection="1">
      <alignment horizontal="left"/>
      <protection locked="0"/>
    </xf>
    <xf numFmtId="0" fontId="28" fillId="0" borderId="11" xfId="21" applyNumberFormat="1" applyFont="1" applyBorder="1" applyAlignment="1" applyProtection="1">
      <alignment horizontal="right"/>
      <protection locked="0"/>
    </xf>
    <xf numFmtId="1" fontId="30" fillId="0" borderId="0" xfId="21" applyNumberFormat="1" applyFont="1" applyProtection="1">
      <alignment/>
      <protection hidden="1"/>
    </xf>
    <xf numFmtId="2" fontId="23" fillId="0" borderId="0" xfId="21" applyNumberFormat="1">
      <alignment/>
      <protection/>
    </xf>
    <xf numFmtId="0" fontId="32" fillId="0" borderId="0" xfId="21" applyFont="1" applyAlignment="1" quotePrefix="1">
      <alignment horizontal="right"/>
      <protection/>
    </xf>
    <xf numFmtId="0" fontId="28" fillId="0" borderId="11" xfId="21" applyFont="1" applyBorder="1" applyAlignment="1" applyProtection="1">
      <alignment horizontal="right"/>
      <protection locked="0"/>
    </xf>
    <xf numFmtId="194" fontId="23" fillId="0" borderId="0" xfId="21" applyNumberFormat="1" applyAlignment="1">
      <alignment horizontal="left"/>
      <protection/>
    </xf>
    <xf numFmtId="0" fontId="30" fillId="0" borderId="0" xfId="21" applyFont="1" applyProtection="1">
      <alignment/>
      <protection hidden="1"/>
    </xf>
    <xf numFmtId="1" fontId="30" fillId="0" borderId="0" xfId="21" applyNumberFormat="1" applyFont="1" applyAlignment="1" applyProtection="1">
      <alignment horizontal="right"/>
      <protection hidden="1"/>
    </xf>
    <xf numFmtId="0" fontId="34" fillId="0" borderId="0" xfId="21" applyFont="1" applyAlignment="1" quotePrefix="1">
      <alignment horizontal="right"/>
      <protection/>
    </xf>
    <xf numFmtId="0" fontId="28" fillId="0" borderId="0" xfId="21" applyFont="1">
      <alignment/>
      <protection/>
    </xf>
    <xf numFmtId="2" fontId="23" fillId="0" borderId="0" xfId="21" applyNumberFormat="1" applyAlignment="1" applyProtection="1">
      <alignment horizontal="left"/>
      <protection hidden="1"/>
    </xf>
    <xf numFmtId="0" fontId="35" fillId="0" borderId="0" xfId="21" applyFont="1" applyAlignment="1" applyProtection="1">
      <alignment horizontal="center"/>
      <protection hidden="1"/>
    </xf>
    <xf numFmtId="0" fontId="37" fillId="0" borderId="0" xfId="21" applyFont="1" applyAlignment="1" quotePrefix="1">
      <alignment horizontal="left"/>
      <protection/>
    </xf>
    <xf numFmtId="1" fontId="30" fillId="0" borderId="0" xfId="21" applyNumberFormat="1" applyFont="1" applyAlignment="1" applyProtection="1">
      <alignment horizontal="left"/>
      <protection hidden="1"/>
    </xf>
    <xf numFmtId="0" fontId="30" fillId="0" borderId="0" xfId="21" applyFont="1" applyAlignment="1">
      <alignment horizontal="center"/>
      <protection/>
    </xf>
    <xf numFmtId="0" fontId="38" fillId="0" borderId="0" xfId="21" applyFont="1" applyAlignment="1" applyProtection="1">
      <alignment horizontal="left"/>
      <protection locked="0"/>
    </xf>
    <xf numFmtId="0" fontId="23" fillId="0" borderId="0" xfId="21" applyProtection="1">
      <alignment/>
      <protection hidden="1"/>
    </xf>
    <xf numFmtId="2" fontId="23" fillId="0" borderId="0" xfId="21" applyNumberFormat="1" applyProtection="1">
      <alignment/>
      <protection hidden="1"/>
    </xf>
    <xf numFmtId="0" fontId="23" fillId="0" borderId="0" xfId="21" applyAlignment="1">
      <alignment horizontal="center"/>
      <protection/>
    </xf>
    <xf numFmtId="0" fontId="39" fillId="0" borderId="0" xfId="21" applyFont="1" applyAlignment="1" quotePrefix="1">
      <alignment horizontal="center"/>
      <protection/>
    </xf>
    <xf numFmtId="0" fontId="30" fillId="0" borderId="0" xfId="21" applyFont="1" applyAlignment="1" quotePrefix="1">
      <alignment horizontal="left"/>
      <protection/>
    </xf>
    <xf numFmtId="0" fontId="40" fillId="0" borderId="0" xfId="21" applyFont="1">
      <alignment/>
      <protection/>
    </xf>
    <xf numFmtId="0" fontId="41" fillId="0" borderId="0" xfId="21" applyFont="1">
      <alignment/>
      <protection/>
    </xf>
    <xf numFmtId="0" fontId="14" fillId="0" borderId="0" xfId="20" applyFont="1" applyBorder="1" applyAlignment="1" applyProtection="1">
      <alignment/>
      <protection hidden="1"/>
    </xf>
    <xf numFmtId="0" fontId="11" fillId="0" borderId="11" xfId="20" applyNumberFormat="1" applyFont="1" applyBorder="1" applyAlignment="1" applyProtection="1">
      <alignment horizontal="center"/>
      <protection hidden="1"/>
    </xf>
    <xf numFmtId="0" fontId="45" fillId="0" borderId="11" xfId="20" applyNumberFormat="1" applyFont="1" applyBorder="1" applyAlignment="1" applyProtection="1">
      <alignment horizontal="center"/>
      <protection hidden="1"/>
    </xf>
    <xf numFmtId="0" fontId="11" fillId="0" borderId="11" xfId="20" applyNumberFormat="1" applyFont="1" applyBorder="1" applyAlignment="1" applyProtection="1" quotePrefix="1">
      <alignment horizontal="center"/>
      <protection hidden="1"/>
    </xf>
    <xf numFmtId="0" fontId="14" fillId="0" borderId="11" xfId="20" applyNumberFormat="1" applyFont="1" applyBorder="1" applyAlignment="1" applyProtection="1">
      <alignment horizontal="center"/>
      <protection hidden="1"/>
    </xf>
    <xf numFmtId="0" fontId="46" fillId="0" borderId="11" xfId="20" applyNumberFormat="1" applyFont="1" applyBorder="1" applyAlignment="1" applyProtection="1">
      <alignment horizontal="center"/>
      <protection hidden="1"/>
    </xf>
    <xf numFmtId="0" fontId="42" fillId="0" borderId="0" xfId="20" applyFont="1" applyBorder="1" applyAlignment="1" applyProtection="1">
      <alignment horizontal="left"/>
      <protection locked="0"/>
    </xf>
    <xf numFmtId="0" fontId="42" fillId="0" borderId="1" xfId="20" applyFont="1" applyBorder="1" applyAlignment="1" applyProtection="1">
      <alignment horizontal="left"/>
      <protection locked="0"/>
    </xf>
    <xf numFmtId="4" fontId="4" fillId="0" borderId="0" xfId="20" applyNumberFormat="1" applyFont="1" applyAlignment="1" applyProtection="1">
      <alignment horizontal="center"/>
      <protection locked="0"/>
    </xf>
    <xf numFmtId="3" fontId="4" fillId="0" borderId="0" xfId="20" applyNumberFormat="1" applyFont="1" applyBorder="1" applyAlignment="1" applyProtection="1">
      <alignment horizontal="center"/>
      <protection locked="0"/>
    </xf>
    <xf numFmtId="3" fontId="4" fillId="0" borderId="0" xfId="2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4" fillId="0" borderId="0" xfId="20" applyFont="1" applyBorder="1" applyAlignment="1" applyProtection="1">
      <alignment horizontal="center"/>
      <protection hidden="1"/>
    </xf>
    <xf numFmtId="0" fontId="10" fillId="0" borderId="0" xfId="20" applyFont="1" applyBorder="1" applyAlignment="1" applyProtection="1">
      <alignment horizontal="center"/>
      <protection hidden="1"/>
    </xf>
    <xf numFmtId="0" fontId="10" fillId="0" borderId="1" xfId="20" applyFont="1" applyBorder="1" applyAlignment="1" applyProtection="1">
      <alignment horizontal="center"/>
      <protection hidden="1"/>
    </xf>
    <xf numFmtId="0" fontId="11" fillId="0" borderId="0" xfId="20" applyFont="1" applyBorder="1" applyAlignment="1" applyProtection="1">
      <alignment horizontal="left" vertical="center" textRotation="90" shrinkToFit="1"/>
      <protection hidden="1"/>
    </xf>
    <xf numFmtId="0" fontId="10" fillId="0" borderId="0" xfId="20" applyFont="1" applyBorder="1" applyAlignment="1">
      <alignment horizontal="left" vertical="center"/>
      <protection/>
    </xf>
    <xf numFmtId="0" fontId="44" fillId="0" borderId="6" xfId="20" applyFont="1" applyBorder="1" applyAlignment="1" applyProtection="1">
      <alignment horizontal="center"/>
      <protection/>
    </xf>
    <xf numFmtId="0" fontId="43" fillId="0" borderId="6" xfId="20" applyFont="1" applyBorder="1" applyAlignment="1" applyProtection="1">
      <alignment horizontal="center"/>
      <protection hidden="1"/>
    </xf>
    <xf numFmtId="188" fontId="20" fillId="0" borderId="1" xfId="20" applyNumberFormat="1" applyFont="1" applyBorder="1" applyAlignment="1" applyProtection="1">
      <alignment horizontal="left"/>
      <protection locked="0"/>
    </xf>
    <xf numFmtId="188" fontId="20" fillId="0" borderId="5" xfId="20" applyNumberFormat="1" applyFont="1" applyBorder="1" applyAlignment="1" applyProtection="1">
      <alignment horizontal="left"/>
      <protection locked="0"/>
    </xf>
    <xf numFmtId="0" fontId="4" fillId="0" borderId="0" xfId="20" applyFont="1" applyBorder="1" applyAlignment="1" applyProtection="1">
      <alignment horizontal="left"/>
      <protection locked="0"/>
    </xf>
    <xf numFmtId="0" fontId="4" fillId="0" borderId="2" xfId="20" applyFont="1" applyBorder="1" applyAlignment="1" applyProtection="1">
      <alignment horizontal="left"/>
      <protection locked="0"/>
    </xf>
    <xf numFmtId="0" fontId="42" fillId="0" borderId="0" xfId="20" applyFont="1" applyBorder="1" applyAlignment="1" applyProtection="1">
      <alignment horizontal="left"/>
      <protection locked="0"/>
    </xf>
    <xf numFmtId="0" fontId="42" fillId="0" borderId="1" xfId="20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>
      <alignment horizontal="left"/>
    </xf>
    <xf numFmtId="4" fontId="47" fillId="0" borderId="6" xfId="0" applyNumberFormat="1" applyFont="1" applyBorder="1" applyAlignment="1" applyProtection="1">
      <alignment horizontal="left"/>
      <protection locked="0"/>
    </xf>
    <xf numFmtId="4" fontId="47" fillId="0" borderId="8" xfId="0" applyNumberFormat="1" applyFont="1" applyBorder="1" applyAlignment="1" applyProtection="1">
      <alignment horizontal="left"/>
      <protection locked="0"/>
    </xf>
    <xf numFmtId="4" fontId="47" fillId="0" borderId="0" xfId="0" applyNumberFormat="1" applyFont="1" applyBorder="1" applyAlignment="1" applyProtection="1">
      <alignment horizontal="left"/>
      <protection locked="0"/>
    </xf>
    <xf numFmtId="4" fontId="47" fillId="0" borderId="2" xfId="0" applyNumberFormat="1" applyFont="1" applyBorder="1" applyAlignment="1" applyProtection="1">
      <alignment horizontal="left"/>
      <protection locked="0"/>
    </xf>
    <xf numFmtId="4" fontId="47" fillId="0" borderId="1" xfId="0" applyNumberFormat="1" applyFont="1" applyBorder="1" applyAlignment="1" applyProtection="1">
      <alignment horizontal="left"/>
      <protection locked="0"/>
    </xf>
    <xf numFmtId="4" fontId="47" fillId="0" borderId="5" xfId="0" applyNumberFormat="1" applyFont="1" applyBorder="1" applyAlignment="1" applyProtection="1">
      <alignment horizontal="left"/>
      <protection locked="0"/>
    </xf>
    <xf numFmtId="4" fontId="48" fillId="0" borderId="0" xfId="0" applyNumberFormat="1" applyFont="1" applyBorder="1" applyAlignment="1">
      <alignment horizontal="center"/>
    </xf>
    <xf numFmtId="4" fontId="48" fillId="0" borderId="1" xfId="0" applyNumberFormat="1" applyFont="1" applyBorder="1" applyAlignment="1">
      <alignment horizontal="center"/>
    </xf>
    <xf numFmtId="4" fontId="49" fillId="0" borderId="7" xfId="0" applyNumberFormat="1" applyFont="1" applyBorder="1" applyAlignment="1">
      <alignment horizontal="left"/>
    </xf>
    <xf numFmtId="4" fontId="49" fillId="0" borderId="3" xfId="0" applyNumberFormat="1" applyFont="1" applyBorder="1" applyAlignment="1">
      <alignment horizontal="left"/>
    </xf>
    <xf numFmtId="4" fontId="49" fillId="0" borderId="4" xfId="0" applyNumberFormat="1" applyFont="1" applyBorder="1" applyAlignment="1">
      <alignment horizontal="left"/>
    </xf>
    <xf numFmtId="0" fontId="50" fillId="0" borderId="7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4" fontId="49" fillId="0" borderId="4" xfId="0" applyNumberFormat="1" applyFont="1" applyBorder="1" applyAlignment="1">
      <alignment horizontal="center"/>
    </xf>
    <xf numFmtId="4" fontId="49" fillId="0" borderId="1" xfId="0" applyNumberFormat="1" applyFont="1" applyBorder="1" applyAlignment="1">
      <alignment horizontal="center"/>
    </xf>
    <xf numFmtId="4" fontId="49" fillId="0" borderId="5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right"/>
    </xf>
    <xf numFmtId="4" fontId="49" fillId="0" borderId="1" xfId="0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1" fillId="0" borderId="1" xfId="0" applyFont="1" applyBorder="1" applyAlignment="1">
      <alignment horizontal="center"/>
    </xf>
    <xf numFmtId="0" fontId="52" fillId="0" borderId="0" xfId="20" applyFont="1" applyBorder="1" applyAlignment="1" applyProtection="1">
      <alignment horizontal="center"/>
      <protection hidden="1"/>
    </xf>
    <xf numFmtId="0" fontId="43" fillId="0" borderId="0" xfId="20" applyFont="1" applyBorder="1" applyAlignment="1" applyProtection="1">
      <alignment horizontal="center"/>
      <protection hidden="1"/>
    </xf>
    <xf numFmtId="0" fontId="52" fillId="0" borderId="0" xfId="20" applyFont="1" applyBorder="1" applyAlignment="1" applyProtection="1">
      <alignment horizontal="center"/>
      <protection hidden="1"/>
    </xf>
    <xf numFmtId="0" fontId="49" fillId="0" borderId="7" xfId="20" applyFont="1" applyBorder="1" applyAlignment="1" applyProtection="1">
      <alignment horizontal="center"/>
      <protection hidden="1"/>
    </xf>
    <xf numFmtId="0" fontId="49" fillId="0" borderId="6" xfId="20" applyFont="1" applyBorder="1" applyAlignment="1" applyProtection="1">
      <alignment horizontal="center"/>
      <protection hidden="1"/>
    </xf>
    <xf numFmtId="0" fontId="52" fillId="0" borderId="12" xfId="20" applyFont="1" applyBorder="1" applyAlignment="1" applyProtection="1">
      <alignment horizontal="center" vertical="center" textRotation="90" shrinkToFit="1"/>
      <protection hidden="1"/>
    </xf>
    <xf numFmtId="0" fontId="53" fillId="0" borderId="13" xfId="20" applyFont="1" applyBorder="1" applyAlignment="1">
      <alignment horizontal="center" vertical="center" textRotation="90" shrinkToFit="1"/>
      <protection/>
    </xf>
    <xf numFmtId="0" fontId="53" fillId="0" borderId="14" xfId="20" applyFont="1" applyBorder="1" applyAlignment="1">
      <alignment horizontal="center" vertical="center" textRotation="90" shrinkToFi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ile" xfId="20"/>
    <cellStyle name="Normal_โปรแกรมช่วยคำนวณเขื่อนกันดินชนิดตอกเสาเข็มแบบมีสมอดึง" xfId="21"/>
    <cellStyle name="Percent" xfId="22"/>
    <cellStyle name="ปกติ_Abstrac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8</xdr:row>
      <xdr:rowOff>19050</xdr:rowOff>
    </xdr:from>
    <xdr:to>
      <xdr:col>18</xdr:col>
      <xdr:colOff>247650</xdr:colOff>
      <xdr:row>8</xdr:row>
      <xdr:rowOff>19050</xdr:rowOff>
    </xdr:to>
    <xdr:sp>
      <xdr:nvSpPr>
        <xdr:cNvPr id="1" name="Line 5"/>
        <xdr:cNvSpPr>
          <a:spLocks/>
        </xdr:cNvSpPr>
      </xdr:nvSpPr>
      <xdr:spPr>
        <a:xfrm>
          <a:off x="5162550" y="2752725"/>
          <a:ext cx="2000250" cy="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123825</xdr:colOff>
      <xdr:row>8</xdr:row>
      <xdr:rowOff>0</xdr:rowOff>
    </xdr:from>
    <xdr:to>
      <xdr:col>17</xdr:col>
      <xdr:colOff>0</xdr:colOff>
      <xdr:row>19</xdr:row>
      <xdr:rowOff>19050</xdr:rowOff>
    </xdr:to>
    <xdr:sp>
      <xdr:nvSpPr>
        <xdr:cNvPr id="2" name="Polygon 7"/>
        <xdr:cNvSpPr>
          <a:spLocks/>
        </xdr:cNvSpPr>
      </xdr:nvSpPr>
      <xdr:spPr>
        <a:xfrm>
          <a:off x="4381500" y="2733675"/>
          <a:ext cx="2152650" cy="3467100"/>
        </a:xfrm>
        <a:custGeom>
          <a:pathLst>
            <a:path h="362" w="226">
              <a:moveTo>
                <a:pt x="79" y="0"/>
              </a:moveTo>
              <a:lnTo>
                <a:pt x="114" y="1"/>
              </a:lnTo>
              <a:lnTo>
                <a:pt x="178" y="226"/>
              </a:lnTo>
              <a:lnTo>
                <a:pt x="0" y="226"/>
              </a:lnTo>
              <a:lnTo>
                <a:pt x="0" y="296"/>
              </a:lnTo>
              <a:lnTo>
                <a:pt x="226" y="362"/>
              </a:lnTo>
              <a:lnTo>
                <a:pt x="81" y="362"/>
              </a:lnTo>
            </a:path>
          </a:pathLst>
        </a:custGeom>
        <a:gradFill rotWithShape="1">
          <a:gsLst>
            <a:gs pos="0">
              <a:srgbClr val="FFFF00"/>
            </a:gs>
            <a:gs pos="100000">
              <a:srgbClr val="757500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0</xdr:rowOff>
    </xdr:from>
    <xdr:to>
      <xdr:col>21</xdr:col>
      <xdr:colOff>171450</xdr:colOff>
      <xdr:row>15</xdr:row>
      <xdr:rowOff>9525</xdr:rowOff>
    </xdr:to>
    <xdr:sp>
      <xdr:nvSpPr>
        <xdr:cNvPr id="3" name="Line 2"/>
        <xdr:cNvSpPr>
          <a:spLocks/>
        </xdr:cNvSpPr>
      </xdr:nvSpPr>
      <xdr:spPr>
        <a:xfrm>
          <a:off x="3476625" y="4943475"/>
          <a:ext cx="4867275" cy="9525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190500</xdr:colOff>
      <xdr:row>19</xdr:row>
      <xdr:rowOff>0</xdr:rowOff>
    </xdr:to>
    <xdr:sp>
      <xdr:nvSpPr>
        <xdr:cNvPr id="4" name="Rectangle 1"/>
        <xdr:cNvSpPr>
          <a:spLocks/>
        </xdr:cNvSpPr>
      </xdr:nvSpPr>
      <xdr:spPr>
        <a:xfrm>
          <a:off x="4933950" y="2733675"/>
          <a:ext cx="190500" cy="34480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38100</xdr:colOff>
      <xdr:row>8</xdr:row>
      <xdr:rowOff>76200</xdr:rowOff>
    </xdr:from>
    <xdr:to>
      <xdr:col>13</xdr:col>
      <xdr:colOff>133350</xdr:colOff>
      <xdr:row>15</xdr:row>
      <xdr:rowOff>28575</xdr:rowOff>
    </xdr:to>
    <xdr:sp>
      <xdr:nvSpPr>
        <xdr:cNvPr id="5" name="Rectangle 3"/>
        <xdr:cNvSpPr>
          <a:spLocks/>
        </xdr:cNvSpPr>
      </xdr:nvSpPr>
      <xdr:spPr>
        <a:xfrm>
          <a:off x="4972050" y="2809875"/>
          <a:ext cx="95250" cy="2162175"/>
        </a:xfrm>
        <a:prstGeom prst="rect">
          <a:avLst/>
        </a:prstGeom>
        <a:solidFill>
          <a:srgbClr val="C0C0C0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133350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>
          <a:off x="4010025" y="4619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171450</xdr:rowOff>
    </xdr:from>
    <xdr:to>
      <xdr:col>10</xdr:col>
      <xdr:colOff>314325</xdr:colOff>
      <xdr:row>14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4057650" y="4467225"/>
          <a:ext cx="13335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371475</xdr:colOff>
      <xdr:row>8</xdr:row>
      <xdr:rowOff>0</xdr:rowOff>
    </xdr:from>
    <xdr:to>
      <xdr:col>9</xdr:col>
      <xdr:colOff>371475</xdr:colOff>
      <xdr:row>15</xdr:row>
      <xdr:rowOff>0</xdr:rowOff>
    </xdr:to>
    <xdr:sp>
      <xdr:nvSpPr>
        <xdr:cNvPr id="8" name="Line 11"/>
        <xdr:cNvSpPr>
          <a:spLocks/>
        </xdr:cNvSpPr>
      </xdr:nvSpPr>
      <xdr:spPr>
        <a:xfrm>
          <a:off x="3867150" y="273367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19050</xdr:colOff>
      <xdr:row>15</xdr:row>
      <xdr:rowOff>9525</xdr:rowOff>
    </xdr:to>
    <xdr:sp>
      <xdr:nvSpPr>
        <xdr:cNvPr id="9" name="Line 12"/>
        <xdr:cNvSpPr>
          <a:spLocks/>
        </xdr:cNvSpPr>
      </xdr:nvSpPr>
      <xdr:spPr>
        <a:xfrm flipH="1">
          <a:off x="4267200" y="461962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28575</xdr:rowOff>
    </xdr:from>
    <xdr:to>
      <xdr:col>15</xdr:col>
      <xdr:colOff>0</xdr:colOff>
      <xdr:row>7</xdr:row>
      <xdr:rowOff>285750</xdr:rowOff>
    </xdr:to>
    <xdr:sp>
      <xdr:nvSpPr>
        <xdr:cNvPr id="10" name="Line 14"/>
        <xdr:cNvSpPr>
          <a:spLocks/>
        </xdr:cNvSpPr>
      </xdr:nvSpPr>
      <xdr:spPr>
        <a:xfrm>
          <a:off x="5772150" y="2438400"/>
          <a:ext cx="0" cy="2571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247650</xdr:colOff>
      <xdr:row>7</xdr:row>
      <xdr:rowOff>28575</xdr:rowOff>
    </xdr:from>
    <xdr:to>
      <xdr:col>15</xdr:col>
      <xdr:colOff>247650</xdr:colOff>
      <xdr:row>7</xdr:row>
      <xdr:rowOff>285750</xdr:rowOff>
    </xdr:to>
    <xdr:sp>
      <xdr:nvSpPr>
        <xdr:cNvPr id="11" name="Line 15"/>
        <xdr:cNvSpPr>
          <a:spLocks/>
        </xdr:cNvSpPr>
      </xdr:nvSpPr>
      <xdr:spPr>
        <a:xfrm>
          <a:off x="6019800" y="2438400"/>
          <a:ext cx="0" cy="2571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28575</xdr:rowOff>
    </xdr:from>
    <xdr:to>
      <xdr:col>16</xdr:col>
      <xdr:colOff>123825</xdr:colOff>
      <xdr:row>7</xdr:row>
      <xdr:rowOff>285750</xdr:rowOff>
    </xdr:to>
    <xdr:sp>
      <xdr:nvSpPr>
        <xdr:cNvPr id="12" name="Line 16"/>
        <xdr:cNvSpPr>
          <a:spLocks/>
        </xdr:cNvSpPr>
      </xdr:nvSpPr>
      <xdr:spPr>
        <a:xfrm>
          <a:off x="6276975" y="2438400"/>
          <a:ext cx="0" cy="2571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28575</xdr:rowOff>
    </xdr:from>
    <xdr:to>
      <xdr:col>16</xdr:col>
      <xdr:colOff>371475</xdr:colOff>
      <xdr:row>7</xdr:row>
      <xdr:rowOff>285750</xdr:rowOff>
    </xdr:to>
    <xdr:sp>
      <xdr:nvSpPr>
        <xdr:cNvPr id="13" name="Line 17"/>
        <xdr:cNvSpPr>
          <a:spLocks/>
        </xdr:cNvSpPr>
      </xdr:nvSpPr>
      <xdr:spPr>
        <a:xfrm>
          <a:off x="6524625" y="2438400"/>
          <a:ext cx="0" cy="2571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247650</xdr:colOff>
      <xdr:row>7</xdr:row>
      <xdr:rowOff>28575</xdr:rowOff>
    </xdr:from>
    <xdr:to>
      <xdr:col>17</xdr:col>
      <xdr:colOff>247650</xdr:colOff>
      <xdr:row>7</xdr:row>
      <xdr:rowOff>285750</xdr:rowOff>
    </xdr:to>
    <xdr:sp>
      <xdr:nvSpPr>
        <xdr:cNvPr id="14" name="Line 18"/>
        <xdr:cNvSpPr>
          <a:spLocks/>
        </xdr:cNvSpPr>
      </xdr:nvSpPr>
      <xdr:spPr>
        <a:xfrm>
          <a:off x="6781800" y="2438400"/>
          <a:ext cx="0" cy="2571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66675</xdr:rowOff>
    </xdr:from>
    <xdr:to>
      <xdr:col>17</xdr:col>
      <xdr:colOff>285750</xdr:colOff>
      <xdr:row>12</xdr:row>
      <xdr:rowOff>276225</xdr:rowOff>
    </xdr:to>
    <xdr:sp>
      <xdr:nvSpPr>
        <xdr:cNvPr id="15" name="AutoShape 19"/>
        <xdr:cNvSpPr>
          <a:spLocks/>
        </xdr:cNvSpPr>
      </xdr:nvSpPr>
      <xdr:spPr>
        <a:xfrm>
          <a:off x="5505450" y="4038600"/>
          <a:ext cx="1314450" cy="209550"/>
        </a:xfrm>
        <a:prstGeom prst="leftArrow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133350</xdr:rowOff>
    </xdr:from>
    <xdr:to>
      <xdr:col>13</xdr:col>
      <xdr:colOff>200025</xdr:colOff>
      <xdr:row>15</xdr:row>
      <xdr:rowOff>66675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4924425" y="47529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A</a:t>
          </a:r>
        </a:p>
      </xdr:txBody>
    </xdr:sp>
    <xdr:clientData/>
  </xdr:twoCellAnchor>
  <xdr:twoCellAnchor>
    <xdr:from>
      <xdr:col>12</xdr:col>
      <xdr:colOff>285750</xdr:colOff>
      <xdr:row>18</xdr:row>
      <xdr:rowOff>76200</xdr:rowOff>
    </xdr:from>
    <xdr:to>
      <xdr:col>13</xdr:col>
      <xdr:colOff>200025</xdr:colOff>
      <xdr:row>19</xdr:row>
      <xdr:rowOff>38100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4924425" y="59626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B</a:t>
          </a:r>
        </a:p>
      </xdr:txBody>
    </xdr:sp>
    <xdr:clientData/>
  </xdr:twoCellAnchor>
  <xdr:twoCellAnchor>
    <xdr:from>
      <xdr:col>17</xdr:col>
      <xdr:colOff>104775</xdr:colOff>
      <xdr:row>12</xdr:row>
      <xdr:rowOff>152400</xdr:rowOff>
    </xdr:from>
    <xdr:to>
      <xdr:col>17</xdr:col>
      <xdr:colOff>104775</xdr:colOff>
      <xdr:row>15</xdr:row>
      <xdr:rowOff>0</xdr:rowOff>
    </xdr:to>
    <xdr:sp>
      <xdr:nvSpPr>
        <xdr:cNvPr id="18" name="Line 22"/>
        <xdr:cNvSpPr>
          <a:spLocks/>
        </xdr:cNvSpPr>
      </xdr:nvSpPr>
      <xdr:spPr>
        <a:xfrm>
          <a:off x="6638925" y="41243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123825</xdr:colOff>
      <xdr:row>20</xdr:row>
      <xdr:rowOff>0</xdr:rowOff>
    </xdr:from>
    <xdr:to>
      <xdr:col>13</xdr:col>
      <xdr:colOff>28575</xdr:colOff>
      <xdr:row>20</xdr:row>
      <xdr:rowOff>0</xdr:rowOff>
    </xdr:to>
    <xdr:sp>
      <xdr:nvSpPr>
        <xdr:cNvPr id="19" name="Line 23"/>
        <xdr:cNvSpPr>
          <a:spLocks/>
        </xdr:cNvSpPr>
      </xdr:nvSpPr>
      <xdr:spPr>
        <a:xfrm>
          <a:off x="4381500" y="64770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0" name="Line 24"/>
        <xdr:cNvSpPr>
          <a:spLocks/>
        </xdr:cNvSpPr>
      </xdr:nvSpPr>
      <xdr:spPr>
        <a:xfrm>
          <a:off x="4943475" y="64770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114300</xdr:colOff>
      <xdr:row>16</xdr:row>
      <xdr:rowOff>200025</xdr:rowOff>
    </xdr:from>
    <xdr:to>
      <xdr:col>11</xdr:col>
      <xdr:colOff>114300</xdr:colOff>
      <xdr:row>21</xdr:row>
      <xdr:rowOff>9525</xdr:rowOff>
    </xdr:to>
    <xdr:sp>
      <xdr:nvSpPr>
        <xdr:cNvPr id="21" name="Line 25"/>
        <xdr:cNvSpPr>
          <a:spLocks/>
        </xdr:cNvSpPr>
      </xdr:nvSpPr>
      <xdr:spPr>
        <a:xfrm>
          <a:off x="4371975" y="54673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>
      <xdr:nvSpPr>
        <xdr:cNvPr id="22" name="Line 26"/>
        <xdr:cNvSpPr>
          <a:spLocks/>
        </xdr:cNvSpPr>
      </xdr:nvSpPr>
      <xdr:spPr>
        <a:xfrm>
          <a:off x="6534150" y="61817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</xdr:rowOff>
    </xdr:from>
    <xdr:to>
      <xdr:col>10</xdr:col>
      <xdr:colOff>0</xdr:colOff>
      <xdr:row>19</xdr:row>
      <xdr:rowOff>19050</xdr:rowOff>
    </xdr:to>
    <xdr:sp>
      <xdr:nvSpPr>
        <xdr:cNvPr id="23" name="Line 27"/>
        <xdr:cNvSpPr>
          <a:spLocks/>
        </xdr:cNvSpPr>
      </xdr:nvSpPr>
      <xdr:spPr>
        <a:xfrm>
          <a:off x="3876675" y="498157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57150</xdr:colOff>
      <xdr:row>8</xdr:row>
      <xdr:rowOff>0</xdr:rowOff>
    </xdr:from>
    <xdr:to>
      <xdr:col>14</xdr:col>
      <xdr:colOff>57150</xdr:colOff>
      <xdr:row>14</xdr:row>
      <xdr:rowOff>266700</xdr:rowOff>
    </xdr:to>
    <xdr:sp>
      <xdr:nvSpPr>
        <xdr:cNvPr id="24" name="Line 28"/>
        <xdr:cNvSpPr>
          <a:spLocks/>
        </xdr:cNvSpPr>
      </xdr:nvSpPr>
      <xdr:spPr>
        <a:xfrm>
          <a:off x="5448300" y="2733675"/>
          <a:ext cx="0" cy="2152650"/>
        </a:xfrm>
        <a:prstGeom prst="line">
          <a:avLst/>
        </a:prstGeom>
        <a:noFill/>
        <a:ln w="1270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342900</xdr:colOff>
      <xdr:row>11</xdr:row>
      <xdr:rowOff>171450</xdr:rowOff>
    </xdr:from>
    <xdr:to>
      <xdr:col>15</xdr:col>
      <xdr:colOff>57150</xdr:colOff>
      <xdr:row>11</xdr:row>
      <xdr:rowOff>171450</xdr:rowOff>
    </xdr:to>
    <xdr:sp>
      <xdr:nvSpPr>
        <xdr:cNvPr id="25" name="Line 29"/>
        <xdr:cNvSpPr>
          <a:spLocks/>
        </xdr:cNvSpPr>
      </xdr:nvSpPr>
      <xdr:spPr>
        <a:xfrm flipH="1">
          <a:off x="5276850" y="3848100"/>
          <a:ext cx="552450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228600</xdr:colOff>
      <xdr:row>13</xdr:row>
      <xdr:rowOff>200025</xdr:rowOff>
    </xdr:from>
    <xdr:to>
      <xdr:col>15</xdr:col>
      <xdr:colOff>276225</xdr:colOff>
      <xdr:row>13</xdr:row>
      <xdr:rowOff>200025</xdr:rowOff>
    </xdr:to>
    <xdr:sp>
      <xdr:nvSpPr>
        <xdr:cNvPr id="26" name="Line 30"/>
        <xdr:cNvSpPr>
          <a:spLocks/>
        </xdr:cNvSpPr>
      </xdr:nvSpPr>
      <xdr:spPr>
        <a:xfrm flipH="1">
          <a:off x="5619750" y="4495800"/>
          <a:ext cx="428625" cy="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257175</xdr:colOff>
      <xdr:row>8</xdr:row>
      <xdr:rowOff>0</xdr:rowOff>
    </xdr:to>
    <xdr:sp>
      <xdr:nvSpPr>
        <xdr:cNvPr id="27" name="Line 31"/>
        <xdr:cNvSpPr>
          <a:spLocks/>
        </xdr:cNvSpPr>
      </xdr:nvSpPr>
      <xdr:spPr>
        <a:xfrm>
          <a:off x="3495675" y="2733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171450</xdr:colOff>
      <xdr:row>15</xdr:row>
      <xdr:rowOff>9525</xdr:rowOff>
    </xdr:from>
    <xdr:to>
      <xdr:col>10</xdr:col>
      <xdr:colOff>161925</xdr:colOff>
      <xdr:row>15</xdr:row>
      <xdr:rowOff>9525</xdr:rowOff>
    </xdr:to>
    <xdr:sp>
      <xdr:nvSpPr>
        <xdr:cNvPr id="28" name="Line 32"/>
        <xdr:cNvSpPr>
          <a:spLocks/>
        </xdr:cNvSpPr>
      </xdr:nvSpPr>
      <xdr:spPr>
        <a:xfrm>
          <a:off x="3667125" y="4953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371475</xdr:colOff>
      <xdr:row>19</xdr:row>
      <xdr:rowOff>9525</xdr:rowOff>
    </xdr:from>
    <xdr:to>
      <xdr:col>11</xdr:col>
      <xdr:colOff>0</xdr:colOff>
      <xdr:row>19</xdr:row>
      <xdr:rowOff>9525</xdr:rowOff>
    </xdr:to>
    <xdr:sp>
      <xdr:nvSpPr>
        <xdr:cNvPr id="29" name="Line 33"/>
        <xdr:cNvSpPr>
          <a:spLocks/>
        </xdr:cNvSpPr>
      </xdr:nvSpPr>
      <xdr:spPr>
        <a:xfrm>
          <a:off x="3486150" y="6191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66675</xdr:rowOff>
    </xdr:from>
    <xdr:to>
      <xdr:col>13</xdr:col>
      <xdr:colOff>0</xdr:colOff>
      <xdr:row>21</xdr:row>
      <xdr:rowOff>0</xdr:rowOff>
    </xdr:to>
    <xdr:sp>
      <xdr:nvSpPr>
        <xdr:cNvPr id="30" name="Line 34"/>
        <xdr:cNvSpPr>
          <a:spLocks/>
        </xdr:cNvSpPr>
      </xdr:nvSpPr>
      <xdr:spPr>
        <a:xfrm>
          <a:off x="4933950" y="62484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31" name="Line 35"/>
        <xdr:cNvSpPr>
          <a:spLocks/>
        </xdr:cNvSpPr>
      </xdr:nvSpPr>
      <xdr:spPr>
        <a:xfrm>
          <a:off x="6534150" y="4943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219075</xdr:rowOff>
    </xdr:from>
    <xdr:to>
      <xdr:col>13</xdr:col>
      <xdr:colOff>161925</xdr:colOff>
      <xdr:row>15</xdr:row>
      <xdr:rowOff>66675</xdr:rowOff>
    </xdr:to>
    <xdr:sp>
      <xdr:nvSpPr>
        <xdr:cNvPr id="32" name="Oval 36"/>
        <xdr:cNvSpPr>
          <a:spLocks/>
        </xdr:cNvSpPr>
      </xdr:nvSpPr>
      <xdr:spPr>
        <a:xfrm>
          <a:off x="4953000" y="4838700"/>
          <a:ext cx="1428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161925</xdr:rowOff>
    </xdr:from>
    <xdr:to>
      <xdr:col>13</xdr:col>
      <xdr:colOff>161925</xdr:colOff>
      <xdr:row>19</xdr:row>
      <xdr:rowOff>38100</xdr:rowOff>
    </xdr:to>
    <xdr:sp>
      <xdr:nvSpPr>
        <xdr:cNvPr id="33" name="Oval 37"/>
        <xdr:cNvSpPr>
          <a:spLocks/>
        </xdr:cNvSpPr>
      </xdr:nvSpPr>
      <xdr:spPr>
        <a:xfrm>
          <a:off x="4953000" y="6048375"/>
          <a:ext cx="1428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285750</xdr:colOff>
      <xdr:row>79</xdr:row>
      <xdr:rowOff>38100</xdr:rowOff>
    </xdr:from>
    <xdr:to>
      <xdr:col>44</xdr:col>
      <xdr:colOff>285750</xdr:colOff>
      <xdr:row>80</xdr:row>
      <xdr:rowOff>104775</xdr:rowOff>
    </xdr:to>
    <xdr:sp>
      <xdr:nvSpPr>
        <xdr:cNvPr id="34" name="Line 63"/>
        <xdr:cNvSpPr>
          <a:spLocks/>
        </xdr:cNvSpPr>
      </xdr:nvSpPr>
      <xdr:spPr>
        <a:xfrm>
          <a:off x="17221200" y="24069675"/>
          <a:ext cx="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76200</xdr:colOff>
      <xdr:row>80</xdr:row>
      <xdr:rowOff>38100</xdr:rowOff>
    </xdr:from>
    <xdr:to>
      <xdr:col>40</xdr:col>
      <xdr:colOff>76200</xdr:colOff>
      <xdr:row>81</xdr:row>
      <xdr:rowOff>104775</xdr:rowOff>
    </xdr:to>
    <xdr:sp>
      <xdr:nvSpPr>
        <xdr:cNvPr id="35" name="Line 64"/>
        <xdr:cNvSpPr>
          <a:spLocks/>
        </xdr:cNvSpPr>
      </xdr:nvSpPr>
      <xdr:spPr>
        <a:xfrm>
          <a:off x="15487650" y="24364950"/>
          <a:ext cx="0" cy="361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152400</xdr:rowOff>
    </xdr:from>
    <xdr:to>
      <xdr:col>21</xdr:col>
      <xdr:colOff>228600</xdr:colOff>
      <xdr:row>38</xdr:row>
      <xdr:rowOff>257175</xdr:rowOff>
    </xdr:to>
    <xdr:grpSp>
      <xdr:nvGrpSpPr>
        <xdr:cNvPr id="36" name="Group 85"/>
        <xdr:cNvGrpSpPr>
          <a:grpSpLocks/>
        </xdr:cNvGrpSpPr>
      </xdr:nvGrpSpPr>
      <xdr:grpSpPr>
        <a:xfrm>
          <a:off x="3495675" y="8696325"/>
          <a:ext cx="4905375" cy="3419475"/>
          <a:chOff x="367" y="913"/>
          <a:chExt cx="515" cy="355"/>
        </a:xfrm>
        <a:solidFill>
          <a:srgbClr val="FFFFFF"/>
        </a:solidFill>
      </xdr:grpSpPr>
      <xdr:sp>
        <xdr:nvSpPr>
          <xdr:cNvPr id="37" name="Line 45"/>
          <xdr:cNvSpPr>
            <a:spLocks/>
          </xdr:cNvSpPr>
        </xdr:nvSpPr>
        <xdr:spPr>
          <a:xfrm>
            <a:off x="367" y="1154"/>
            <a:ext cx="414" cy="0"/>
          </a:xfrm>
          <a:prstGeom prst="line">
            <a:avLst/>
          </a:prstGeom>
          <a:noFill/>
          <a:ln w="1905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447" y="959"/>
            <a:ext cx="45" cy="267"/>
          </a:xfrm>
          <a:prstGeom prst="cube">
            <a:avLst>
              <a:gd name="adj" fmla="val -16666"/>
            </a:avLst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CCFF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39" name="Group 43"/>
          <xdr:cNvGrpSpPr>
            <a:grpSpLocks/>
          </xdr:cNvGrpSpPr>
        </xdr:nvGrpSpPr>
        <xdr:grpSpPr>
          <a:xfrm>
            <a:off x="483" y="987"/>
            <a:ext cx="208" cy="181"/>
            <a:chOff x="519" y="832"/>
            <a:chExt cx="208" cy="178"/>
          </a:xfrm>
          <a:solidFill>
            <a:srgbClr val="FFFFFF"/>
          </a:solidFill>
        </xdr:grpSpPr>
        <xdr:sp>
          <xdr:nvSpPr>
            <xdr:cNvPr id="40" name="AutoShape 41"/>
            <xdr:cNvSpPr>
              <a:spLocks/>
            </xdr:cNvSpPr>
          </xdr:nvSpPr>
          <xdr:spPr>
            <a:xfrm>
              <a:off x="519" y="948"/>
              <a:ext cx="208" cy="62"/>
            </a:xfrm>
            <a:prstGeom prst="cube">
              <a:avLst>
                <a:gd name="adj" fmla="val -40324"/>
              </a:avLst>
            </a:prstGeom>
            <a:solidFill>
              <a:srgbClr val="FFFFFF"/>
            </a:solid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1" name="AutoShape 40"/>
            <xdr:cNvSpPr>
              <a:spLocks/>
            </xdr:cNvSpPr>
          </xdr:nvSpPr>
          <xdr:spPr>
            <a:xfrm>
              <a:off x="519" y="890"/>
              <a:ext cx="208" cy="62"/>
            </a:xfrm>
            <a:prstGeom prst="cube">
              <a:avLst>
                <a:gd name="adj" fmla="val -40324"/>
              </a:avLst>
            </a:prstGeom>
            <a:solidFill>
              <a:srgbClr val="FFFFFF"/>
            </a:solid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2" name="AutoShape 39"/>
            <xdr:cNvSpPr>
              <a:spLocks/>
            </xdr:cNvSpPr>
          </xdr:nvSpPr>
          <xdr:spPr>
            <a:xfrm>
              <a:off x="519" y="832"/>
              <a:ext cx="208" cy="62"/>
            </a:xfrm>
            <a:prstGeom prst="cube">
              <a:avLst>
                <a:gd name="adj" fmla="val -40324"/>
              </a:avLst>
            </a:prstGeom>
            <a:solidFill>
              <a:srgbClr val="FFFFFF"/>
            </a:solidFill>
            <a:ln w="9525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43" name="AutoShape 42"/>
          <xdr:cNvSpPr>
            <a:spLocks/>
          </xdr:cNvSpPr>
        </xdr:nvSpPr>
        <xdr:spPr>
          <a:xfrm>
            <a:off x="480" y="965"/>
            <a:ext cx="206" cy="37"/>
          </a:xfrm>
          <a:prstGeom prst="cube">
            <a:avLst>
              <a:gd name="adj" fmla="val -25675"/>
            </a:avLst>
          </a:prstGeom>
          <a:gradFill rotWithShape="1">
            <a:gsLst>
              <a:gs pos="0">
                <a:srgbClr val="FFFFFF"/>
              </a:gs>
              <a:gs pos="100000">
                <a:srgbClr val="757575"/>
              </a:gs>
            </a:gsLst>
            <a:lin ang="2700000" scaled="1"/>
          </a:gra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673" y="961"/>
            <a:ext cx="45" cy="267"/>
          </a:xfrm>
          <a:prstGeom prst="cube">
            <a:avLst>
              <a:gd name="adj" fmla="val -16666"/>
            </a:avLst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CCFF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733" y="969"/>
            <a:ext cx="0" cy="1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667" y="969"/>
            <a:ext cx="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 flipV="1">
            <a:off x="468" y="940"/>
            <a:ext cx="2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470" y="924"/>
            <a:ext cx="0" cy="4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704" y="925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Polygon 51"/>
          <xdr:cNvSpPr>
            <a:spLocks/>
          </xdr:cNvSpPr>
        </xdr:nvSpPr>
        <xdr:spPr>
          <a:xfrm>
            <a:off x="569" y="1138"/>
            <a:ext cx="39" cy="130"/>
          </a:xfrm>
          <a:custGeom>
            <a:pathLst>
              <a:path h="118" w="39">
                <a:moveTo>
                  <a:pt x="0" y="0"/>
                </a:moveTo>
                <a:lnTo>
                  <a:pt x="0" y="118"/>
                </a:lnTo>
                <a:lnTo>
                  <a:pt x="39" y="11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Polygon 52"/>
          <xdr:cNvSpPr>
            <a:spLocks/>
          </xdr:cNvSpPr>
        </xdr:nvSpPr>
        <xdr:spPr>
          <a:xfrm>
            <a:off x="625" y="913"/>
            <a:ext cx="100" cy="56"/>
          </a:xfrm>
          <a:custGeom>
            <a:pathLst>
              <a:path h="56" w="100">
                <a:moveTo>
                  <a:pt x="0" y="56"/>
                </a:moveTo>
                <a:lnTo>
                  <a:pt x="33" y="0"/>
                </a:lnTo>
                <a:lnTo>
                  <a:pt x="10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52" name="Group 59"/>
          <xdr:cNvGrpSpPr>
            <a:grpSpLocks/>
          </xdr:cNvGrpSpPr>
        </xdr:nvGrpSpPr>
        <xdr:grpSpPr>
          <a:xfrm>
            <a:off x="818" y="1086"/>
            <a:ext cx="64" cy="61"/>
            <a:chOff x="858" y="1021"/>
            <a:chExt cx="64" cy="61"/>
          </a:xfrm>
          <a:solidFill>
            <a:srgbClr val="FFFFFF"/>
          </a:solidFill>
        </xdr:grpSpPr>
        <xdr:sp>
          <xdr:nvSpPr>
            <xdr:cNvPr id="53" name="Rectangle 53"/>
            <xdr:cNvSpPr>
              <a:spLocks/>
            </xdr:cNvSpPr>
          </xdr:nvSpPr>
          <xdr:spPr>
            <a:xfrm>
              <a:off x="858" y="1021"/>
              <a:ext cx="64" cy="61"/>
            </a:xfrm>
            <a:prstGeom prst="rect">
              <a:avLst/>
            </a:prstGeom>
            <a:blipFill>
              <a:blip r:embed="rId3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4" name="Rectangle 54"/>
            <xdr:cNvSpPr>
              <a:spLocks/>
            </xdr:cNvSpPr>
          </xdr:nvSpPr>
          <xdr:spPr>
            <a:xfrm>
              <a:off x="865" y="1028"/>
              <a:ext cx="50" cy="46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5" name="Oval 55"/>
            <xdr:cNvSpPr>
              <a:spLocks/>
            </xdr:cNvSpPr>
          </xdr:nvSpPr>
          <xdr:spPr>
            <a:xfrm>
              <a:off x="865" y="1028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6" name="Oval 56"/>
            <xdr:cNvSpPr>
              <a:spLocks/>
            </xdr:cNvSpPr>
          </xdr:nvSpPr>
          <xdr:spPr>
            <a:xfrm>
              <a:off x="907" y="1029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7" name="Oval 57"/>
            <xdr:cNvSpPr>
              <a:spLocks/>
            </xdr:cNvSpPr>
          </xdr:nvSpPr>
          <xdr:spPr>
            <a:xfrm>
              <a:off x="866" y="106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8" name="Oval 58"/>
            <xdr:cNvSpPr>
              <a:spLocks/>
            </xdr:cNvSpPr>
          </xdr:nvSpPr>
          <xdr:spPr>
            <a:xfrm>
              <a:off x="906" y="106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59" name="Line 60"/>
          <xdr:cNvSpPr>
            <a:spLocks/>
          </xdr:cNvSpPr>
        </xdr:nvSpPr>
        <xdr:spPr>
          <a:xfrm>
            <a:off x="710" y="1211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0" name="Line 66"/>
          <xdr:cNvSpPr>
            <a:spLocks/>
          </xdr:cNvSpPr>
        </xdr:nvSpPr>
        <xdr:spPr>
          <a:xfrm>
            <a:off x="426" y="965"/>
            <a:ext cx="0" cy="2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1" name="Line 67"/>
          <xdr:cNvSpPr>
            <a:spLocks/>
          </xdr:cNvSpPr>
        </xdr:nvSpPr>
        <xdr:spPr>
          <a:xfrm flipH="1">
            <a:off x="408" y="965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0</xdr:colOff>
      <xdr:row>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381000" y="295275"/>
          <a:ext cx="817245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0</xdr:colOff>
      <xdr:row>26</xdr:row>
      <xdr:rowOff>0</xdr:rowOff>
    </xdr:to>
    <xdr:sp>
      <xdr:nvSpPr>
        <xdr:cNvPr id="63" name="Rectangle 69"/>
        <xdr:cNvSpPr>
          <a:spLocks/>
        </xdr:cNvSpPr>
      </xdr:nvSpPr>
      <xdr:spPr>
        <a:xfrm>
          <a:off x="381000" y="295275"/>
          <a:ext cx="8172450" cy="795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9</xdr:col>
      <xdr:colOff>0</xdr:colOff>
      <xdr:row>28</xdr:row>
      <xdr:rowOff>0</xdr:rowOff>
    </xdr:to>
    <xdr:sp>
      <xdr:nvSpPr>
        <xdr:cNvPr id="64" name="Rectangle 86"/>
        <xdr:cNvSpPr>
          <a:spLocks/>
        </xdr:cNvSpPr>
      </xdr:nvSpPr>
      <xdr:spPr>
        <a:xfrm>
          <a:off x="2733675" y="8543925"/>
          <a:ext cx="7620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26</xdr:col>
      <xdr:colOff>0</xdr:colOff>
      <xdr:row>41</xdr:row>
      <xdr:rowOff>0</xdr:rowOff>
    </xdr:to>
    <xdr:sp>
      <xdr:nvSpPr>
        <xdr:cNvPr id="65" name="Rectangle 88"/>
        <xdr:cNvSpPr>
          <a:spLocks/>
        </xdr:cNvSpPr>
      </xdr:nvSpPr>
      <xdr:spPr>
        <a:xfrm>
          <a:off x="2733675" y="8543925"/>
          <a:ext cx="7343775" cy="422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0</xdr:colOff>
      <xdr:row>56</xdr:row>
      <xdr:rowOff>0</xdr:rowOff>
    </xdr:to>
    <xdr:grpSp>
      <xdr:nvGrpSpPr>
        <xdr:cNvPr id="66" name="Group 95"/>
        <xdr:cNvGrpSpPr>
          <a:grpSpLocks/>
        </xdr:cNvGrpSpPr>
      </xdr:nvGrpSpPr>
      <xdr:grpSpPr>
        <a:xfrm>
          <a:off x="2733675" y="13068300"/>
          <a:ext cx="5057775" cy="4171950"/>
          <a:chOff x="287" y="1372"/>
          <a:chExt cx="531" cy="438"/>
        </a:xfrm>
        <a:solidFill>
          <a:srgbClr val="FFFFFF"/>
        </a:solidFill>
      </xdr:grpSpPr>
      <xdr:grpSp>
        <xdr:nvGrpSpPr>
          <xdr:cNvPr id="67" name="Group 84"/>
          <xdr:cNvGrpSpPr>
            <a:grpSpLocks/>
          </xdr:cNvGrpSpPr>
        </xdr:nvGrpSpPr>
        <xdr:grpSpPr>
          <a:xfrm>
            <a:off x="367" y="1426"/>
            <a:ext cx="401" cy="354"/>
            <a:chOff x="367" y="1418"/>
            <a:chExt cx="401" cy="354"/>
          </a:xfrm>
          <a:solidFill>
            <a:srgbClr val="FFFFFF"/>
          </a:solidFill>
        </xdr:grpSpPr>
        <xdr:sp>
          <xdr:nvSpPr>
            <xdr:cNvPr id="68" name="Rectangle 76"/>
            <xdr:cNvSpPr>
              <a:spLocks/>
            </xdr:cNvSpPr>
          </xdr:nvSpPr>
          <xdr:spPr>
            <a:xfrm>
              <a:off x="367" y="1616"/>
              <a:ext cx="395" cy="156"/>
            </a:xfrm>
            <a:prstGeom prst="rect">
              <a:avLst/>
            </a:prstGeom>
            <a:pattFill prst="ltUpDiag">
              <a:fgClr>
                <a:srgbClr val="993300"/>
              </a:fgClr>
              <a:bgClr>
                <a:srgbClr val="FFFFFF"/>
              </a:bgClr>
            </a:pattFill>
            <a:ln w="9525" cmpd="sng">
              <a:solidFill>
                <a:srgbClr val="FF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9" name="Polygon 72"/>
            <xdr:cNvSpPr>
              <a:spLocks/>
            </xdr:cNvSpPr>
          </xdr:nvSpPr>
          <xdr:spPr>
            <a:xfrm>
              <a:off x="462" y="1418"/>
              <a:ext cx="306" cy="13"/>
            </a:xfrm>
            <a:custGeom>
              <a:pathLst>
                <a:path h="13" w="306">
                  <a:moveTo>
                    <a:pt x="0" y="13"/>
                  </a:moveTo>
                  <a:lnTo>
                    <a:pt x="55" y="13"/>
                  </a:lnTo>
                  <a:lnTo>
                    <a:pt x="91" y="0"/>
                  </a:lnTo>
                  <a:lnTo>
                    <a:pt x="225" y="0"/>
                  </a:lnTo>
                  <a:lnTo>
                    <a:pt x="268" y="13"/>
                  </a:lnTo>
                  <a:lnTo>
                    <a:pt x="306" y="13"/>
                  </a:lnTo>
                </a:path>
              </a:pathLst>
            </a:custGeom>
            <a:solidFill>
              <a:srgbClr val="FFFF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0" name="Polygon 74"/>
            <xdr:cNvSpPr>
              <a:spLocks/>
            </xdr:cNvSpPr>
          </xdr:nvSpPr>
          <xdr:spPr>
            <a:xfrm>
              <a:off x="367" y="1580"/>
              <a:ext cx="80" cy="8"/>
            </a:xfrm>
            <a:custGeom>
              <a:pathLst>
                <a:path h="8" w="80">
                  <a:moveTo>
                    <a:pt x="0" y="4"/>
                  </a:moveTo>
                  <a:cubicBezTo>
                    <a:pt x="7" y="5"/>
                    <a:pt x="14" y="5"/>
                    <a:pt x="21" y="3"/>
                  </a:cubicBezTo>
                  <a:cubicBezTo>
                    <a:pt x="29" y="6"/>
                    <a:pt x="25" y="5"/>
                    <a:pt x="34" y="4"/>
                  </a:cubicBezTo>
                  <a:cubicBezTo>
                    <a:pt x="35" y="0"/>
                    <a:pt x="37" y="0"/>
                    <a:pt x="41" y="1"/>
                  </a:cubicBezTo>
                  <a:cubicBezTo>
                    <a:pt x="42" y="2"/>
                    <a:pt x="44" y="6"/>
                    <a:pt x="46" y="6"/>
                  </a:cubicBezTo>
                  <a:cubicBezTo>
                    <a:pt x="48" y="5"/>
                    <a:pt x="52" y="2"/>
                    <a:pt x="52" y="2"/>
                  </a:cubicBezTo>
                  <a:cubicBezTo>
                    <a:pt x="58" y="4"/>
                    <a:pt x="53" y="7"/>
                    <a:pt x="60" y="5"/>
                  </a:cubicBezTo>
                  <a:cubicBezTo>
                    <a:pt x="63" y="1"/>
                    <a:pt x="64" y="1"/>
                    <a:pt x="68" y="2"/>
                  </a:cubicBezTo>
                  <a:cubicBezTo>
                    <a:pt x="72" y="8"/>
                    <a:pt x="68" y="4"/>
                    <a:pt x="77" y="4"/>
                  </a:cubicBezTo>
                  <a:cubicBezTo>
                    <a:pt x="78" y="4"/>
                    <a:pt x="80" y="5"/>
                    <a:pt x="79" y="5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1" name="AutoShape 75"/>
            <xdr:cNvSpPr>
              <a:spLocks/>
            </xdr:cNvSpPr>
          </xdr:nvSpPr>
          <xdr:spPr>
            <a:xfrm>
              <a:off x="369" y="1574"/>
              <a:ext cx="14" cy="10"/>
            </a:xfrm>
            <a:prstGeom prst="flowChartMerg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2" name="Rectangle 70"/>
            <xdr:cNvSpPr>
              <a:spLocks/>
            </xdr:cNvSpPr>
          </xdr:nvSpPr>
          <xdr:spPr>
            <a:xfrm>
              <a:off x="449" y="1430"/>
              <a:ext cx="21" cy="279"/>
            </a:xfrm>
            <a:prstGeom prst="rect">
              <a:avLst/>
            </a:prstGeom>
            <a:gradFill rotWithShape="1">
              <a:gsLst>
                <a:gs pos="0">
                  <a:srgbClr val="FFFFFF"/>
                </a:gs>
                <a:gs pos="100000">
                  <a:srgbClr val="757575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3" name="Rectangle 77"/>
            <xdr:cNvSpPr>
              <a:spLocks/>
            </xdr:cNvSpPr>
          </xdr:nvSpPr>
          <xdr:spPr>
            <a:xfrm>
              <a:off x="487" y="1431"/>
              <a:ext cx="14" cy="25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4" name="Oval 78"/>
            <xdr:cNvSpPr>
              <a:spLocks/>
            </xdr:cNvSpPr>
          </xdr:nvSpPr>
          <xdr:spPr>
            <a:xfrm>
              <a:off x="490" y="144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5" name="Rectangle 79"/>
            <xdr:cNvSpPr>
              <a:spLocks/>
            </xdr:cNvSpPr>
          </xdr:nvSpPr>
          <xdr:spPr>
            <a:xfrm>
              <a:off x="455" y="1447"/>
              <a:ext cx="8" cy="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6" name="Rectangle 80"/>
            <xdr:cNvSpPr>
              <a:spLocks/>
            </xdr:cNvSpPr>
          </xdr:nvSpPr>
          <xdr:spPr>
            <a:xfrm>
              <a:off x="455" y="1490"/>
              <a:ext cx="8" cy="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7" name="Rectangle 81"/>
            <xdr:cNvSpPr>
              <a:spLocks/>
            </xdr:cNvSpPr>
          </xdr:nvSpPr>
          <xdr:spPr>
            <a:xfrm>
              <a:off x="455" y="1533"/>
              <a:ext cx="8" cy="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8" name="Rectangle 82"/>
            <xdr:cNvSpPr>
              <a:spLocks/>
            </xdr:cNvSpPr>
          </xdr:nvSpPr>
          <xdr:spPr>
            <a:xfrm>
              <a:off x="455" y="1576"/>
              <a:ext cx="8" cy="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9" name="Rectangle 83"/>
            <xdr:cNvSpPr>
              <a:spLocks/>
            </xdr:cNvSpPr>
          </xdr:nvSpPr>
          <xdr:spPr>
            <a:xfrm>
              <a:off x="451" y="1430"/>
              <a:ext cx="15" cy="1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80" name="Rectangle 87"/>
          <xdr:cNvSpPr>
            <a:spLocks/>
          </xdr:cNvSpPr>
        </xdr:nvSpPr>
        <xdr:spPr>
          <a:xfrm>
            <a:off x="287" y="1372"/>
            <a:ext cx="160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1" name="Rectangle 89"/>
          <xdr:cNvSpPr>
            <a:spLocks/>
          </xdr:cNvSpPr>
        </xdr:nvSpPr>
        <xdr:spPr>
          <a:xfrm>
            <a:off x="287" y="1372"/>
            <a:ext cx="531" cy="4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2" name="Line 90"/>
          <xdr:cNvSpPr>
            <a:spLocks/>
          </xdr:cNvSpPr>
        </xdr:nvSpPr>
        <xdr:spPr>
          <a:xfrm>
            <a:off x="441" y="1437"/>
            <a:ext cx="0" cy="2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3" name="Line 91"/>
          <xdr:cNvSpPr>
            <a:spLocks/>
          </xdr:cNvSpPr>
        </xdr:nvSpPr>
        <xdr:spPr>
          <a:xfrm>
            <a:off x="476" y="1438"/>
            <a:ext cx="0" cy="1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4" name="Line 92"/>
          <xdr:cNvSpPr>
            <a:spLocks/>
          </xdr:cNvSpPr>
        </xdr:nvSpPr>
        <xdr:spPr>
          <a:xfrm flipH="1">
            <a:off x="415" y="1436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5" name="Line 93"/>
          <xdr:cNvSpPr>
            <a:spLocks/>
          </xdr:cNvSpPr>
        </xdr:nvSpPr>
        <xdr:spPr>
          <a:xfrm flipH="1">
            <a:off x="425" y="1717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6" name="Polygon 94"/>
          <xdr:cNvSpPr>
            <a:spLocks/>
          </xdr:cNvSpPr>
        </xdr:nvSpPr>
        <xdr:spPr>
          <a:xfrm>
            <a:off x="552" y="1425"/>
            <a:ext cx="137" cy="6"/>
          </a:xfrm>
          <a:custGeom>
            <a:pathLst>
              <a:path h="6" w="137">
                <a:moveTo>
                  <a:pt x="0" y="0"/>
                </a:moveTo>
                <a:lnTo>
                  <a:pt x="0" y="6"/>
                </a:lnTo>
                <a:lnTo>
                  <a:pt x="136" y="6"/>
                </a:lnTo>
                <a:lnTo>
                  <a:pt x="137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238125</xdr:rowOff>
    </xdr:from>
    <xdr:to>
      <xdr:col>2</xdr:col>
      <xdr:colOff>542925</xdr:colOff>
      <xdr:row>37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95275" y="11582400"/>
          <a:ext cx="124777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19050</xdr:colOff>
      <xdr:row>40</xdr:row>
      <xdr:rowOff>66675</xdr:rowOff>
    </xdr:from>
    <xdr:to>
      <xdr:col>2</xdr:col>
      <xdr:colOff>19050</xdr:colOff>
      <xdr:row>45</xdr:row>
      <xdr:rowOff>0</xdr:rowOff>
    </xdr:to>
    <xdr:sp>
      <xdr:nvSpPr>
        <xdr:cNvPr id="2" name="Line 6"/>
        <xdr:cNvSpPr>
          <a:spLocks/>
        </xdr:cNvSpPr>
      </xdr:nvSpPr>
      <xdr:spPr>
        <a:xfrm>
          <a:off x="1019175" y="13125450"/>
          <a:ext cx="0" cy="13525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66675</xdr:rowOff>
    </xdr:from>
    <xdr:to>
      <xdr:col>3</xdr:col>
      <xdr:colOff>123825</xdr:colOff>
      <xdr:row>45</xdr:row>
      <xdr:rowOff>0</xdr:rowOff>
    </xdr:to>
    <xdr:sp>
      <xdr:nvSpPr>
        <xdr:cNvPr id="3" name="Line 7"/>
        <xdr:cNvSpPr>
          <a:spLocks/>
        </xdr:cNvSpPr>
      </xdr:nvSpPr>
      <xdr:spPr>
        <a:xfrm>
          <a:off x="1733550" y="13125450"/>
          <a:ext cx="0" cy="13525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57150</xdr:rowOff>
    </xdr:from>
    <xdr:to>
      <xdr:col>7</xdr:col>
      <xdr:colOff>0</xdr:colOff>
      <xdr:row>45</xdr:row>
      <xdr:rowOff>19050</xdr:rowOff>
    </xdr:to>
    <xdr:sp>
      <xdr:nvSpPr>
        <xdr:cNvPr id="4" name="Line 8"/>
        <xdr:cNvSpPr>
          <a:spLocks/>
        </xdr:cNvSpPr>
      </xdr:nvSpPr>
      <xdr:spPr>
        <a:xfrm>
          <a:off x="4305300" y="13115925"/>
          <a:ext cx="0" cy="13811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476250</xdr:colOff>
      <xdr:row>40</xdr:row>
      <xdr:rowOff>66675</xdr:rowOff>
    </xdr:from>
    <xdr:to>
      <xdr:col>5</xdr:col>
      <xdr:colOff>476250</xdr:colOff>
      <xdr:row>44</xdr:row>
      <xdr:rowOff>285750</xdr:rowOff>
    </xdr:to>
    <xdr:sp>
      <xdr:nvSpPr>
        <xdr:cNvPr id="5" name="Line 9"/>
        <xdr:cNvSpPr>
          <a:spLocks/>
        </xdr:cNvSpPr>
      </xdr:nvSpPr>
      <xdr:spPr>
        <a:xfrm>
          <a:off x="3457575" y="13125450"/>
          <a:ext cx="0" cy="13430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152400</xdr:rowOff>
    </xdr:from>
    <xdr:to>
      <xdr:col>1</xdr:col>
      <xdr:colOff>9525</xdr:colOff>
      <xdr:row>46</xdr:row>
      <xdr:rowOff>19050</xdr:rowOff>
    </xdr:to>
    <xdr:sp>
      <xdr:nvSpPr>
        <xdr:cNvPr id="6" name="Line 10"/>
        <xdr:cNvSpPr>
          <a:spLocks/>
        </xdr:cNvSpPr>
      </xdr:nvSpPr>
      <xdr:spPr>
        <a:xfrm>
          <a:off x="295275" y="12934950"/>
          <a:ext cx="0" cy="18573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247650</xdr:rowOff>
    </xdr:from>
    <xdr:to>
      <xdr:col>7</xdr:col>
      <xdr:colOff>609600</xdr:colOff>
      <xdr:row>40</xdr:row>
      <xdr:rowOff>66675</xdr:rowOff>
    </xdr:to>
    <xdr:grpSp>
      <xdr:nvGrpSpPr>
        <xdr:cNvPr id="7" name="Group 11" hidden="1"/>
        <xdr:cNvGrpSpPr>
          <a:grpSpLocks/>
        </xdr:cNvGrpSpPr>
      </xdr:nvGrpSpPr>
      <xdr:grpSpPr>
        <a:xfrm>
          <a:off x="295275" y="11591925"/>
          <a:ext cx="4619625" cy="1533525"/>
          <a:chOff x="31" y="1216"/>
          <a:chExt cx="485" cy="72"/>
        </a:xfrm>
        <a:solidFill>
          <a:srgbClr val="FFFFFF"/>
        </a:solidFill>
      </xdr:grpSpPr>
      <xdr:sp>
        <xdr:nvSpPr>
          <xdr:cNvPr id="8" name="Drawing 297" hidden="1"/>
          <xdr:cNvSpPr>
            <a:spLocks/>
          </xdr:cNvSpPr>
        </xdr:nvSpPr>
        <xdr:spPr>
          <a:xfrm>
            <a:off x="396" y="1216"/>
            <a:ext cx="30" cy="67"/>
          </a:xfrm>
          <a:custGeom>
            <a:pathLst>
              <a:path h="16384" w="16384">
                <a:moveTo>
                  <a:pt x="0" y="16384"/>
                </a:moveTo>
                <a:lnTo>
                  <a:pt x="6215" y="16384"/>
                </a:lnTo>
                <a:lnTo>
                  <a:pt x="6215" y="2341"/>
                </a:lnTo>
                <a:lnTo>
                  <a:pt x="9039" y="0"/>
                </a:lnTo>
                <a:lnTo>
                  <a:pt x="11299" y="2861"/>
                </a:lnTo>
                <a:lnTo>
                  <a:pt x="11299" y="16384"/>
                </a:lnTo>
                <a:lnTo>
                  <a:pt x="16384" y="16384"/>
                </a:lnTo>
              </a:path>
            </a:pathLst>
          </a:custGeom>
          <a:noFill/>
          <a:ln w="952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9" name="Group 13" hidden="1"/>
          <xdr:cNvGrpSpPr>
            <a:grpSpLocks/>
          </xdr:cNvGrpSpPr>
        </xdr:nvGrpSpPr>
        <xdr:grpSpPr>
          <a:xfrm>
            <a:off x="31" y="1216"/>
            <a:ext cx="485" cy="72"/>
            <a:chOff x="31" y="1216"/>
            <a:chExt cx="485" cy="72"/>
          </a:xfrm>
          <a:solidFill>
            <a:srgbClr val="FFFFFF"/>
          </a:solidFill>
        </xdr:grpSpPr>
        <xdr:sp>
          <xdr:nvSpPr>
            <xdr:cNvPr id="10" name="Line 14" hidden="1"/>
            <xdr:cNvSpPr>
              <a:spLocks/>
            </xdr:cNvSpPr>
          </xdr:nvSpPr>
          <xdr:spPr>
            <a:xfrm>
              <a:off x="84" y="1281"/>
              <a:ext cx="431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11" name="Group 15" hidden="1"/>
            <xdr:cNvGrpSpPr>
              <a:grpSpLocks/>
            </xdr:cNvGrpSpPr>
          </xdr:nvGrpSpPr>
          <xdr:grpSpPr>
            <a:xfrm>
              <a:off x="31" y="1216"/>
              <a:ext cx="485" cy="72"/>
              <a:chOff x="31" y="1216"/>
              <a:chExt cx="485" cy="72"/>
            </a:xfrm>
            <a:solidFill>
              <a:srgbClr val="FFFFFF"/>
            </a:solidFill>
          </xdr:grpSpPr>
          <xdr:grpSp>
            <xdr:nvGrpSpPr>
              <xdr:cNvPr id="12" name="Group 16" hidden="1"/>
              <xdr:cNvGrpSpPr>
                <a:grpSpLocks/>
              </xdr:cNvGrpSpPr>
            </xdr:nvGrpSpPr>
            <xdr:grpSpPr>
              <a:xfrm>
                <a:off x="51" y="1245"/>
                <a:ext cx="465" cy="43"/>
                <a:chOff x="1340000" y="25080000"/>
                <a:chExt cx="8900000" cy="880000"/>
              </a:xfrm>
              <a:solidFill>
                <a:srgbClr val="FFFFFF"/>
              </a:solidFill>
            </xdr:grpSpPr>
            <xdr:sp>
              <xdr:nvSpPr>
                <xdr:cNvPr id="13" name="Drawing 279" hidden="1"/>
                <xdr:cNvSpPr>
                  <a:spLocks/>
                </xdr:cNvSpPr>
              </xdr:nvSpPr>
              <xdr:spPr>
                <a:xfrm>
                  <a:off x="2359050" y="25080000"/>
                  <a:ext cx="7880950" cy="880000"/>
                </a:xfrm>
                <a:custGeom>
                  <a:pathLst>
                    <a:path h="16384" w="16384">
                      <a:moveTo>
                        <a:pt x="0" y="0"/>
                      </a:moveTo>
                      <a:lnTo>
                        <a:pt x="16384" y="0"/>
                      </a:lnTo>
                      <a:lnTo>
                        <a:pt x="16384" y="16384"/>
                      </a:lnTo>
                      <a:lnTo>
                        <a:pt x="0" y="16384"/>
                      </a:lnTo>
                    </a:path>
                  </a:pathLst>
                </a:custGeom>
                <a:noFill/>
                <a:ln w="17145" cmpd="sng">
                  <a:solidFill>
                    <a:srgbClr val="008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  <xdr:sp>
              <xdr:nvSpPr>
                <xdr:cNvPr id="14" name="Drawing 281" hidden="1"/>
                <xdr:cNvSpPr>
                  <a:spLocks/>
                </xdr:cNvSpPr>
              </xdr:nvSpPr>
              <xdr:spPr>
                <a:xfrm>
                  <a:off x="1340000" y="25080000"/>
                  <a:ext cx="1019050" cy="880000"/>
                </a:xfrm>
                <a:custGeom>
                  <a:pathLst>
                    <a:path h="16384" w="16384">
                      <a:moveTo>
                        <a:pt x="16384" y="0"/>
                      </a:moveTo>
                      <a:lnTo>
                        <a:pt x="0" y="5994"/>
                      </a:lnTo>
                      <a:lnTo>
                        <a:pt x="0" y="10789"/>
                      </a:lnTo>
                      <a:lnTo>
                        <a:pt x="16384" y="16384"/>
                      </a:lnTo>
                    </a:path>
                  </a:pathLst>
                </a:custGeom>
                <a:noFill/>
                <a:ln w="17145" cmpd="sng">
                  <a:solidFill>
                    <a:srgbClr val="008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</xdr:grpSp>
          <xdr:sp>
            <xdr:nvSpPr>
              <xdr:cNvPr id="15" name="Line 19" hidden="1"/>
              <xdr:cNvSpPr>
                <a:spLocks/>
              </xdr:cNvSpPr>
            </xdr:nvSpPr>
            <xdr:spPr>
              <a:xfrm>
                <a:off x="84" y="1251"/>
                <a:ext cx="431" cy="0"/>
              </a:xfrm>
              <a:prstGeom prst="line">
                <a:avLst/>
              </a:prstGeom>
              <a:solidFill>
                <a:srgbClr val="FFFFFF"/>
              </a:solidFill>
              <a:ln w="1714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6" name="Drawing 296" hidden="1"/>
              <xdr:cNvSpPr>
                <a:spLocks/>
              </xdr:cNvSpPr>
            </xdr:nvSpPr>
            <xdr:spPr>
              <a:xfrm>
                <a:off x="146" y="1216"/>
                <a:ext cx="30" cy="67"/>
              </a:xfrm>
              <a:custGeom>
                <a:pathLst>
                  <a:path h="16384" w="16384">
                    <a:moveTo>
                      <a:pt x="0" y="16384"/>
                    </a:moveTo>
                    <a:lnTo>
                      <a:pt x="6215" y="16384"/>
                    </a:lnTo>
                    <a:lnTo>
                      <a:pt x="6215" y="2341"/>
                    </a:lnTo>
                    <a:lnTo>
                      <a:pt x="9039" y="0"/>
                    </a:lnTo>
                    <a:lnTo>
                      <a:pt x="11299" y="2861"/>
                    </a:lnTo>
                    <a:lnTo>
                      <a:pt x="11299" y="16384"/>
                    </a:lnTo>
                    <a:lnTo>
                      <a:pt x="16384" y="16384"/>
                    </a:lnTo>
                  </a:path>
                </a:pathLst>
              </a:custGeom>
              <a:noFill/>
              <a:ln w="9525" cmpd="sng">
                <a:solidFill>
                  <a:srgbClr val="0066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17" name="Drawing 302" hidden="1"/>
              <xdr:cNvSpPr>
                <a:spLocks/>
              </xdr:cNvSpPr>
            </xdr:nvSpPr>
            <xdr:spPr>
              <a:xfrm>
                <a:off x="31" y="1245"/>
                <a:ext cx="72" cy="43"/>
              </a:xfrm>
              <a:custGeom>
                <a:pathLst>
                  <a:path h="16384" w="16384">
                    <a:moveTo>
                      <a:pt x="16384" y="0"/>
                    </a:moveTo>
                    <a:lnTo>
                      <a:pt x="0" y="7992"/>
                    </a:lnTo>
                    <a:lnTo>
                      <a:pt x="16147" y="16384"/>
                    </a:lnTo>
                    <a:lnTo>
                      <a:pt x="4274" y="10390"/>
                    </a:lnTo>
                    <a:lnTo>
                      <a:pt x="4512" y="5994"/>
                    </a:lnTo>
                  </a:path>
                </a:pathLst>
              </a:custGeom>
              <a:solidFill>
                <a:srgbClr val="008080"/>
              </a:solidFill>
              <a:ln w="17145" cmpd="sng">
                <a:solidFill>
                  <a:srgbClr val="0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grpSp>
            <xdr:nvGrpSpPr>
              <xdr:cNvPr id="18" name="Group 22" hidden="1"/>
              <xdr:cNvGrpSpPr>
                <a:grpSpLocks/>
              </xdr:cNvGrpSpPr>
            </xdr:nvGrpSpPr>
            <xdr:grpSpPr>
              <a:xfrm>
                <a:off x="51" y="1250"/>
                <a:ext cx="463" cy="33"/>
                <a:chOff x="51" y="1250"/>
                <a:chExt cx="463" cy="33"/>
              </a:xfrm>
              <a:solidFill>
                <a:srgbClr val="FFFFFF"/>
              </a:solidFill>
            </xdr:grpSpPr>
            <xdr:sp>
              <xdr:nvSpPr>
                <xdr:cNvPr id="19" name="Drawing 288" hidden="1"/>
                <xdr:cNvSpPr>
                  <a:spLocks/>
                </xdr:cNvSpPr>
              </xdr:nvSpPr>
              <xdr:spPr>
                <a:xfrm>
                  <a:off x="51" y="1250"/>
                  <a:ext cx="44" cy="33"/>
                </a:xfrm>
                <a:custGeom>
                  <a:pathLst>
                    <a:path h="16384" w="16384">
                      <a:moveTo>
                        <a:pt x="0" y="5617"/>
                      </a:moveTo>
                      <a:lnTo>
                        <a:pt x="1560" y="11703"/>
                      </a:lnTo>
                      <a:lnTo>
                        <a:pt x="2341" y="5149"/>
                      </a:lnTo>
                      <a:lnTo>
                        <a:pt x="3511" y="12171"/>
                      </a:lnTo>
                      <a:lnTo>
                        <a:pt x="5071" y="3745"/>
                      </a:lnTo>
                      <a:lnTo>
                        <a:pt x="5851" y="12639"/>
                      </a:lnTo>
                      <a:lnTo>
                        <a:pt x="8192" y="2809"/>
                      </a:lnTo>
                      <a:lnTo>
                        <a:pt x="8972" y="13575"/>
                      </a:lnTo>
                      <a:lnTo>
                        <a:pt x="10923" y="1404"/>
                      </a:lnTo>
                      <a:lnTo>
                        <a:pt x="12093" y="14980"/>
                      </a:lnTo>
                      <a:lnTo>
                        <a:pt x="13653" y="468"/>
                      </a:lnTo>
                      <a:lnTo>
                        <a:pt x="14824" y="15448"/>
                      </a:lnTo>
                      <a:lnTo>
                        <a:pt x="16384" y="0"/>
                      </a:lnTo>
                      <a:lnTo>
                        <a:pt x="16384" y="16384"/>
                      </a:lnTo>
                      <a:lnTo>
                        <a:pt x="15994" y="15916"/>
                      </a:lnTo>
                    </a:path>
                  </a:pathLst>
                </a:custGeom>
                <a:noFill/>
                <a:ln w="952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  <xdr:sp>
              <xdr:nvSpPr>
                <xdr:cNvPr id="20" name="Drawing 289" hidden="1"/>
                <xdr:cNvSpPr>
                  <a:spLocks/>
                </xdr:cNvSpPr>
              </xdr:nvSpPr>
              <xdr:spPr>
                <a:xfrm>
                  <a:off x="95" y="1251"/>
                  <a:ext cx="24" cy="29"/>
                </a:xfrm>
                <a:custGeom>
                  <a:pathLst>
                    <a:path h="16384" w="16384">
                      <a:moveTo>
                        <a:pt x="0" y="15565"/>
                      </a:moveTo>
                      <a:lnTo>
                        <a:pt x="4986" y="410"/>
                      </a:lnTo>
                      <a:lnTo>
                        <a:pt x="4986" y="15974"/>
                      </a:lnTo>
                      <a:lnTo>
                        <a:pt x="9973" y="0"/>
                      </a:lnTo>
                      <a:lnTo>
                        <a:pt x="10685" y="16384"/>
                      </a:lnTo>
                      <a:lnTo>
                        <a:pt x="15672" y="0"/>
                      </a:lnTo>
                      <a:lnTo>
                        <a:pt x="15672" y="16384"/>
                      </a:lnTo>
                      <a:lnTo>
                        <a:pt x="16384" y="16384"/>
                      </a:lnTo>
                    </a:path>
                  </a:pathLst>
                </a:custGeom>
                <a:noFill/>
                <a:ln w="952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  <xdr:sp>
              <xdr:nvSpPr>
                <xdr:cNvPr id="21" name="Drawing 290" hidden="1"/>
                <xdr:cNvSpPr>
                  <a:spLocks/>
                </xdr:cNvSpPr>
              </xdr:nvSpPr>
              <xdr:spPr>
                <a:xfrm>
                  <a:off x="449" y="1250"/>
                  <a:ext cx="65" cy="31"/>
                </a:xfrm>
                <a:custGeom>
                  <a:pathLst>
                    <a:path h="16384" w="16384">
                      <a:moveTo>
                        <a:pt x="0" y="0"/>
                      </a:moveTo>
                      <a:lnTo>
                        <a:pt x="1586" y="16384"/>
                      </a:lnTo>
                      <a:lnTo>
                        <a:pt x="1586" y="400"/>
                      </a:lnTo>
                      <a:lnTo>
                        <a:pt x="3171" y="16384"/>
                      </a:lnTo>
                      <a:lnTo>
                        <a:pt x="3435" y="400"/>
                      </a:lnTo>
                      <a:lnTo>
                        <a:pt x="5285" y="15984"/>
                      </a:lnTo>
                      <a:lnTo>
                        <a:pt x="5549" y="400"/>
                      </a:lnTo>
                      <a:lnTo>
                        <a:pt x="7135" y="16384"/>
                      </a:lnTo>
                      <a:lnTo>
                        <a:pt x="7399" y="400"/>
                      </a:lnTo>
                      <a:lnTo>
                        <a:pt x="8721" y="16384"/>
                      </a:lnTo>
                      <a:lnTo>
                        <a:pt x="8985" y="799"/>
                      </a:lnTo>
                      <a:lnTo>
                        <a:pt x="10306" y="16384"/>
                      </a:lnTo>
                      <a:lnTo>
                        <a:pt x="11099" y="799"/>
                      </a:lnTo>
                      <a:lnTo>
                        <a:pt x="11892" y="15984"/>
                      </a:lnTo>
                      <a:lnTo>
                        <a:pt x="12684" y="400"/>
                      </a:lnTo>
                      <a:lnTo>
                        <a:pt x="13741" y="16384"/>
                      </a:lnTo>
                      <a:lnTo>
                        <a:pt x="14534" y="400"/>
                      </a:lnTo>
                      <a:lnTo>
                        <a:pt x="15327" y="15984"/>
                      </a:lnTo>
                      <a:lnTo>
                        <a:pt x="16384" y="400"/>
                      </a:lnTo>
                    </a:path>
                  </a:pathLst>
                </a:custGeom>
                <a:noFill/>
                <a:ln w="952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  <xdr:sp>
              <xdr:nvSpPr>
                <xdr:cNvPr id="22" name="Drawing 291" hidden="1"/>
                <xdr:cNvSpPr>
                  <a:spLocks/>
                </xdr:cNvSpPr>
              </xdr:nvSpPr>
              <xdr:spPr>
                <a:xfrm>
                  <a:off x="118" y="1250"/>
                  <a:ext cx="78" cy="31"/>
                </a:xfrm>
                <a:custGeom>
                  <a:pathLst>
                    <a:path h="16384" w="16384">
                      <a:moveTo>
                        <a:pt x="0" y="16384"/>
                      </a:moveTo>
                      <a:lnTo>
                        <a:pt x="2185" y="0"/>
                      </a:lnTo>
                      <a:lnTo>
                        <a:pt x="2185" y="16384"/>
                      </a:lnTo>
                      <a:lnTo>
                        <a:pt x="4588" y="410"/>
                      </a:lnTo>
                      <a:lnTo>
                        <a:pt x="4588" y="7373"/>
                      </a:lnTo>
                      <a:lnTo>
                        <a:pt x="4588" y="16384"/>
                      </a:lnTo>
                      <a:lnTo>
                        <a:pt x="6991" y="0"/>
                      </a:lnTo>
                      <a:lnTo>
                        <a:pt x="6991" y="16384"/>
                      </a:lnTo>
                      <a:lnTo>
                        <a:pt x="8957" y="0"/>
                      </a:lnTo>
                      <a:lnTo>
                        <a:pt x="8957" y="15974"/>
                      </a:lnTo>
                      <a:lnTo>
                        <a:pt x="11141" y="410"/>
                      </a:lnTo>
                      <a:lnTo>
                        <a:pt x="11141" y="16384"/>
                      </a:lnTo>
                      <a:lnTo>
                        <a:pt x="13107" y="410"/>
                      </a:lnTo>
                      <a:lnTo>
                        <a:pt x="13107" y="15974"/>
                      </a:lnTo>
                      <a:lnTo>
                        <a:pt x="14855" y="410"/>
                      </a:lnTo>
                      <a:lnTo>
                        <a:pt x="14855" y="15974"/>
                      </a:lnTo>
                      <a:lnTo>
                        <a:pt x="16384" y="410"/>
                      </a:lnTo>
                    </a:path>
                  </a:pathLst>
                </a:custGeom>
                <a:noFill/>
                <a:ln w="952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  <xdr:sp>
              <xdr:nvSpPr>
                <xdr:cNvPr id="23" name="Drawing 293" hidden="1"/>
                <xdr:cNvSpPr>
                  <a:spLocks/>
                </xdr:cNvSpPr>
              </xdr:nvSpPr>
              <xdr:spPr>
                <a:xfrm>
                  <a:off x="196" y="1250"/>
                  <a:ext cx="173" cy="32"/>
                </a:xfrm>
                <a:custGeom>
                  <a:pathLst>
                    <a:path h="16384" w="16384">
                      <a:moveTo>
                        <a:pt x="0" y="0"/>
                      </a:moveTo>
                      <a:lnTo>
                        <a:pt x="0" y="15984"/>
                      </a:lnTo>
                      <a:lnTo>
                        <a:pt x="1489" y="400"/>
                      </a:lnTo>
                      <a:lnTo>
                        <a:pt x="1489" y="15585"/>
                      </a:lnTo>
                      <a:lnTo>
                        <a:pt x="3078" y="400"/>
                      </a:lnTo>
                      <a:lnTo>
                        <a:pt x="3078" y="15984"/>
                      </a:lnTo>
                      <a:lnTo>
                        <a:pt x="4667" y="0"/>
                      </a:lnTo>
                      <a:lnTo>
                        <a:pt x="4667" y="15984"/>
                      </a:lnTo>
                      <a:lnTo>
                        <a:pt x="6156" y="0"/>
                      </a:lnTo>
                      <a:lnTo>
                        <a:pt x="6156" y="15984"/>
                      </a:lnTo>
                      <a:lnTo>
                        <a:pt x="7547" y="400"/>
                      </a:lnTo>
                      <a:lnTo>
                        <a:pt x="7547" y="15984"/>
                      </a:lnTo>
                      <a:lnTo>
                        <a:pt x="9135" y="400"/>
                      </a:lnTo>
                      <a:lnTo>
                        <a:pt x="9135" y="15984"/>
                      </a:lnTo>
                      <a:lnTo>
                        <a:pt x="10525" y="0"/>
                      </a:lnTo>
                      <a:lnTo>
                        <a:pt x="10525" y="15984"/>
                      </a:lnTo>
                      <a:lnTo>
                        <a:pt x="11916" y="400"/>
                      </a:lnTo>
                      <a:lnTo>
                        <a:pt x="11916" y="15984"/>
                      </a:lnTo>
                      <a:lnTo>
                        <a:pt x="13206" y="400"/>
                      </a:lnTo>
                      <a:lnTo>
                        <a:pt x="13206" y="16384"/>
                      </a:lnTo>
                      <a:lnTo>
                        <a:pt x="14597" y="0"/>
                      </a:lnTo>
                      <a:lnTo>
                        <a:pt x="14597" y="15585"/>
                      </a:lnTo>
                      <a:lnTo>
                        <a:pt x="15788" y="400"/>
                      </a:lnTo>
                      <a:lnTo>
                        <a:pt x="15788" y="15984"/>
                      </a:lnTo>
                      <a:lnTo>
                        <a:pt x="16384" y="400"/>
                      </a:lnTo>
                    </a:path>
                  </a:pathLst>
                </a:custGeom>
                <a:noFill/>
                <a:ln w="952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ngsanaUPC"/>
                      <a:ea typeface="AngsanaUPC"/>
                      <a:cs typeface="AngsanaUPC"/>
                    </a:rPr>
                    <a:t/>
                  </a:r>
                </a:p>
              </xdr:txBody>
            </xdr:sp>
            <xdr:grpSp>
              <xdr:nvGrpSpPr>
                <xdr:cNvPr id="24" name="Group 28" hidden="1"/>
                <xdr:cNvGrpSpPr>
                  <a:grpSpLocks/>
                </xdr:cNvGrpSpPr>
              </xdr:nvGrpSpPr>
              <xdr:grpSpPr>
                <a:xfrm>
                  <a:off x="370" y="1250"/>
                  <a:ext cx="79" cy="31"/>
                  <a:chOff x="370" y="1250"/>
                  <a:chExt cx="79" cy="31"/>
                </a:xfrm>
                <a:solidFill>
                  <a:srgbClr val="FFFFFF"/>
                </a:solidFill>
              </xdr:grpSpPr>
              <xdr:sp>
                <xdr:nvSpPr>
                  <xdr:cNvPr id="25" name="Drawing 292" hidden="1"/>
                  <xdr:cNvSpPr>
                    <a:spLocks/>
                  </xdr:cNvSpPr>
                </xdr:nvSpPr>
                <xdr:spPr>
                  <a:xfrm>
                    <a:off x="371" y="1250"/>
                    <a:ext cx="78" cy="31"/>
                  </a:xfrm>
                  <a:custGeom>
                    <a:pathLst>
                      <a:path h="16384" w="16384">
                        <a:moveTo>
                          <a:pt x="0" y="16384"/>
                        </a:moveTo>
                        <a:lnTo>
                          <a:pt x="2185" y="0"/>
                        </a:lnTo>
                        <a:lnTo>
                          <a:pt x="2185" y="16384"/>
                        </a:lnTo>
                        <a:lnTo>
                          <a:pt x="4588" y="410"/>
                        </a:lnTo>
                        <a:lnTo>
                          <a:pt x="4588" y="7373"/>
                        </a:lnTo>
                        <a:lnTo>
                          <a:pt x="4588" y="16384"/>
                        </a:lnTo>
                        <a:lnTo>
                          <a:pt x="6991" y="0"/>
                        </a:lnTo>
                        <a:lnTo>
                          <a:pt x="6991" y="16384"/>
                        </a:lnTo>
                        <a:lnTo>
                          <a:pt x="8957" y="0"/>
                        </a:lnTo>
                        <a:lnTo>
                          <a:pt x="8957" y="15974"/>
                        </a:lnTo>
                        <a:lnTo>
                          <a:pt x="11141" y="410"/>
                        </a:lnTo>
                        <a:lnTo>
                          <a:pt x="11141" y="16384"/>
                        </a:lnTo>
                        <a:lnTo>
                          <a:pt x="13107" y="410"/>
                        </a:lnTo>
                        <a:lnTo>
                          <a:pt x="13107" y="15974"/>
                        </a:lnTo>
                        <a:lnTo>
                          <a:pt x="14855" y="410"/>
                        </a:lnTo>
                        <a:lnTo>
                          <a:pt x="14855" y="15974"/>
                        </a:lnTo>
                        <a:lnTo>
                          <a:pt x="16384" y="41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ngsanaUPC"/>
                        <a:ea typeface="AngsanaUPC"/>
                        <a:cs typeface="AngsanaUPC"/>
                      </a:rPr>
                      <a:t/>
                    </a:r>
                  </a:p>
                </xdr:txBody>
              </xdr:sp>
              <xdr:sp>
                <xdr:nvSpPr>
                  <xdr:cNvPr id="26" name="Line 30" hidden="1"/>
                  <xdr:cNvSpPr>
                    <a:spLocks/>
                  </xdr:cNvSpPr>
                </xdr:nvSpPr>
                <xdr:spPr>
                  <a:xfrm>
                    <a:off x="370" y="1250"/>
                    <a:ext cx="0" cy="30"/>
                  </a:xfrm>
                  <a:prstGeom prst="line">
                    <a:avLst/>
                  </a:prstGeom>
                  <a:solidFill>
                    <a:srgbClr val="FFFFFF"/>
                  </a:solidFill>
                  <a:ln w="1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ngsanaUPC"/>
                        <a:ea typeface="AngsanaUPC"/>
                        <a:cs typeface="AngsanaUPC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27" name="Rectangle 31" hidden="1"/>
              <xdr:cNvSpPr>
                <a:spLocks/>
              </xdr:cNvSpPr>
            </xdr:nvSpPr>
            <xdr:spPr>
              <a:xfrm>
                <a:off x="52" y="1264"/>
                <a:ext cx="64" cy="3"/>
              </a:xfrm>
              <a:prstGeom prst="rect">
                <a:avLst/>
              </a:prstGeom>
              <a:solidFill>
                <a:srgbClr val="008080"/>
              </a:solidFill>
              <a:ln w="17145" cmpd="sng">
                <a:solidFill>
                  <a:srgbClr val="0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</xdr:col>
      <xdr:colOff>247650</xdr:colOff>
      <xdr:row>38</xdr:row>
      <xdr:rowOff>885825</xdr:rowOff>
    </xdr:from>
    <xdr:to>
      <xdr:col>8</xdr:col>
      <xdr:colOff>695325</xdr:colOff>
      <xdr:row>40</xdr:row>
      <xdr:rowOff>66675</xdr:rowOff>
    </xdr:to>
    <xdr:grpSp>
      <xdr:nvGrpSpPr>
        <xdr:cNvPr id="28" name="Group 32"/>
        <xdr:cNvGrpSpPr>
          <a:grpSpLocks/>
        </xdr:cNvGrpSpPr>
      </xdr:nvGrpSpPr>
      <xdr:grpSpPr>
        <a:xfrm>
          <a:off x="5267325" y="12525375"/>
          <a:ext cx="447675" cy="600075"/>
          <a:chOff x="551" y="1245"/>
          <a:chExt cx="50" cy="43"/>
        </a:xfrm>
        <a:solidFill>
          <a:srgbClr val="FFFFFF"/>
        </a:solidFill>
      </xdr:grpSpPr>
      <xdr:sp>
        <xdr:nvSpPr>
          <xdr:cNvPr id="29" name="Rectangle 33"/>
          <xdr:cNvSpPr>
            <a:spLocks/>
          </xdr:cNvSpPr>
        </xdr:nvSpPr>
        <xdr:spPr>
          <a:xfrm>
            <a:off x="551" y="1245"/>
            <a:ext cx="50" cy="43"/>
          </a:xfrm>
          <a:prstGeom prst="rect">
            <a:avLst/>
          </a:prstGeom>
          <a:solidFill>
            <a:srgbClr val="FFFFFF"/>
          </a:solidFill>
          <a:ln w="1397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0" name="Rectangle 34"/>
          <xdr:cNvSpPr>
            <a:spLocks/>
          </xdr:cNvSpPr>
        </xdr:nvSpPr>
        <xdr:spPr>
          <a:xfrm>
            <a:off x="557" y="1250"/>
            <a:ext cx="39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7</xdr:col>
      <xdr:colOff>600075</xdr:colOff>
      <xdr:row>40</xdr:row>
      <xdr:rowOff>76200</xdr:rowOff>
    </xdr:from>
    <xdr:to>
      <xdr:col>7</xdr:col>
      <xdr:colOff>600075</xdr:colOff>
      <xdr:row>45</xdr:row>
      <xdr:rowOff>285750</xdr:rowOff>
    </xdr:to>
    <xdr:sp>
      <xdr:nvSpPr>
        <xdr:cNvPr id="31" name="Line 35"/>
        <xdr:cNvSpPr>
          <a:spLocks/>
        </xdr:cNvSpPr>
      </xdr:nvSpPr>
      <xdr:spPr>
        <a:xfrm>
          <a:off x="4905375" y="13134975"/>
          <a:ext cx="0" cy="16287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228600</xdr:rowOff>
    </xdr:from>
    <xdr:to>
      <xdr:col>2</xdr:col>
      <xdr:colOff>19050</xdr:colOff>
      <xdr:row>43</xdr:row>
      <xdr:rowOff>228600</xdr:rowOff>
    </xdr:to>
    <xdr:sp>
      <xdr:nvSpPr>
        <xdr:cNvPr id="32" name="Line 36"/>
        <xdr:cNvSpPr>
          <a:spLocks/>
        </xdr:cNvSpPr>
      </xdr:nvSpPr>
      <xdr:spPr>
        <a:xfrm>
          <a:off x="295275" y="14135100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228600</xdr:rowOff>
    </xdr:from>
    <xdr:to>
      <xdr:col>3</xdr:col>
      <xdr:colOff>123825</xdr:colOff>
      <xdr:row>43</xdr:row>
      <xdr:rowOff>228600</xdr:rowOff>
    </xdr:to>
    <xdr:sp>
      <xdr:nvSpPr>
        <xdr:cNvPr id="33" name="Line 37"/>
        <xdr:cNvSpPr>
          <a:spLocks/>
        </xdr:cNvSpPr>
      </xdr:nvSpPr>
      <xdr:spPr>
        <a:xfrm>
          <a:off x="1028700" y="14135100"/>
          <a:ext cx="7048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123825</xdr:colOff>
      <xdr:row>43</xdr:row>
      <xdr:rowOff>228600</xdr:rowOff>
    </xdr:from>
    <xdr:to>
      <xdr:col>5</xdr:col>
      <xdr:colOff>476250</xdr:colOff>
      <xdr:row>43</xdr:row>
      <xdr:rowOff>228600</xdr:rowOff>
    </xdr:to>
    <xdr:sp>
      <xdr:nvSpPr>
        <xdr:cNvPr id="34" name="Line 38"/>
        <xdr:cNvSpPr>
          <a:spLocks/>
        </xdr:cNvSpPr>
      </xdr:nvSpPr>
      <xdr:spPr>
        <a:xfrm>
          <a:off x="1733550" y="14135100"/>
          <a:ext cx="172402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476250</xdr:colOff>
      <xdr:row>43</xdr:row>
      <xdr:rowOff>228600</xdr:rowOff>
    </xdr:from>
    <xdr:to>
      <xdr:col>7</xdr:col>
      <xdr:colOff>0</xdr:colOff>
      <xdr:row>43</xdr:row>
      <xdr:rowOff>228600</xdr:rowOff>
    </xdr:to>
    <xdr:sp>
      <xdr:nvSpPr>
        <xdr:cNvPr id="35" name="Line 39"/>
        <xdr:cNvSpPr>
          <a:spLocks/>
        </xdr:cNvSpPr>
      </xdr:nvSpPr>
      <xdr:spPr>
        <a:xfrm>
          <a:off x="3457575" y="14135100"/>
          <a:ext cx="84772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228600</xdr:rowOff>
    </xdr:from>
    <xdr:to>
      <xdr:col>7</xdr:col>
      <xdr:colOff>600075</xdr:colOff>
      <xdr:row>43</xdr:row>
      <xdr:rowOff>228600</xdr:rowOff>
    </xdr:to>
    <xdr:sp>
      <xdr:nvSpPr>
        <xdr:cNvPr id="36" name="Line 40"/>
        <xdr:cNvSpPr>
          <a:spLocks/>
        </xdr:cNvSpPr>
      </xdr:nvSpPr>
      <xdr:spPr>
        <a:xfrm>
          <a:off x="4305300" y="14135100"/>
          <a:ext cx="60007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45</xdr:row>
      <xdr:rowOff>171450</xdr:rowOff>
    </xdr:from>
    <xdr:to>
      <xdr:col>7</xdr:col>
      <xdr:colOff>600075</xdr:colOff>
      <xdr:row>45</xdr:row>
      <xdr:rowOff>171450</xdr:rowOff>
    </xdr:to>
    <xdr:sp>
      <xdr:nvSpPr>
        <xdr:cNvPr id="37" name="Line 41"/>
        <xdr:cNvSpPr>
          <a:spLocks/>
        </xdr:cNvSpPr>
      </xdr:nvSpPr>
      <xdr:spPr>
        <a:xfrm>
          <a:off x="3048000" y="14649450"/>
          <a:ext cx="185737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171450</xdr:rowOff>
    </xdr:from>
    <xdr:to>
      <xdr:col>3</xdr:col>
      <xdr:colOff>542925</xdr:colOff>
      <xdr:row>45</xdr:row>
      <xdr:rowOff>171450</xdr:rowOff>
    </xdr:to>
    <xdr:sp>
      <xdr:nvSpPr>
        <xdr:cNvPr id="38" name="Line 42"/>
        <xdr:cNvSpPr>
          <a:spLocks/>
        </xdr:cNvSpPr>
      </xdr:nvSpPr>
      <xdr:spPr>
        <a:xfrm flipH="1">
          <a:off x="295275" y="14649450"/>
          <a:ext cx="185737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36</xdr:row>
      <xdr:rowOff>171450</xdr:rowOff>
    </xdr:from>
    <xdr:to>
      <xdr:col>2</xdr:col>
      <xdr:colOff>542925</xdr:colOff>
      <xdr:row>37</xdr:row>
      <xdr:rowOff>152400</xdr:rowOff>
    </xdr:to>
    <xdr:sp>
      <xdr:nvSpPr>
        <xdr:cNvPr id="39" name="Line 43"/>
        <xdr:cNvSpPr>
          <a:spLocks/>
        </xdr:cNvSpPr>
      </xdr:nvSpPr>
      <xdr:spPr>
        <a:xfrm flipH="1">
          <a:off x="1543050" y="11220450"/>
          <a:ext cx="0" cy="276225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333375</xdr:colOff>
      <xdr:row>36</xdr:row>
      <xdr:rowOff>171450</xdr:rowOff>
    </xdr:from>
    <xdr:to>
      <xdr:col>6</xdr:col>
      <xdr:colOff>333375</xdr:colOff>
      <xdr:row>37</xdr:row>
      <xdr:rowOff>161925</xdr:rowOff>
    </xdr:to>
    <xdr:sp>
      <xdr:nvSpPr>
        <xdr:cNvPr id="40" name="Line 44"/>
        <xdr:cNvSpPr>
          <a:spLocks/>
        </xdr:cNvSpPr>
      </xdr:nvSpPr>
      <xdr:spPr>
        <a:xfrm>
          <a:off x="3924300" y="11220450"/>
          <a:ext cx="0" cy="28575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36</xdr:row>
      <xdr:rowOff>171450</xdr:rowOff>
    </xdr:from>
    <xdr:to>
      <xdr:col>3</xdr:col>
      <xdr:colOff>571500</xdr:colOff>
      <xdr:row>36</xdr:row>
      <xdr:rowOff>171450</xdr:rowOff>
    </xdr:to>
    <xdr:sp>
      <xdr:nvSpPr>
        <xdr:cNvPr id="41" name="Line 45"/>
        <xdr:cNvSpPr>
          <a:spLocks/>
        </xdr:cNvSpPr>
      </xdr:nvSpPr>
      <xdr:spPr>
        <a:xfrm>
          <a:off x="1543050" y="11220450"/>
          <a:ext cx="63817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247650</xdr:colOff>
      <xdr:row>36</xdr:row>
      <xdr:rowOff>171450</xdr:rowOff>
    </xdr:from>
    <xdr:to>
      <xdr:col>6</xdr:col>
      <xdr:colOff>333375</xdr:colOff>
      <xdr:row>36</xdr:row>
      <xdr:rowOff>171450</xdr:rowOff>
    </xdr:to>
    <xdr:sp>
      <xdr:nvSpPr>
        <xdr:cNvPr id="42" name="Line 46"/>
        <xdr:cNvSpPr>
          <a:spLocks/>
        </xdr:cNvSpPr>
      </xdr:nvSpPr>
      <xdr:spPr>
        <a:xfrm>
          <a:off x="3228975" y="11220450"/>
          <a:ext cx="69532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95250</xdr:rowOff>
    </xdr:from>
    <xdr:to>
      <xdr:col>1</xdr:col>
      <xdr:colOff>9525</xdr:colOff>
      <xdr:row>39</xdr:row>
      <xdr:rowOff>38100</xdr:rowOff>
    </xdr:to>
    <xdr:sp>
      <xdr:nvSpPr>
        <xdr:cNvPr id="43" name="Line 47"/>
        <xdr:cNvSpPr>
          <a:spLocks/>
        </xdr:cNvSpPr>
      </xdr:nvSpPr>
      <xdr:spPr>
        <a:xfrm flipH="1" flipV="1">
          <a:off x="295275" y="11439525"/>
          <a:ext cx="0" cy="13811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342900</xdr:colOff>
      <xdr:row>37</xdr:row>
      <xdr:rowOff>238125</xdr:rowOff>
    </xdr:from>
    <xdr:to>
      <xdr:col>7</xdr:col>
      <xdr:colOff>600075</xdr:colOff>
      <xdr:row>37</xdr:row>
      <xdr:rowOff>238125</xdr:rowOff>
    </xdr:to>
    <xdr:sp>
      <xdr:nvSpPr>
        <xdr:cNvPr id="44" name="Line 48"/>
        <xdr:cNvSpPr>
          <a:spLocks/>
        </xdr:cNvSpPr>
      </xdr:nvSpPr>
      <xdr:spPr>
        <a:xfrm flipV="1">
          <a:off x="3933825" y="11582400"/>
          <a:ext cx="9715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123825</xdr:rowOff>
    </xdr:from>
    <xdr:to>
      <xdr:col>7</xdr:col>
      <xdr:colOff>600075</xdr:colOff>
      <xdr:row>39</xdr:row>
      <xdr:rowOff>38100</xdr:rowOff>
    </xdr:to>
    <xdr:sp>
      <xdr:nvSpPr>
        <xdr:cNvPr id="45" name="Line 49"/>
        <xdr:cNvSpPr>
          <a:spLocks/>
        </xdr:cNvSpPr>
      </xdr:nvSpPr>
      <xdr:spPr>
        <a:xfrm flipV="1">
          <a:off x="4905375" y="11468100"/>
          <a:ext cx="0" cy="13525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590550</xdr:rowOff>
    </xdr:from>
    <xdr:to>
      <xdr:col>3</xdr:col>
      <xdr:colOff>342900</xdr:colOff>
      <xdr:row>39</xdr:row>
      <xdr:rowOff>276225</xdr:rowOff>
    </xdr:to>
    <xdr:sp>
      <xdr:nvSpPr>
        <xdr:cNvPr id="46" name="Line 50"/>
        <xdr:cNvSpPr>
          <a:spLocks/>
        </xdr:cNvSpPr>
      </xdr:nvSpPr>
      <xdr:spPr>
        <a:xfrm>
          <a:off x="1952625" y="12230100"/>
          <a:ext cx="0" cy="828675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552450</xdr:rowOff>
    </xdr:from>
    <xdr:to>
      <xdr:col>3</xdr:col>
      <xdr:colOff>342900</xdr:colOff>
      <xdr:row>38</xdr:row>
      <xdr:rowOff>1076325</xdr:rowOff>
    </xdr:to>
    <xdr:sp>
      <xdr:nvSpPr>
        <xdr:cNvPr id="47" name="Line 51"/>
        <xdr:cNvSpPr>
          <a:spLocks/>
        </xdr:cNvSpPr>
      </xdr:nvSpPr>
      <xdr:spPr>
        <a:xfrm>
          <a:off x="1952625" y="12192000"/>
          <a:ext cx="0" cy="51435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342900</xdr:colOff>
      <xdr:row>38</xdr:row>
      <xdr:rowOff>552450</xdr:rowOff>
    </xdr:from>
    <xdr:to>
      <xdr:col>3</xdr:col>
      <xdr:colOff>600075</xdr:colOff>
      <xdr:row>38</xdr:row>
      <xdr:rowOff>552450</xdr:rowOff>
    </xdr:to>
    <xdr:sp>
      <xdr:nvSpPr>
        <xdr:cNvPr id="48" name="Line 52"/>
        <xdr:cNvSpPr>
          <a:spLocks/>
        </xdr:cNvSpPr>
      </xdr:nvSpPr>
      <xdr:spPr>
        <a:xfrm>
          <a:off x="1952625" y="12192000"/>
          <a:ext cx="257175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847725</xdr:rowOff>
    </xdr:from>
    <xdr:to>
      <xdr:col>1</xdr:col>
      <xdr:colOff>66675</xdr:colOff>
      <xdr:row>39</xdr:row>
      <xdr:rowOff>152400</xdr:rowOff>
    </xdr:to>
    <xdr:sp>
      <xdr:nvSpPr>
        <xdr:cNvPr id="49" name="Line 53"/>
        <xdr:cNvSpPr>
          <a:spLocks/>
        </xdr:cNvSpPr>
      </xdr:nvSpPr>
      <xdr:spPr>
        <a:xfrm>
          <a:off x="352425" y="12487275"/>
          <a:ext cx="0" cy="447675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285750</xdr:colOff>
      <xdr:row>38</xdr:row>
      <xdr:rowOff>628650</xdr:rowOff>
    </xdr:from>
    <xdr:to>
      <xdr:col>1</xdr:col>
      <xdr:colOff>0</xdr:colOff>
      <xdr:row>38</xdr:row>
      <xdr:rowOff>628650</xdr:rowOff>
    </xdr:to>
    <xdr:sp>
      <xdr:nvSpPr>
        <xdr:cNvPr id="50" name="Line 54"/>
        <xdr:cNvSpPr>
          <a:spLocks/>
        </xdr:cNvSpPr>
      </xdr:nvSpPr>
      <xdr:spPr>
        <a:xfrm>
          <a:off x="285750" y="12268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9525</xdr:rowOff>
    </xdr:from>
    <xdr:to>
      <xdr:col>7</xdr:col>
      <xdr:colOff>590550</xdr:colOff>
      <xdr:row>40</xdr:row>
      <xdr:rowOff>219075</xdr:rowOff>
    </xdr:to>
    <xdr:grpSp>
      <xdr:nvGrpSpPr>
        <xdr:cNvPr id="51" name="Group 55"/>
        <xdr:cNvGrpSpPr>
          <a:grpSpLocks/>
        </xdr:cNvGrpSpPr>
      </xdr:nvGrpSpPr>
      <xdr:grpSpPr>
        <a:xfrm>
          <a:off x="3629025" y="12792075"/>
          <a:ext cx="1266825" cy="485775"/>
          <a:chOff x="381" y="1253"/>
          <a:chExt cx="133" cy="51"/>
        </a:xfrm>
        <a:solidFill>
          <a:srgbClr val="FFFFFF"/>
        </a:solidFill>
      </xdr:grpSpPr>
      <xdr:sp>
        <xdr:nvSpPr>
          <xdr:cNvPr id="52" name="Line 56"/>
          <xdr:cNvSpPr>
            <a:spLocks/>
          </xdr:cNvSpPr>
        </xdr:nvSpPr>
        <xdr:spPr>
          <a:xfrm>
            <a:off x="418" y="1255"/>
            <a:ext cx="96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Line 57"/>
          <xdr:cNvSpPr>
            <a:spLocks/>
          </xdr:cNvSpPr>
        </xdr:nvSpPr>
        <xdr:spPr>
          <a:xfrm>
            <a:off x="418" y="1277"/>
            <a:ext cx="96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Line 58"/>
          <xdr:cNvSpPr>
            <a:spLocks/>
          </xdr:cNvSpPr>
        </xdr:nvSpPr>
        <xdr:spPr>
          <a:xfrm flipV="1">
            <a:off x="482" y="1253"/>
            <a:ext cx="0" cy="46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Line 59"/>
          <xdr:cNvSpPr>
            <a:spLocks/>
          </xdr:cNvSpPr>
        </xdr:nvSpPr>
        <xdr:spPr>
          <a:xfrm flipV="1">
            <a:off x="482" y="1277"/>
            <a:ext cx="0" cy="27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381" y="1304"/>
            <a:ext cx="101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38</xdr:row>
      <xdr:rowOff>847725</xdr:rowOff>
    </xdr:from>
    <xdr:to>
      <xdr:col>1</xdr:col>
      <xdr:colOff>504825</xdr:colOff>
      <xdr:row>38</xdr:row>
      <xdr:rowOff>847725</xdr:rowOff>
    </xdr:to>
    <xdr:sp>
      <xdr:nvSpPr>
        <xdr:cNvPr id="57" name="Line 61"/>
        <xdr:cNvSpPr>
          <a:spLocks/>
        </xdr:cNvSpPr>
      </xdr:nvSpPr>
      <xdr:spPr>
        <a:xfrm>
          <a:off x="352425" y="12487275"/>
          <a:ext cx="43815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142875</xdr:rowOff>
    </xdr:from>
    <xdr:to>
      <xdr:col>2</xdr:col>
      <xdr:colOff>542925</xdr:colOff>
      <xdr:row>38</xdr:row>
      <xdr:rowOff>180975</xdr:rowOff>
    </xdr:to>
    <xdr:sp>
      <xdr:nvSpPr>
        <xdr:cNvPr id="58" name="Line 62"/>
        <xdr:cNvSpPr>
          <a:spLocks/>
        </xdr:cNvSpPr>
      </xdr:nvSpPr>
      <xdr:spPr>
        <a:xfrm>
          <a:off x="1543050" y="11487150"/>
          <a:ext cx="0" cy="333375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333375</xdr:colOff>
      <xdr:row>37</xdr:row>
      <xdr:rowOff>142875</xdr:rowOff>
    </xdr:from>
    <xdr:to>
      <xdr:col>6</xdr:col>
      <xdr:colOff>333375</xdr:colOff>
      <xdr:row>38</xdr:row>
      <xdr:rowOff>180975</xdr:rowOff>
    </xdr:to>
    <xdr:sp>
      <xdr:nvSpPr>
        <xdr:cNvPr id="59" name="Line 63"/>
        <xdr:cNvSpPr>
          <a:spLocks/>
        </xdr:cNvSpPr>
      </xdr:nvSpPr>
      <xdr:spPr>
        <a:xfrm>
          <a:off x="3924300" y="11487150"/>
          <a:ext cx="0" cy="333375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37</xdr:row>
      <xdr:rowOff>238125</xdr:rowOff>
    </xdr:from>
    <xdr:to>
      <xdr:col>6</xdr:col>
      <xdr:colOff>333375</xdr:colOff>
      <xdr:row>37</xdr:row>
      <xdr:rowOff>238125</xdr:rowOff>
    </xdr:to>
    <xdr:sp>
      <xdr:nvSpPr>
        <xdr:cNvPr id="60" name="Line 68"/>
        <xdr:cNvSpPr>
          <a:spLocks/>
        </xdr:cNvSpPr>
      </xdr:nvSpPr>
      <xdr:spPr>
        <a:xfrm>
          <a:off x="1543050" y="11582400"/>
          <a:ext cx="2381250" cy="0"/>
        </a:xfrm>
        <a:prstGeom prst="line">
          <a:avLst/>
        </a:prstGeom>
        <a:solidFill>
          <a:srgbClr val="FFFFFF"/>
        </a:solidFill>
        <a:ln w="6350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247650</xdr:rowOff>
    </xdr:from>
    <xdr:to>
      <xdr:col>7</xdr:col>
      <xdr:colOff>609600</xdr:colOff>
      <xdr:row>40</xdr:row>
      <xdr:rowOff>66675</xdr:rowOff>
    </xdr:to>
    <xdr:grpSp>
      <xdr:nvGrpSpPr>
        <xdr:cNvPr id="61" name="Group 71"/>
        <xdr:cNvGrpSpPr>
          <a:grpSpLocks/>
        </xdr:cNvGrpSpPr>
      </xdr:nvGrpSpPr>
      <xdr:grpSpPr>
        <a:xfrm>
          <a:off x="295275" y="11591925"/>
          <a:ext cx="4619625" cy="1533525"/>
          <a:chOff x="31" y="1278"/>
          <a:chExt cx="485" cy="72"/>
        </a:xfrm>
        <a:solidFill>
          <a:srgbClr val="FFFFFF"/>
        </a:solidFill>
      </xdr:grpSpPr>
      <xdr:grpSp>
        <xdr:nvGrpSpPr>
          <xdr:cNvPr id="62" name="Group 72"/>
          <xdr:cNvGrpSpPr>
            <a:grpSpLocks/>
          </xdr:cNvGrpSpPr>
        </xdr:nvGrpSpPr>
        <xdr:grpSpPr>
          <a:xfrm>
            <a:off x="31" y="1278"/>
            <a:ext cx="485" cy="72"/>
            <a:chOff x="105" y="1072"/>
            <a:chExt cx="485" cy="72"/>
          </a:xfrm>
          <a:solidFill>
            <a:srgbClr val="FFFFFF"/>
          </a:solidFill>
        </xdr:grpSpPr>
        <xdr:grpSp>
          <xdr:nvGrpSpPr>
            <xdr:cNvPr id="63" name="Group 73"/>
            <xdr:cNvGrpSpPr>
              <a:grpSpLocks/>
            </xdr:cNvGrpSpPr>
          </xdr:nvGrpSpPr>
          <xdr:grpSpPr>
            <a:xfrm>
              <a:off x="125" y="1101"/>
              <a:ext cx="465" cy="43"/>
              <a:chOff x="1340000" y="25080000"/>
              <a:chExt cx="8900000" cy="880000"/>
            </a:xfrm>
            <a:solidFill>
              <a:srgbClr val="FFFFFF"/>
            </a:solidFill>
          </xdr:grpSpPr>
          <xdr:sp>
            <xdr:nvSpPr>
              <xdr:cNvPr id="64" name="Drawing 279"/>
              <xdr:cNvSpPr>
                <a:spLocks/>
              </xdr:cNvSpPr>
            </xdr:nvSpPr>
            <xdr:spPr>
              <a:xfrm>
                <a:off x="2359050" y="25080000"/>
                <a:ext cx="7880950" cy="880000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6384" y="0"/>
                    </a:lnTo>
                    <a:lnTo>
                      <a:pt x="16384" y="16384"/>
                    </a:lnTo>
                    <a:lnTo>
                      <a:pt x="0" y="16384"/>
                    </a:lnTo>
                  </a:path>
                </a:pathLst>
              </a:cu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65" name="Drawing 281"/>
              <xdr:cNvSpPr>
                <a:spLocks/>
              </xdr:cNvSpPr>
            </xdr:nvSpPr>
            <xdr:spPr>
              <a:xfrm>
                <a:off x="1340000" y="25080000"/>
                <a:ext cx="1019050" cy="880000"/>
              </a:xfrm>
              <a:custGeom>
                <a:pathLst>
                  <a:path h="16384" w="16384">
                    <a:moveTo>
                      <a:pt x="16384" y="0"/>
                    </a:moveTo>
                    <a:lnTo>
                      <a:pt x="0" y="5994"/>
                    </a:lnTo>
                    <a:lnTo>
                      <a:pt x="0" y="10789"/>
                    </a:lnTo>
                    <a:lnTo>
                      <a:pt x="16384" y="16384"/>
                    </a:lnTo>
                  </a:path>
                </a:pathLst>
              </a:cu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  <xdr:sp>
          <xdr:nvSpPr>
            <xdr:cNvPr id="66" name="Line 76"/>
            <xdr:cNvSpPr>
              <a:spLocks/>
            </xdr:cNvSpPr>
          </xdr:nvSpPr>
          <xdr:spPr>
            <a:xfrm>
              <a:off x="158" y="1107"/>
              <a:ext cx="431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7" name="Line 77"/>
            <xdr:cNvSpPr>
              <a:spLocks/>
            </xdr:cNvSpPr>
          </xdr:nvSpPr>
          <xdr:spPr>
            <a:xfrm>
              <a:off x="158" y="1137"/>
              <a:ext cx="431" cy="0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8" name="Drawing 296"/>
            <xdr:cNvSpPr>
              <a:spLocks/>
            </xdr:cNvSpPr>
          </xdr:nvSpPr>
          <xdr:spPr>
            <a:xfrm>
              <a:off x="220" y="1072"/>
              <a:ext cx="30" cy="67"/>
            </a:xfrm>
            <a:custGeom>
              <a:pathLst>
                <a:path h="16384" w="16384">
                  <a:moveTo>
                    <a:pt x="0" y="16384"/>
                  </a:moveTo>
                  <a:lnTo>
                    <a:pt x="6215" y="16384"/>
                  </a:lnTo>
                  <a:lnTo>
                    <a:pt x="6215" y="2341"/>
                  </a:lnTo>
                  <a:lnTo>
                    <a:pt x="9039" y="0"/>
                  </a:lnTo>
                  <a:lnTo>
                    <a:pt x="11299" y="2861"/>
                  </a:lnTo>
                  <a:lnTo>
                    <a:pt x="11299" y="16384"/>
                  </a:lnTo>
                  <a:lnTo>
                    <a:pt x="16384" y="1638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9" name="Drawing 297"/>
            <xdr:cNvSpPr>
              <a:spLocks/>
            </xdr:cNvSpPr>
          </xdr:nvSpPr>
          <xdr:spPr>
            <a:xfrm>
              <a:off x="470" y="1072"/>
              <a:ext cx="30" cy="67"/>
            </a:xfrm>
            <a:custGeom>
              <a:pathLst>
                <a:path h="16384" w="16384">
                  <a:moveTo>
                    <a:pt x="0" y="16384"/>
                  </a:moveTo>
                  <a:lnTo>
                    <a:pt x="6215" y="16384"/>
                  </a:lnTo>
                  <a:lnTo>
                    <a:pt x="6215" y="2341"/>
                  </a:lnTo>
                  <a:lnTo>
                    <a:pt x="9039" y="0"/>
                  </a:lnTo>
                  <a:lnTo>
                    <a:pt x="11299" y="2861"/>
                  </a:lnTo>
                  <a:lnTo>
                    <a:pt x="11299" y="16384"/>
                  </a:lnTo>
                  <a:lnTo>
                    <a:pt x="16384" y="16384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0" name="Drawing 302"/>
            <xdr:cNvSpPr>
              <a:spLocks/>
            </xdr:cNvSpPr>
          </xdr:nvSpPr>
          <xdr:spPr>
            <a:xfrm>
              <a:off x="105" y="1101"/>
              <a:ext cx="72" cy="43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0" y="7992"/>
                  </a:lnTo>
                  <a:lnTo>
                    <a:pt x="16147" y="16384"/>
                  </a:lnTo>
                  <a:lnTo>
                    <a:pt x="4274" y="10390"/>
                  </a:lnTo>
                  <a:lnTo>
                    <a:pt x="4512" y="5994"/>
                  </a:lnTo>
                </a:path>
              </a:pathLst>
            </a:custGeom>
            <a:solidFill>
              <a:srgbClr val="008080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1" name="Rectangle 81"/>
            <xdr:cNvSpPr>
              <a:spLocks/>
            </xdr:cNvSpPr>
          </xdr:nvSpPr>
          <xdr:spPr>
            <a:xfrm>
              <a:off x="126" y="1120"/>
              <a:ext cx="64" cy="3"/>
            </a:xfrm>
            <a:prstGeom prst="rect">
              <a:avLst/>
            </a:prstGeom>
            <a:solidFill>
              <a:srgbClr val="008080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72" name="Group 82"/>
          <xdr:cNvGrpSpPr>
            <a:grpSpLocks/>
          </xdr:cNvGrpSpPr>
        </xdr:nvGrpSpPr>
        <xdr:grpSpPr>
          <a:xfrm>
            <a:off x="182" y="1313"/>
            <a:ext cx="181" cy="31"/>
            <a:chOff x="271" y="1107"/>
            <a:chExt cx="176" cy="31"/>
          </a:xfrm>
          <a:solidFill>
            <a:srgbClr val="FFFFFF"/>
          </a:solidFill>
        </xdr:grpSpPr>
        <xdr:sp>
          <xdr:nvSpPr>
            <xdr:cNvPr id="73" name="Line 83"/>
            <xdr:cNvSpPr>
              <a:spLocks/>
            </xdr:cNvSpPr>
          </xdr:nvSpPr>
          <xdr:spPr>
            <a:xfrm>
              <a:off x="271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4" name="Line 84"/>
            <xdr:cNvSpPr>
              <a:spLocks/>
            </xdr:cNvSpPr>
          </xdr:nvSpPr>
          <xdr:spPr>
            <a:xfrm>
              <a:off x="309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5" name="Line 85"/>
            <xdr:cNvSpPr>
              <a:spLocks/>
            </xdr:cNvSpPr>
          </xdr:nvSpPr>
          <xdr:spPr>
            <a:xfrm>
              <a:off x="366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6" name="Line 86"/>
            <xdr:cNvSpPr>
              <a:spLocks/>
            </xdr:cNvSpPr>
          </xdr:nvSpPr>
          <xdr:spPr>
            <a:xfrm>
              <a:off x="289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7" name="Line 87"/>
            <xdr:cNvSpPr>
              <a:spLocks/>
            </xdr:cNvSpPr>
          </xdr:nvSpPr>
          <xdr:spPr>
            <a:xfrm>
              <a:off x="328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8" name="Line 88"/>
            <xdr:cNvSpPr>
              <a:spLocks/>
            </xdr:cNvSpPr>
          </xdr:nvSpPr>
          <xdr:spPr>
            <a:xfrm>
              <a:off x="348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9" name="Line 89"/>
            <xdr:cNvSpPr>
              <a:spLocks/>
            </xdr:cNvSpPr>
          </xdr:nvSpPr>
          <xdr:spPr>
            <a:xfrm>
              <a:off x="385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0" name="Line 90"/>
            <xdr:cNvSpPr>
              <a:spLocks/>
            </xdr:cNvSpPr>
          </xdr:nvSpPr>
          <xdr:spPr>
            <a:xfrm>
              <a:off x="406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1" name="Line 91"/>
            <xdr:cNvSpPr>
              <a:spLocks/>
            </xdr:cNvSpPr>
          </xdr:nvSpPr>
          <xdr:spPr>
            <a:xfrm>
              <a:off x="427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2" name="Line 92"/>
            <xdr:cNvSpPr>
              <a:spLocks/>
            </xdr:cNvSpPr>
          </xdr:nvSpPr>
          <xdr:spPr>
            <a:xfrm>
              <a:off x="447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83" name="Group 93"/>
          <xdr:cNvGrpSpPr>
            <a:grpSpLocks/>
          </xdr:cNvGrpSpPr>
        </xdr:nvGrpSpPr>
        <xdr:grpSpPr>
          <a:xfrm>
            <a:off x="378" y="1313"/>
            <a:ext cx="74" cy="31"/>
            <a:chOff x="461" y="1107"/>
            <a:chExt cx="62" cy="31"/>
          </a:xfrm>
          <a:solidFill>
            <a:srgbClr val="FFFFFF"/>
          </a:solidFill>
        </xdr:grpSpPr>
        <xdr:sp>
          <xdr:nvSpPr>
            <xdr:cNvPr id="84" name="Line 94"/>
            <xdr:cNvSpPr>
              <a:spLocks/>
            </xdr:cNvSpPr>
          </xdr:nvSpPr>
          <xdr:spPr>
            <a:xfrm>
              <a:off x="461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5" name="Line 95"/>
            <xdr:cNvSpPr>
              <a:spLocks/>
            </xdr:cNvSpPr>
          </xdr:nvSpPr>
          <xdr:spPr>
            <a:xfrm>
              <a:off x="474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6" name="Line 96"/>
            <xdr:cNvSpPr>
              <a:spLocks/>
            </xdr:cNvSpPr>
          </xdr:nvSpPr>
          <xdr:spPr>
            <a:xfrm>
              <a:off x="487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7" name="Line 97"/>
            <xdr:cNvSpPr>
              <a:spLocks/>
            </xdr:cNvSpPr>
          </xdr:nvSpPr>
          <xdr:spPr>
            <a:xfrm>
              <a:off x="499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8" name="Line 98"/>
            <xdr:cNvSpPr>
              <a:spLocks/>
            </xdr:cNvSpPr>
          </xdr:nvSpPr>
          <xdr:spPr>
            <a:xfrm>
              <a:off x="511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9" name="Line 99"/>
            <xdr:cNvSpPr>
              <a:spLocks/>
            </xdr:cNvSpPr>
          </xdr:nvSpPr>
          <xdr:spPr>
            <a:xfrm>
              <a:off x="523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90" name="Group 100"/>
          <xdr:cNvGrpSpPr>
            <a:grpSpLocks/>
          </xdr:cNvGrpSpPr>
        </xdr:nvGrpSpPr>
        <xdr:grpSpPr>
          <a:xfrm>
            <a:off x="452" y="1313"/>
            <a:ext cx="58" cy="31"/>
            <a:chOff x="531" y="1107"/>
            <a:chExt cx="53" cy="31"/>
          </a:xfrm>
          <a:solidFill>
            <a:srgbClr val="FFFFFF"/>
          </a:solidFill>
        </xdr:grpSpPr>
        <xdr:grpSp>
          <xdr:nvGrpSpPr>
            <xdr:cNvPr id="91" name="Group 101"/>
            <xdr:cNvGrpSpPr>
              <a:grpSpLocks/>
            </xdr:cNvGrpSpPr>
          </xdr:nvGrpSpPr>
          <xdr:grpSpPr>
            <a:xfrm>
              <a:off x="531" y="1107"/>
              <a:ext cx="45" cy="31"/>
              <a:chOff x="461" y="1107"/>
              <a:chExt cx="62" cy="31"/>
            </a:xfrm>
            <a:solidFill>
              <a:srgbClr val="FFFFFF"/>
            </a:solidFill>
          </xdr:grpSpPr>
          <xdr:sp>
            <xdr:nvSpPr>
              <xdr:cNvPr id="92" name="Line 102"/>
              <xdr:cNvSpPr>
                <a:spLocks/>
              </xdr:cNvSpPr>
            </xdr:nvSpPr>
            <xdr:spPr>
              <a:xfrm>
                <a:off x="461" y="1107"/>
                <a:ext cx="0" cy="3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93" name="Line 103"/>
              <xdr:cNvSpPr>
                <a:spLocks/>
              </xdr:cNvSpPr>
            </xdr:nvSpPr>
            <xdr:spPr>
              <a:xfrm>
                <a:off x="474" y="1107"/>
                <a:ext cx="0" cy="3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94" name="Line 104"/>
              <xdr:cNvSpPr>
                <a:spLocks/>
              </xdr:cNvSpPr>
            </xdr:nvSpPr>
            <xdr:spPr>
              <a:xfrm>
                <a:off x="487" y="1108"/>
                <a:ext cx="0" cy="3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95" name="Line 105"/>
              <xdr:cNvSpPr>
                <a:spLocks/>
              </xdr:cNvSpPr>
            </xdr:nvSpPr>
            <xdr:spPr>
              <a:xfrm>
                <a:off x="499" y="1108"/>
                <a:ext cx="0" cy="3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96" name="Line 106"/>
              <xdr:cNvSpPr>
                <a:spLocks/>
              </xdr:cNvSpPr>
            </xdr:nvSpPr>
            <xdr:spPr>
              <a:xfrm>
                <a:off x="511" y="1108"/>
                <a:ext cx="0" cy="3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97" name="Line 107"/>
              <xdr:cNvSpPr>
                <a:spLocks/>
              </xdr:cNvSpPr>
            </xdr:nvSpPr>
            <xdr:spPr>
              <a:xfrm>
                <a:off x="523" y="1107"/>
                <a:ext cx="0" cy="3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  <xdr:sp>
          <xdr:nvSpPr>
            <xdr:cNvPr id="98" name="Line 108"/>
            <xdr:cNvSpPr>
              <a:spLocks/>
            </xdr:cNvSpPr>
          </xdr:nvSpPr>
          <xdr:spPr>
            <a:xfrm>
              <a:off x="584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99" name="Group 109"/>
          <xdr:cNvGrpSpPr>
            <a:grpSpLocks/>
          </xdr:cNvGrpSpPr>
        </xdr:nvGrpSpPr>
        <xdr:grpSpPr>
          <a:xfrm>
            <a:off x="56" y="1313"/>
            <a:ext cx="52" cy="31"/>
            <a:chOff x="56" y="1313"/>
            <a:chExt cx="49" cy="31"/>
          </a:xfrm>
          <a:solidFill>
            <a:srgbClr val="FFFFFF"/>
          </a:solidFill>
        </xdr:grpSpPr>
        <xdr:sp>
          <xdr:nvSpPr>
            <xdr:cNvPr id="100" name="Line 110"/>
            <xdr:cNvSpPr>
              <a:spLocks/>
            </xdr:cNvSpPr>
          </xdr:nvSpPr>
          <xdr:spPr>
            <a:xfrm>
              <a:off x="80" y="1313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1" name="Line 111"/>
            <xdr:cNvSpPr>
              <a:spLocks/>
            </xdr:cNvSpPr>
          </xdr:nvSpPr>
          <xdr:spPr>
            <a:xfrm>
              <a:off x="88" y="1314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2" name="Line 112"/>
            <xdr:cNvSpPr>
              <a:spLocks/>
            </xdr:cNvSpPr>
          </xdr:nvSpPr>
          <xdr:spPr>
            <a:xfrm>
              <a:off x="97" y="1314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3" name="Line 113"/>
            <xdr:cNvSpPr>
              <a:spLocks/>
            </xdr:cNvSpPr>
          </xdr:nvSpPr>
          <xdr:spPr>
            <a:xfrm>
              <a:off x="105" y="1314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4" name="Line 114"/>
            <xdr:cNvSpPr>
              <a:spLocks/>
            </xdr:cNvSpPr>
          </xdr:nvSpPr>
          <xdr:spPr>
            <a:xfrm>
              <a:off x="71" y="1317"/>
              <a:ext cx="0" cy="23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5" name="Line 115"/>
            <xdr:cNvSpPr>
              <a:spLocks/>
            </xdr:cNvSpPr>
          </xdr:nvSpPr>
          <xdr:spPr>
            <a:xfrm>
              <a:off x="63" y="1319"/>
              <a:ext cx="0" cy="2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6" name="Line 116"/>
            <xdr:cNvSpPr>
              <a:spLocks/>
            </xdr:cNvSpPr>
          </xdr:nvSpPr>
          <xdr:spPr>
            <a:xfrm flipH="1">
              <a:off x="56" y="1321"/>
              <a:ext cx="1" cy="1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07" name="Group 117"/>
          <xdr:cNvGrpSpPr>
            <a:grpSpLocks/>
          </xdr:cNvGrpSpPr>
        </xdr:nvGrpSpPr>
        <xdr:grpSpPr>
          <a:xfrm>
            <a:off x="108" y="1313"/>
            <a:ext cx="74" cy="31"/>
            <a:chOff x="461" y="1107"/>
            <a:chExt cx="62" cy="31"/>
          </a:xfrm>
          <a:solidFill>
            <a:srgbClr val="FFFFFF"/>
          </a:solidFill>
        </xdr:grpSpPr>
        <xdr:sp>
          <xdr:nvSpPr>
            <xdr:cNvPr id="108" name="Line 118"/>
            <xdr:cNvSpPr>
              <a:spLocks/>
            </xdr:cNvSpPr>
          </xdr:nvSpPr>
          <xdr:spPr>
            <a:xfrm>
              <a:off x="461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09" name="Line 119"/>
            <xdr:cNvSpPr>
              <a:spLocks/>
            </xdr:cNvSpPr>
          </xdr:nvSpPr>
          <xdr:spPr>
            <a:xfrm>
              <a:off x="474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0" name="Line 120"/>
            <xdr:cNvSpPr>
              <a:spLocks/>
            </xdr:cNvSpPr>
          </xdr:nvSpPr>
          <xdr:spPr>
            <a:xfrm>
              <a:off x="487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1" name="Line 121"/>
            <xdr:cNvSpPr>
              <a:spLocks/>
            </xdr:cNvSpPr>
          </xdr:nvSpPr>
          <xdr:spPr>
            <a:xfrm>
              <a:off x="499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2" name="Line 122"/>
            <xdr:cNvSpPr>
              <a:spLocks/>
            </xdr:cNvSpPr>
          </xdr:nvSpPr>
          <xdr:spPr>
            <a:xfrm>
              <a:off x="511" y="1108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3" name="Line 123"/>
            <xdr:cNvSpPr>
              <a:spLocks/>
            </xdr:cNvSpPr>
          </xdr:nvSpPr>
          <xdr:spPr>
            <a:xfrm>
              <a:off x="523" y="1107"/>
              <a:ext cx="0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247650</xdr:colOff>
      <xdr:row>38</xdr:row>
      <xdr:rowOff>885825</xdr:rowOff>
    </xdr:from>
    <xdr:to>
      <xdr:col>8</xdr:col>
      <xdr:colOff>704850</xdr:colOff>
      <xdr:row>40</xdr:row>
      <xdr:rowOff>76200</xdr:rowOff>
    </xdr:to>
    <xdr:sp>
      <xdr:nvSpPr>
        <xdr:cNvPr id="114" name="Polygon 124" hidden="1"/>
        <xdr:cNvSpPr>
          <a:spLocks/>
        </xdr:cNvSpPr>
      </xdr:nvSpPr>
      <xdr:spPr>
        <a:xfrm>
          <a:off x="5267325" y="12525375"/>
          <a:ext cx="457200" cy="609600"/>
        </a:xfrm>
        <a:custGeom>
          <a:pathLst>
            <a:path h="66" w="48">
              <a:moveTo>
                <a:pt x="11" y="47"/>
              </a:moveTo>
              <a:lnTo>
                <a:pt x="11" y="19"/>
              </a:lnTo>
              <a:lnTo>
                <a:pt x="0" y="13"/>
              </a:lnTo>
              <a:lnTo>
                <a:pt x="0" y="0"/>
              </a:lnTo>
              <a:lnTo>
                <a:pt x="48" y="0"/>
              </a:lnTo>
              <a:lnTo>
                <a:pt x="48" y="13"/>
              </a:lnTo>
              <a:lnTo>
                <a:pt x="37" y="19"/>
              </a:lnTo>
              <a:lnTo>
                <a:pt x="37" y="47"/>
              </a:lnTo>
              <a:lnTo>
                <a:pt x="48" y="53"/>
              </a:lnTo>
              <a:lnTo>
                <a:pt x="48" y="66"/>
              </a:lnTo>
              <a:lnTo>
                <a:pt x="0" y="66"/>
              </a:lnTo>
              <a:lnTo>
                <a:pt x="0" y="53"/>
              </a:lnTo>
              <a:lnTo>
                <a:pt x="11" y="47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0</xdr:colOff>
      <xdr:row>33</xdr:row>
      <xdr:rowOff>0</xdr:rowOff>
    </xdr:to>
    <xdr:sp>
      <xdr:nvSpPr>
        <xdr:cNvPr id="115" name="Rectangle 125"/>
        <xdr:cNvSpPr>
          <a:spLocks/>
        </xdr:cNvSpPr>
      </xdr:nvSpPr>
      <xdr:spPr>
        <a:xfrm>
          <a:off x="0" y="1552575"/>
          <a:ext cx="6067425" cy="859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0</xdr:colOff>
      <xdr:row>51</xdr:row>
      <xdr:rowOff>0</xdr:rowOff>
    </xdr:to>
    <xdr:sp>
      <xdr:nvSpPr>
        <xdr:cNvPr id="116" name="Rectangle 126"/>
        <xdr:cNvSpPr>
          <a:spLocks/>
        </xdr:cNvSpPr>
      </xdr:nvSpPr>
      <xdr:spPr>
        <a:xfrm>
          <a:off x="0" y="10439400"/>
          <a:ext cx="6677025" cy="5810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7" name="Rectangle 127"/>
        <xdr:cNvSpPr>
          <a:spLocks/>
        </xdr:cNvSpPr>
      </xdr:nvSpPr>
      <xdr:spPr>
        <a:xfrm>
          <a:off x="0" y="10439400"/>
          <a:ext cx="10001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0</xdr:colOff>
      <xdr:row>5</xdr:row>
      <xdr:rowOff>0</xdr:rowOff>
    </xdr:to>
    <xdr:sp>
      <xdr:nvSpPr>
        <xdr:cNvPr id="118" name="Rectangle 128"/>
        <xdr:cNvSpPr>
          <a:spLocks/>
        </xdr:cNvSpPr>
      </xdr:nvSpPr>
      <xdr:spPr>
        <a:xfrm>
          <a:off x="0" y="295275"/>
          <a:ext cx="6067425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19" name="Rectangle 129"/>
        <xdr:cNvSpPr>
          <a:spLocks/>
        </xdr:cNvSpPr>
      </xdr:nvSpPr>
      <xdr:spPr>
        <a:xfrm>
          <a:off x="285750" y="295275"/>
          <a:ext cx="548640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120" name="Rectangle 130"/>
        <xdr:cNvSpPr>
          <a:spLocks/>
        </xdr:cNvSpPr>
      </xdr:nvSpPr>
      <xdr:spPr>
        <a:xfrm>
          <a:off x="285750" y="5048250"/>
          <a:ext cx="26955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21" name="Rectangle 131"/>
        <xdr:cNvSpPr>
          <a:spLocks/>
        </xdr:cNvSpPr>
      </xdr:nvSpPr>
      <xdr:spPr>
        <a:xfrm>
          <a:off x="2981325" y="5048250"/>
          <a:ext cx="27908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9</xdr:col>
      <xdr:colOff>0</xdr:colOff>
      <xdr:row>24</xdr:row>
      <xdr:rowOff>0</xdr:rowOff>
    </xdr:to>
    <xdr:sp>
      <xdr:nvSpPr>
        <xdr:cNvPr id="122" name="Rectangle 132"/>
        <xdr:cNvSpPr>
          <a:spLocks/>
        </xdr:cNvSpPr>
      </xdr:nvSpPr>
      <xdr:spPr>
        <a:xfrm>
          <a:off x="285750" y="7239000"/>
          <a:ext cx="54864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123" name="Rectangle 133"/>
        <xdr:cNvSpPr>
          <a:spLocks/>
        </xdr:cNvSpPr>
      </xdr:nvSpPr>
      <xdr:spPr>
        <a:xfrm>
          <a:off x="285750" y="8734425"/>
          <a:ext cx="54864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124" name="Rectangle 134"/>
        <xdr:cNvSpPr>
          <a:spLocks/>
        </xdr:cNvSpPr>
      </xdr:nvSpPr>
      <xdr:spPr>
        <a:xfrm>
          <a:off x="285750" y="2181225"/>
          <a:ext cx="26955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125" name="Rectangle 135"/>
        <xdr:cNvSpPr>
          <a:spLocks/>
        </xdr:cNvSpPr>
      </xdr:nvSpPr>
      <xdr:spPr>
        <a:xfrm>
          <a:off x="2981325" y="2181225"/>
          <a:ext cx="27908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126" name="Rectangle 136"/>
        <xdr:cNvSpPr>
          <a:spLocks/>
        </xdr:cNvSpPr>
      </xdr:nvSpPr>
      <xdr:spPr>
        <a:xfrm>
          <a:off x="285750" y="1885950"/>
          <a:ext cx="54864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28575</xdr:rowOff>
    </xdr:from>
    <xdr:to>
      <xdr:col>6</xdr:col>
      <xdr:colOff>76200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476250" y="172402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5</xdr:col>
      <xdr:colOff>152400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828675"/>
          <a:ext cx="1362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0</xdr:rowOff>
    </xdr:from>
    <xdr:to>
      <xdr:col>2</xdr:col>
      <xdr:colOff>266700</xdr:colOff>
      <xdr:row>10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733425" y="828675"/>
          <a:ext cx="9525" cy="895350"/>
          <a:chOff x="-15" y="-26091"/>
          <a:chExt cx="1" cy="282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V="1">
            <a:off x="-15" y="-26091"/>
            <a:ext cx="1" cy="9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-15" y="-25923"/>
            <a:ext cx="1" cy="1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</xdr:row>
      <xdr:rowOff>66675</xdr:rowOff>
    </xdr:from>
    <xdr:to>
      <xdr:col>6</xdr:col>
      <xdr:colOff>66675</xdr:colOff>
      <xdr:row>8</xdr:row>
      <xdr:rowOff>66675</xdr:rowOff>
    </xdr:to>
    <xdr:sp>
      <xdr:nvSpPr>
        <xdr:cNvPr id="6" name="Line 6"/>
        <xdr:cNvSpPr>
          <a:spLocks/>
        </xdr:cNvSpPr>
      </xdr:nvSpPr>
      <xdr:spPr>
        <a:xfrm>
          <a:off x="876300" y="14192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95250</xdr:rowOff>
    </xdr:from>
    <xdr:to>
      <xdr:col>4</xdr:col>
      <xdr:colOff>200025</xdr:colOff>
      <xdr:row>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228725" y="144780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0</xdr:rowOff>
    </xdr:from>
    <xdr:to>
      <xdr:col>4</xdr:col>
      <xdr:colOff>123825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314450" y="8286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123825</xdr:colOff>
      <xdr:row>7</xdr:row>
      <xdr:rowOff>28575</xdr:rowOff>
    </xdr:from>
    <xdr:to>
      <xdr:col>4</xdr:col>
      <xdr:colOff>123825</xdr:colOff>
      <xdr:row>8</xdr:row>
      <xdr:rowOff>66675</xdr:rowOff>
    </xdr:to>
    <xdr:sp>
      <xdr:nvSpPr>
        <xdr:cNvPr id="9" name="Line 9"/>
        <xdr:cNvSpPr>
          <a:spLocks/>
        </xdr:cNvSpPr>
      </xdr:nvSpPr>
      <xdr:spPr>
        <a:xfrm>
          <a:off x="1314450" y="11811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8</xdr:row>
      <xdr:rowOff>123825</xdr:rowOff>
    </xdr:from>
    <xdr:to>
      <xdr:col>4</xdr:col>
      <xdr:colOff>152400</xdr:colOff>
      <xdr:row>8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276350" y="147637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190500</xdr:rowOff>
    </xdr:from>
    <xdr:to>
      <xdr:col>6</xdr:col>
      <xdr:colOff>0</xdr:colOff>
      <xdr:row>12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1200150" y="2247900"/>
          <a:ext cx="55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28575</xdr:rowOff>
    </xdr:from>
    <xdr:to>
      <xdr:col>4</xdr:col>
      <xdr:colOff>133350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323975" y="1724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0</xdr:rowOff>
    </xdr:from>
    <xdr:to>
      <xdr:col>4</xdr:col>
      <xdr:colOff>133350</xdr:colOff>
      <xdr:row>12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1323975" y="205740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95250</xdr:rowOff>
    </xdr:from>
    <xdr:to>
      <xdr:col>5</xdr:col>
      <xdr:colOff>123825</xdr:colOff>
      <xdr:row>18</xdr:row>
      <xdr:rowOff>95250</xdr:rowOff>
    </xdr:to>
    <xdr:sp>
      <xdr:nvSpPr>
        <xdr:cNvPr id="14" name="Line 14"/>
        <xdr:cNvSpPr>
          <a:spLocks/>
        </xdr:cNvSpPr>
      </xdr:nvSpPr>
      <xdr:spPr>
        <a:xfrm flipH="1" flipV="1">
          <a:off x="190500" y="3200400"/>
          <a:ext cx="137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0</xdr:rowOff>
    </xdr:from>
    <xdr:to>
      <xdr:col>1</xdr:col>
      <xdr:colOff>238125</xdr:colOff>
      <xdr:row>10</xdr:row>
      <xdr:rowOff>152400</xdr:rowOff>
    </xdr:to>
    <xdr:sp>
      <xdr:nvSpPr>
        <xdr:cNvPr id="15" name="Line 15"/>
        <xdr:cNvSpPr>
          <a:spLocks/>
        </xdr:cNvSpPr>
      </xdr:nvSpPr>
      <xdr:spPr>
        <a:xfrm flipV="1">
          <a:off x="333375" y="828675"/>
          <a:ext cx="0" cy="1019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0</xdr:rowOff>
    </xdr:from>
    <xdr:to>
      <xdr:col>1</xdr:col>
      <xdr:colOff>228600</xdr:colOff>
      <xdr:row>18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323850" y="205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314325</xdr:colOff>
      <xdr:row>10</xdr:row>
      <xdr:rowOff>38100</xdr:rowOff>
    </xdr:from>
    <xdr:to>
      <xdr:col>4</xdr:col>
      <xdr:colOff>9525</xdr:colOff>
      <xdr:row>10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790575" y="1733550"/>
          <a:ext cx="409575" cy="95250"/>
          <a:chOff x="-3049" y="-1889569"/>
          <a:chExt cx="14577" cy="1330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H="1">
            <a:off x="-3049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H="1">
            <a:off x="-677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1357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411" y="-1889170"/>
            <a:ext cx="2372" cy="9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5766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139" y="-1889569"/>
            <a:ext cx="3389" cy="13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4</xdr:row>
      <xdr:rowOff>9525</xdr:rowOff>
    </xdr:from>
    <xdr:to>
      <xdr:col>12</xdr:col>
      <xdr:colOff>0</xdr:colOff>
      <xdr:row>18</xdr:row>
      <xdr:rowOff>95250</xdr:rowOff>
    </xdr:to>
    <xdr:grpSp>
      <xdr:nvGrpSpPr>
        <xdr:cNvPr id="24" name="Group 24"/>
        <xdr:cNvGrpSpPr>
          <a:grpSpLocks/>
        </xdr:cNvGrpSpPr>
      </xdr:nvGrpSpPr>
      <xdr:grpSpPr>
        <a:xfrm>
          <a:off x="1809750" y="676275"/>
          <a:ext cx="2447925" cy="2524125"/>
          <a:chOff x="-4952" y="-6546"/>
          <a:chExt cx="24948" cy="265"/>
        </a:xfrm>
        <a:solidFill>
          <a:srgbClr val="FFFFFF"/>
        </a:solidFill>
      </xdr:grpSpPr>
      <xdr:sp>
        <xdr:nvSpPr>
          <xdr:cNvPr id="25" name="Rectangle 25"/>
          <xdr:cNvSpPr>
            <a:spLocks/>
          </xdr:cNvSpPr>
        </xdr:nvSpPr>
        <xdr:spPr>
          <a:xfrm>
            <a:off x="-4952" y="-6530"/>
            <a:ext cx="1684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6" name="Drawing 4"/>
          <xdr:cNvSpPr>
            <a:spLocks/>
          </xdr:cNvSpPr>
        </xdr:nvSpPr>
        <xdr:spPr>
          <a:xfrm>
            <a:off x="-4752" y="-6520"/>
            <a:ext cx="1185" cy="239"/>
          </a:xfrm>
          <a:custGeom>
            <a:pathLst>
              <a:path h="16384" w="16384">
                <a:moveTo>
                  <a:pt x="0" y="0"/>
                </a:moveTo>
                <a:lnTo>
                  <a:pt x="0" y="15939"/>
                </a:lnTo>
                <a:lnTo>
                  <a:pt x="8192" y="16384"/>
                </a:lnTo>
                <a:lnTo>
                  <a:pt x="16384" y="15939"/>
                </a:lnTo>
                <a:lnTo>
                  <a:pt x="16384" y="0"/>
                </a:lnTo>
                <a:lnTo>
                  <a:pt x="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-4359" y="-6520"/>
            <a:ext cx="393" cy="1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V="1">
            <a:off x="-3268" y="-6525"/>
            <a:ext cx="7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-3268" y="-6530"/>
            <a:ext cx="232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-3567" y="-6436"/>
            <a:ext cx="2336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-3468" y="-6484"/>
            <a:ext cx="712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-1091" y="-6530"/>
            <a:ext cx="0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-1091" y="-6496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-1784" y="-6481"/>
            <a:ext cx="13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-1391" y="-6478"/>
            <a:ext cx="5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36" name="Group 36"/>
          <xdr:cNvGrpSpPr>
            <a:grpSpLocks/>
          </xdr:cNvGrpSpPr>
        </xdr:nvGrpSpPr>
        <xdr:grpSpPr>
          <a:xfrm>
            <a:off x="14058" y="-6529"/>
            <a:ext cx="4260" cy="10"/>
            <a:chOff x="382" y="88"/>
            <a:chExt cx="43" cy="10"/>
          </a:xfrm>
          <a:solidFill>
            <a:srgbClr val="FFFFFF"/>
          </a:solidFill>
        </xdr:grpSpPr>
        <xdr:sp>
          <xdr:nvSpPr>
            <xdr:cNvPr id="37" name="Line 37"/>
            <xdr:cNvSpPr>
              <a:spLocks/>
            </xdr:cNvSpPr>
          </xdr:nvSpPr>
          <xdr:spPr>
            <a:xfrm flipH="1">
              <a:off x="382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 flipH="1">
              <a:off x="389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 flipH="1">
              <a:off x="395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404" y="91"/>
              <a:ext cx="7" cy="7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1" name="Line 41"/>
            <xdr:cNvSpPr>
              <a:spLocks/>
            </xdr:cNvSpPr>
          </xdr:nvSpPr>
          <xdr:spPr>
            <a:xfrm>
              <a:off x="408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2" name="Line 42"/>
            <xdr:cNvSpPr>
              <a:spLocks/>
            </xdr:cNvSpPr>
          </xdr:nvSpPr>
          <xdr:spPr>
            <a:xfrm>
              <a:off x="415" y="88"/>
              <a:ext cx="10" cy="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43" name="Line 43"/>
          <xdr:cNvSpPr>
            <a:spLocks/>
          </xdr:cNvSpPr>
        </xdr:nvSpPr>
        <xdr:spPr>
          <a:xfrm>
            <a:off x="-4752" y="-6375"/>
            <a:ext cx="11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-4752" y="-6368"/>
            <a:ext cx="11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>
            <a:off x="-3567" y="-6350"/>
            <a:ext cx="276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46" name="Group 46"/>
          <xdr:cNvGrpSpPr>
            <a:grpSpLocks/>
          </xdr:cNvGrpSpPr>
        </xdr:nvGrpSpPr>
        <xdr:grpSpPr>
          <a:xfrm>
            <a:off x="-3168" y="-6546"/>
            <a:ext cx="18911" cy="15"/>
            <a:chOff x="208" y="71"/>
            <a:chExt cx="191" cy="15"/>
          </a:xfrm>
          <a:solidFill>
            <a:srgbClr val="FFFFFF"/>
          </a:solidFill>
        </xdr:grpSpPr>
        <xdr:grpSp>
          <xdr:nvGrpSpPr>
            <xdr:cNvPr id="47" name="Group 47"/>
            <xdr:cNvGrpSpPr>
              <a:grpSpLocks/>
            </xdr:cNvGrpSpPr>
          </xdr:nvGrpSpPr>
          <xdr:grpSpPr>
            <a:xfrm>
              <a:off x="208" y="71"/>
              <a:ext cx="43" cy="15"/>
              <a:chOff x="208" y="71"/>
              <a:chExt cx="43" cy="15"/>
            </a:xfrm>
            <a:solidFill>
              <a:srgbClr val="FFFFFF"/>
            </a:solidFill>
          </xdr:grpSpPr>
          <xdr:sp>
            <xdr:nvSpPr>
              <xdr:cNvPr id="48" name="Line 48"/>
              <xdr:cNvSpPr>
                <a:spLocks/>
              </xdr:cNvSpPr>
            </xdr:nvSpPr>
            <xdr:spPr>
              <a:xfrm>
                <a:off x="208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49" name="Line 49"/>
              <xdr:cNvSpPr>
                <a:spLocks/>
              </xdr:cNvSpPr>
            </xdr:nvSpPr>
            <xdr:spPr>
              <a:xfrm>
                <a:off x="229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50" name="Line 50"/>
              <xdr:cNvSpPr>
                <a:spLocks/>
              </xdr:cNvSpPr>
            </xdr:nvSpPr>
            <xdr:spPr>
              <a:xfrm>
                <a:off x="250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  <xdr:sp>
          <xdr:nvSpPr>
            <xdr:cNvPr id="51" name="Line 51"/>
            <xdr:cNvSpPr>
              <a:spLocks/>
            </xdr:cNvSpPr>
          </xdr:nvSpPr>
          <xdr:spPr>
            <a:xfrm>
              <a:off x="335" y="71"/>
              <a:ext cx="1" cy="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grpSp>
          <xdr:nvGrpSpPr>
            <xdr:cNvPr id="52" name="Group 52"/>
            <xdr:cNvGrpSpPr>
              <a:grpSpLocks/>
            </xdr:cNvGrpSpPr>
          </xdr:nvGrpSpPr>
          <xdr:grpSpPr>
            <a:xfrm>
              <a:off x="271" y="71"/>
              <a:ext cx="43" cy="15"/>
              <a:chOff x="271" y="71"/>
              <a:chExt cx="43" cy="15"/>
            </a:xfrm>
            <a:solidFill>
              <a:srgbClr val="FFFFFF"/>
            </a:solidFill>
          </xdr:grpSpPr>
          <xdr:sp>
            <xdr:nvSpPr>
              <xdr:cNvPr id="53" name="Line 53"/>
              <xdr:cNvSpPr>
                <a:spLocks/>
              </xdr:cNvSpPr>
            </xdr:nvSpPr>
            <xdr:spPr>
              <a:xfrm>
                <a:off x="271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/>
              </xdr:cNvSpPr>
            </xdr:nvSpPr>
            <xdr:spPr>
              <a:xfrm>
                <a:off x="292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55" name="Line 55"/>
              <xdr:cNvSpPr>
                <a:spLocks/>
              </xdr:cNvSpPr>
            </xdr:nvSpPr>
            <xdr:spPr>
              <a:xfrm>
                <a:off x="313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  <xdr:grpSp>
          <xdr:nvGrpSpPr>
            <xdr:cNvPr id="56" name="Group 56"/>
            <xdr:cNvGrpSpPr>
              <a:grpSpLocks/>
            </xdr:cNvGrpSpPr>
          </xdr:nvGrpSpPr>
          <xdr:grpSpPr>
            <a:xfrm>
              <a:off x="356" y="71"/>
              <a:ext cx="43" cy="15"/>
              <a:chOff x="356" y="71"/>
              <a:chExt cx="43" cy="15"/>
            </a:xfrm>
            <a:solidFill>
              <a:srgbClr val="FFFFFF"/>
            </a:solidFill>
          </xdr:grpSpPr>
          <xdr:sp>
            <xdr:nvSpPr>
              <xdr:cNvPr id="57" name="Line 57"/>
              <xdr:cNvSpPr>
                <a:spLocks/>
              </xdr:cNvSpPr>
            </xdr:nvSpPr>
            <xdr:spPr>
              <a:xfrm>
                <a:off x="356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58" name="Line 58"/>
              <xdr:cNvSpPr>
                <a:spLocks/>
              </xdr:cNvSpPr>
            </xdr:nvSpPr>
            <xdr:spPr>
              <a:xfrm>
                <a:off x="377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  <xdr:sp>
            <xdr:nvSpPr>
              <xdr:cNvPr id="59" name="Line 59"/>
              <xdr:cNvSpPr>
                <a:spLocks/>
              </xdr:cNvSpPr>
            </xdr:nvSpPr>
            <xdr:spPr>
              <a:xfrm>
                <a:off x="398" y="71"/>
                <a:ext cx="1" cy="15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ngsanaUPC"/>
                    <a:ea typeface="AngsanaUPC"/>
                    <a:cs typeface="AngsanaUPC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123825</xdr:colOff>
      <xdr:row>5</xdr:row>
      <xdr:rowOff>0</xdr:rowOff>
    </xdr:from>
    <xdr:to>
      <xdr:col>13</xdr:col>
      <xdr:colOff>485775</xdr:colOff>
      <xdr:row>18</xdr:row>
      <xdr:rowOff>66675</xdr:rowOff>
    </xdr:to>
    <xdr:grpSp>
      <xdr:nvGrpSpPr>
        <xdr:cNvPr id="60" name="Group 60"/>
        <xdr:cNvGrpSpPr>
          <a:grpSpLocks/>
        </xdr:cNvGrpSpPr>
      </xdr:nvGrpSpPr>
      <xdr:grpSpPr>
        <a:xfrm>
          <a:off x="4381500" y="828675"/>
          <a:ext cx="962025" cy="2343150"/>
          <a:chOff x="-13230" y="-9809"/>
          <a:chExt cx="26564" cy="246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 flipH="1">
            <a:off x="-81" y="-9809"/>
            <a:ext cx="0" cy="2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flipH="1">
            <a:off x="-81" y="-9809"/>
            <a:ext cx="39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H="1">
            <a:off x="-81" y="-9763"/>
            <a:ext cx="76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H="1">
            <a:off x="-81" y="-9746"/>
            <a:ext cx="105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 flipH="1">
            <a:off x="-81" y="-9715"/>
            <a:ext cx="134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864" y="-9809"/>
            <a:ext cx="3945" cy="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7809" y="-9763"/>
            <a:ext cx="2895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0704" y="-9746"/>
            <a:ext cx="263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 flipH="1">
            <a:off x="-81" y="-9714"/>
            <a:ext cx="9995" cy="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70" name="Group 70"/>
          <xdr:cNvGrpSpPr>
            <a:grpSpLocks/>
          </xdr:cNvGrpSpPr>
        </xdr:nvGrpSpPr>
        <xdr:grpSpPr>
          <a:xfrm>
            <a:off x="-13230" y="-9662"/>
            <a:ext cx="13674" cy="99"/>
            <a:chOff x="455" y="234"/>
            <a:chExt cx="52" cy="99"/>
          </a:xfrm>
          <a:solidFill>
            <a:srgbClr val="FFFFFF"/>
          </a:solidFill>
        </xdr:grpSpPr>
        <xdr:sp>
          <xdr:nvSpPr>
            <xdr:cNvPr id="71" name="Line 71"/>
            <xdr:cNvSpPr>
              <a:spLocks/>
            </xdr:cNvSpPr>
          </xdr:nvSpPr>
          <xdr:spPr>
            <a:xfrm flipH="1">
              <a:off x="455" y="237"/>
              <a:ext cx="50" cy="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>
              <a:off x="455" y="332"/>
              <a:ext cx="50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3" name="Oval 73"/>
            <xdr:cNvSpPr>
              <a:spLocks/>
            </xdr:cNvSpPr>
          </xdr:nvSpPr>
          <xdr:spPr>
            <a:xfrm>
              <a:off x="504" y="234"/>
              <a:ext cx="3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133350</xdr:colOff>
      <xdr:row>5</xdr:row>
      <xdr:rowOff>0</xdr:rowOff>
    </xdr:from>
    <xdr:to>
      <xdr:col>16</xdr:col>
      <xdr:colOff>485775</xdr:colOff>
      <xdr:row>18</xdr:row>
      <xdr:rowOff>66675</xdr:rowOff>
    </xdr:to>
    <xdr:grpSp>
      <xdr:nvGrpSpPr>
        <xdr:cNvPr id="74" name="Group 74"/>
        <xdr:cNvGrpSpPr>
          <a:grpSpLocks/>
        </xdr:cNvGrpSpPr>
      </xdr:nvGrpSpPr>
      <xdr:grpSpPr>
        <a:xfrm>
          <a:off x="6324600" y="828675"/>
          <a:ext cx="962025" cy="2343150"/>
          <a:chOff x="-15296" y="-9809"/>
          <a:chExt cx="31614" cy="246"/>
        </a:xfrm>
        <a:solidFill>
          <a:srgbClr val="FFFFFF"/>
        </a:solidFill>
      </xdr:grpSpPr>
      <xdr:sp>
        <xdr:nvSpPr>
          <xdr:cNvPr id="75" name="Line 75"/>
          <xdr:cNvSpPr>
            <a:spLocks/>
          </xdr:cNvSpPr>
        </xdr:nvSpPr>
        <xdr:spPr>
          <a:xfrm flipH="1">
            <a:off x="353" y="-9809"/>
            <a:ext cx="0" cy="24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 flipH="1">
            <a:off x="353" y="-9809"/>
            <a:ext cx="469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7" name="Line 77"/>
          <xdr:cNvSpPr>
            <a:spLocks/>
          </xdr:cNvSpPr>
        </xdr:nvSpPr>
        <xdr:spPr>
          <a:xfrm flipH="1">
            <a:off x="353" y="-9763"/>
            <a:ext cx="907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 flipH="1">
            <a:off x="353" y="-9746"/>
            <a:ext cx="1251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 flipH="1">
            <a:off x="353" y="-9715"/>
            <a:ext cx="159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5048" y="-9809"/>
            <a:ext cx="4695" cy="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9742" y="-9763"/>
            <a:ext cx="3446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2" name="Line 82"/>
          <xdr:cNvSpPr>
            <a:spLocks/>
          </xdr:cNvSpPr>
        </xdr:nvSpPr>
        <xdr:spPr>
          <a:xfrm>
            <a:off x="13188" y="-9746"/>
            <a:ext cx="313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H="1">
            <a:off x="353" y="-9714"/>
            <a:ext cx="11895" cy="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84" name="Group 84"/>
          <xdr:cNvGrpSpPr>
            <a:grpSpLocks/>
          </xdr:cNvGrpSpPr>
        </xdr:nvGrpSpPr>
        <xdr:grpSpPr>
          <a:xfrm>
            <a:off x="-15296" y="-9662"/>
            <a:ext cx="16273" cy="99"/>
            <a:chOff x="659" y="234"/>
            <a:chExt cx="52" cy="99"/>
          </a:xfrm>
          <a:solidFill>
            <a:srgbClr val="FFFFFF"/>
          </a:solidFill>
        </xdr:grpSpPr>
        <xdr:sp>
          <xdr:nvSpPr>
            <xdr:cNvPr id="85" name="Line 85"/>
            <xdr:cNvSpPr>
              <a:spLocks/>
            </xdr:cNvSpPr>
          </xdr:nvSpPr>
          <xdr:spPr>
            <a:xfrm flipH="1">
              <a:off x="659" y="237"/>
              <a:ext cx="50" cy="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>
              <a:off x="659" y="332"/>
              <a:ext cx="50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7" name="Oval 87"/>
            <xdr:cNvSpPr>
              <a:spLocks/>
            </xdr:cNvSpPr>
          </xdr:nvSpPr>
          <xdr:spPr>
            <a:xfrm>
              <a:off x="708" y="234"/>
              <a:ext cx="3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133350</xdr:colOff>
      <xdr:row>5</xdr:row>
      <xdr:rowOff>0</xdr:rowOff>
    </xdr:from>
    <xdr:to>
      <xdr:col>16</xdr:col>
      <xdr:colOff>133350</xdr:colOff>
      <xdr:row>7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6934200" y="828675"/>
          <a:ext cx="0" cy="438150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7</xdr:row>
      <xdr:rowOff>114300</xdr:rowOff>
    </xdr:from>
    <xdr:to>
      <xdr:col>16</xdr:col>
      <xdr:colOff>276225</xdr:colOff>
      <xdr:row>8</xdr:row>
      <xdr:rowOff>76200</xdr:rowOff>
    </xdr:to>
    <xdr:sp>
      <xdr:nvSpPr>
        <xdr:cNvPr id="89" name="Line 89"/>
        <xdr:cNvSpPr>
          <a:spLocks/>
        </xdr:cNvSpPr>
      </xdr:nvSpPr>
      <xdr:spPr>
        <a:xfrm>
          <a:off x="7077075" y="1266825"/>
          <a:ext cx="0" cy="161925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381000</xdr:colOff>
      <xdr:row>8</xdr:row>
      <xdr:rowOff>76200</xdr:rowOff>
    </xdr:from>
    <xdr:to>
      <xdr:col>16</xdr:col>
      <xdr:colOff>381000</xdr:colOff>
      <xdr:row>10</xdr:row>
      <xdr:rowOff>28575</xdr:rowOff>
    </xdr:to>
    <xdr:sp>
      <xdr:nvSpPr>
        <xdr:cNvPr id="90" name="Line 90"/>
        <xdr:cNvSpPr>
          <a:spLocks/>
        </xdr:cNvSpPr>
      </xdr:nvSpPr>
      <xdr:spPr>
        <a:xfrm>
          <a:off x="7181850" y="1428750"/>
          <a:ext cx="0" cy="295275"/>
        </a:xfrm>
        <a:prstGeom prst="line">
          <a:avLst/>
        </a:prstGeom>
        <a:solidFill>
          <a:srgbClr val="FFFFFF"/>
        </a:solidFill>
        <a:ln w="0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495300</xdr:colOff>
      <xdr:row>4</xdr:row>
      <xdr:rowOff>19050</xdr:rowOff>
    </xdr:from>
    <xdr:to>
      <xdr:col>17</xdr:col>
      <xdr:colOff>123825</xdr:colOff>
      <xdr:row>20</xdr:row>
      <xdr:rowOff>142875</xdr:rowOff>
    </xdr:to>
    <xdr:sp>
      <xdr:nvSpPr>
        <xdr:cNvPr id="91" name="Rectangle 91"/>
        <xdr:cNvSpPr>
          <a:spLocks/>
        </xdr:cNvSpPr>
      </xdr:nvSpPr>
      <xdr:spPr>
        <a:xfrm>
          <a:off x="6076950" y="685800"/>
          <a:ext cx="1457325" cy="2819400"/>
        </a:xfrm>
        <a:prstGeom prst="rect">
          <a:avLst/>
        </a:prstGeom>
        <a:noFill/>
        <a:ln w="0" cmpd="sng">
          <a:solidFill>
            <a:srgbClr val="FFFF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228600</xdr:colOff>
      <xdr:row>5</xdr:row>
      <xdr:rowOff>0</xdr:rowOff>
    </xdr:from>
    <xdr:to>
      <xdr:col>13</xdr:col>
      <xdr:colOff>476250</xdr:colOff>
      <xdr:row>5</xdr:row>
      <xdr:rowOff>0</xdr:rowOff>
    </xdr:to>
    <xdr:sp>
      <xdr:nvSpPr>
        <xdr:cNvPr id="92" name="Line 92"/>
        <xdr:cNvSpPr>
          <a:spLocks/>
        </xdr:cNvSpPr>
      </xdr:nvSpPr>
      <xdr:spPr>
        <a:xfrm>
          <a:off x="5086350" y="8286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Y48"/>
  <sheetViews>
    <sheetView showGridLines="0" showRowColHeaders="0" tabSelected="1" showOutlineSymbols="0" workbookViewId="0" topLeftCell="E1">
      <selection activeCell="B1" sqref="B1:V1"/>
    </sheetView>
  </sheetViews>
  <sheetFormatPr defaultColWidth="9.140625" defaultRowHeight="23.25"/>
  <cols>
    <col min="1" max="5" width="5.7109375" style="0" customWidth="1"/>
    <col min="6" max="6" width="2.28125" style="1" customWidth="1"/>
    <col min="7" max="7" width="10.140625" style="3" customWidth="1"/>
    <col min="8" max="12" width="5.7109375" style="0" customWidth="1"/>
    <col min="13" max="13" width="4.421875" style="0" customWidth="1"/>
    <col min="14" max="14" width="6.8515625" style="0" customWidth="1"/>
    <col min="15" max="18" width="5.7109375" style="0" customWidth="1"/>
    <col min="19" max="19" width="4.28125" style="0" customWidth="1"/>
    <col min="20" max="20" width="8.8515625" style="3" customWidth="1"/>
    <col min="21" max="22" width="5.7109375" style="1" customWidth="1"/>
    <col min="23" max="16384" width="5.7109375" style="0" customWidth="1"/>
  </cols>
  <sheetData>
    <row r="1" spans="2:22" ht="23.25">
      <c r="B1" s="223" t="s">
        <v>211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2:22" ht="38.25">
      <c r="B2" s="213" t="s">
        <v>36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</row>
    <row r="3" spans="2:22" ht="26.25">
      <c r="B3" s="216" t="s">
        <v>37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</row>
    <row r="4" spans="2:22" ht="26.25">
      <c r="B4" s="210" t="s">
        <v>60</v>
      </c>
      <c r="C4" s="27"/>
      <c r="D4" s="27"/>
      <c r="E4" s="27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</row>
    <row r="5" spans="2:22" ht="26.25">
      <c r="B5" s="211" t="s">
        <v>61</v>
      </c>
      <c r="C5" s="9"/>
      <c r="D5" s="9"/>
      <c r="E5" s="208"/>
      <c r="F5" s="208"/>
      <c r="G5" s="208"/>
      <c r="H5" s="208"/>
      <c r="I5" s="208"/>
      <c r="J5" s="208"/>
      <c r="K5" s="208"/>
      <c r="L5" s="208"/>
      <c r="M5" s="208"/>
      <c r="N5" s="219" t="s">
        <v>63</v>
      </c>
      <c r="O5" s="219"/>
      <c r="P5" s="204"/>
      <c r="Q5" s="204"/>
      <c r="R5" s="204"/>
      <c r="S5" s="204"/>
      <c r="T5" s="204"/>
      <c r="U5" s="204"/>
      <c r="V5" s="205"/>
    </row>
    <row r="6" spans="2:22" ht="26.25">
      <c r="B6" s="212" t="s">
        <v>62</v>
      </c>
      <c r="C6" s="5"/>
      <c r="D6" s="5"/>
      <c r="E6" s="209"/>
      <c r="F6" s="209"/>
      <c r="G6" s="209"/>
      <c r="H6" s="209"/>
      <c r="I6" s="209"/>
      <c r="J6" s="209"/>
      <c r="K6" s="209"/>
      <c r="L6" s="209"/>
      <c r="M6" s="209"/>
      <c r="N6" s="220" t="s">
        <v>64</v>
      </c>
      <c r="O6" s="220"/>
      <c r="P6" s="206"/>
      <c r="Q6" s="206"/>
      <c r="R6" s="206"/>
      <c r="S6" s="206"/>
      <c r="T6" s="206"/>
      <c r="U6" s="206"/>
      <c r="V6" s="207"/>
    </row>
    <row r="7" spans="2:22" ht="23.25">
      <c r="B7" s="11"/>
      <c r="C7" s="12"/>
      <c r="D7" s="12"/>
      <c r="E7" s="12"/>
      <c r="F7" s="13"/>
      <c r="G7" s="14"/>
      <c r="H7" s="12"/>
      <c r="I7" s="12"/>
      <c r="J7" s="12"/>
      <c r="K7" s="12"/>
      <c r="L7" s="12"/>
      <c r="M7" s="12"/>
      <c r="N7" s="12"/>
      <c r="O7" s="12"/>
      <c r="P7" s="180" t="s">
        <v>33</v>
      </c>
      <c r="Q7" s="180"/>
      <c r="R7" s="180"/>
      <c r="S7" s="12"/>
      <c r="T7" s="14"/>
      <c r="U7" s="13"/>
      <c r="V7" s="10"/>
    </row>
    <row r="8" spans="2:22" ht="25.5">
      <c r="B8" s="11"/>
      <c r="C8" s="12"/>
      <c r="D8" s="12"/>
      <c r="E8" s="12"/>
      <c r="F8" s="13"/>
      <c r="G8" s="14"/>
      <c r="H8" s="12"/>
      <c r="I8" s="12"/>
      <c r="J8" s="12"/>
      <c r="K8" s="12"/>
      <c r="L8" s="12"/>
      <c r="M8" s="12" t="s">
        <v>0</v>
      </c>
      <c r="N8" s="15">
        <f>T8*K12*T12</f>
        <v>499.38726909949884</v>
      </c>
      <c r="O8" s="12"/>
      <c r="P8" s="12"/>
      <c r="Q8" s="12"/>
      <c r="R8" s="12"/>
      <c r="S8" s="16" t="s">
        <v>0</v>
      </c>
      <c r="T8" s="17">
        <v>500</v>
      </c>
      <c r="U8" s="13" t="s">
        <v>5</v>
      </c>
      <c r="V8" s="10"/>
    </row>
    <row r="9" spans="2:22" ht="25.5">
      <c r="B9" s="11" t="s">
        <v>20</v>
      </c>
      <c r="C9" s="12"/>
      <c r="D9" s="12"/>
      <c r="E9" s="12"/>
      <c r="F9" s="13" t="s">
        <v>15</v>
      </c>
      <c r="G9" s="14">
        <f>((K12*T10*T9)+(K12*T8*T9))</f>
        <v>9675</v>
      </c>
      <c r="H9" s="12" t="s">
        <v>5</v>
      </c>
      <c r="I9" s="12"/>
      <c r="J9" s="12"/>
      <c r="K9" s="12"/>
      <c r="L9" s="12"/>
      <c r="M9" s="12"/>
      <c r="N9" s="12"/>
      <c r="O9" s="12"/>
      <c r="P9" s="184" t="s">
        <v>11</v>
      </c>
      <c r="Q9" s="184"/>
      <c r="R9" s="184"/>
      <c r="S9" s="12" t="s">
        <v>10</v>
      </c>
      <c r="T9" s="17">
        <v>1.5</v>
      </c>
      <c r="U9" s="13" t="s">
        <v>2</v>
      </c>
      <c r="V9" s="10"/>
    </row>
    <row r="10" spans="2:22" ht="25.5">
      <c r="B10" s="11" t="s">
        <v>19</v>
      </c>
      <c r="C10" s="12"/>
      <c r="D10" s="12"/>
      <c r="E10" s="12"/>
      <c r="F10" s="13" t="s">
        <v>15</v>
      </c>
      <c r="G10" s="14">
        <f>((T9*T12*K12)*(T8+T10))</f>
        <v>3221.0478856917675</v>
      </c>
      <c r="H10" s="12" t="s">
        <v>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8" t="s">
        <v>3</v>
      </c>
      <c r="T10" s="17">
        <v>1650</v>
      </c>
      <c r="U10" s="13" t="s">
        <v>7</v>
      </c>
      <c r="V10" s="10"/>
    </row>
    <row r="11" spans="2:22" ht="23.25">
      <c r="B11" s="11" t="s">
        <v>18</v>
      </c>
      <c r="C11" s="12"/>
      <c r="D11" s="12"/>
      <c r="E11" s="12"/>
      <c r="F11" s="13" t="s">
        <v>15</v>
      </c>
      <c r="G11" s="14">
        <f>(0.5*3*(G10+(T8*K12*T12*T9)))</f>
        <v>5955.193184011524</v>
      </c>
      <c r="H11" s="12" t="s">
        <v>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8" t="s">
        <v>4</v>
      </c>
      <c r="T11" s="17">
        <v>30</v>
      </c>
      <c r="U11" s="13" t="s">
        <v>6</v>
      </c>
      <c r="V11" s="10"/>
    </row>
    <row r="12" spans="2:22" ht="23.25">
      <c r="B12" s="11" t="s">
        <v>21</v>
      </c>
      <c r="C12" s="12"/>
      <c r="D12" s="12"/>
      <c r="E12" s="12"/>
      <c r="F12" s="13" t="s">
        <v>15</v>
      </c>
      <c r="G12" s="14">
        <f>((T9*N8*((K12^2)/2))+((T9*0.5*T10*(K12^2)*T12)*(K12/3)))/G11</f>
        <v>1.1886792452830188</v>
      </c>
      <c r="H12" s="12" t="s">
        <v>2</v>
      </c>
      <c r="I12" s="12"/>
      <c r="J12" s="16" t="s">
        <v>1</v>
      </c>
      <c r="K12" s="17">
        <v>3</v>
      </c>
      <c r="L12" s="12" t="s">
        <v>2</v>
      </c>
      <c r="M12" s="12"/>
      <c r="N12" s="12"/>
      <c r="O12" s="12"/>
      <c r="P12" s="186">
        <f>N8*((K12)^2)/2</f>
        <v>2247.242710947745</v>
      </c>
      <c r="Q12" s="186"/>
      <c r="R12" s="12"/>
      <c r="S12" s="12" t="s">
        <v>16</v>
      </c>
      <c r="T12" s="19">
        <f>(TAN(((45-(T11/2))*3.14)/180))^2</f>
        <v>0.33292484606633255</v>
      </c>
      <c r="U12" s="13"/>
      <c r="V12" s="10"/>
    </row>
    <row r="13" spans="2:22" ht="25.5">
      <c r="B13" s="11" t="s">
        <v>22</v>
      </c>
      <c r="C13" s="12"/>
      <c r="D13" s="12"/>
      <c r="E13" s="12"/>
      <c r="F13" s="13" t="s">
        <v>15</v>
      </c>
      <c r="G13" s="14">
        <f>(T9*T18*4)-G9</f>
        <v>5325</v>
      </c>
      <c r="H13" s="12" t="s">
        <v>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8</v>
      </c>
      <c r="T13" s="20">
        <f>G11</f>
        <v>5955.193184011524</v>
      </c>
      <c r="U13" s="13" t="s">
        <v>9</v>
      </c>
      <c r="V13" s="10"/>
    </row>
    <row r="14" spans="2:22" ht="25.5">
      <c r="B14" s="11" t="s">
        <v>23</v>
      </c>
      <c r="C14" s="12"/>
      <c r="D14" s="12"/>
      <c r="E14" s="12"/>
      <c r="F14" s="13" t="s">
        <v>15</v>
      </c>
      <c r="G14" s="14">
        <f>(T9*T18*4)+G9</f>
        <v>24675</v>
      </c>
      <c r="H14" s="12" t="s">
        <v>5</v>
      </c>
      <c r="I14" s="12"/>
      <c r="J14" s="12"/>
      <c r="K14" s="12"/>
      <c r="L14" s="12"/>
      <c r="M14" s="12"/>
      <c r="N14" s="12"/>
      <c r="O14" s="12"/>
      <c r="P14" s="187">
        <f>(0.5*T10*((K12)^3)*T12)/3</f>
        <v>2471.9669820425192</v>
      </c>
      <c r="Q14" s="187"/>
      <c r="R14" s="16" t="s">
        <v>17</v>
      </c>
      <c r="S14" s="14">
        <f>G12</f>
        <v>1.1886792452830188</v>
      </c>
      <c r="T14" s="12" t="s">
        <v>2</v>
      </c>
      <c r="U14" s="13"/>
      <c r="V14" s="10"/>
    </row>
    <row r="15" spans="2:22" ht="25.5">
      <c r="B15" s="11" t="s">
        <v>24</v>
      </c>
      <c r="C15" s="12"/>
      <c r="D15" s="12"/>
      <c r="E15" s="12"/>
      <c r="F15" s="13" t="s">
        <v>15</v>
      </c>
      <c r="G15" s="14">
        <f>(G11*((12*G12*T18)+G11))/((2*T18)+G9)</f>
        <v>16887.820241462294</v>
      </c>
      <c r="H15" s="12"/>
      <c r="I15" s="12"/>
      <c r="J15" s="12"/>
      <c r="K15" s="16" t="s">
        <v>13</v>
      </c>
      <c r="L15" s="179">
        <v>0.5</v>
      </c>
      <c r="M15" s="12" t="s">
        <v>2</v>
      </c>
      <c r="N15" s="12"/>
      <c r="O15" s="12"/>
      <c r="P15" s="12"/>
      <c r="Q15" s="12"/>
      <c r="R15" s="12"/>
      <c r="S15" s="12" t="s">
        <v>14</v>
      </c>
      <c r="T15" s="20">
        <f>G10</f>
        <v>3221.0478856917675</v>
      </c>
      <c r="U15" s="13" t="s">
        <v>5</v>
      </c>
      <c r="V15" s="10"/>
    </row>
    <row r="16" spans="2:22" ht="25.5">
      <c r="B16" s="11" t="s">
        <v>25</v>
      </c>
      <c r="C16" s="12"/>
      <c r="D16" s="12"/>
      <c r="E16" s="12"/>
      <c r="F16" s="13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8" t="s">
        <v>3</v>
      </c>
      <c r="T16" s="17">
        <v>1750</v>
      </c>
      <c r="U16" s="13" t="s">
        <v>7</v>
      </c>
      <c r="V16" s="10"/>
    </row>
    <row r="17" spans="2:22" ht="23.25">
      <c r="B17" s="185" t="str">
        <f>G13&amp;"D^2"&amp;" - "&amp;(2*G11)&amp;"D"&amp;" - "&amp;G15&amp;"  = 0"</f>
        <v>5325D^2 - 11910.386368023D - 16887.8202414623  = 0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2"/>
      <c r="M17" s="12"/>
      <c r="N17" s="12"/>
      <c r="O17" s="12"/>
      <c r="P17" s="12"/>
      <c r="Q17" s="12"/>
      <c r="R17" s="12"/>
      <c r="S17" s="18" t="s">
        <v>4</v>
      </c>
      <c r="T17" s="20">
        <v>0</v>
      </c>
      <c r="U17" s="13" t="s">
        <v>6</v>
      </c>
      <c r="V17" s="10"/>
    </row>
    <row r="18" spans="2:22" ht="25.5">
      <c r="B18" s="11"/>
      <c r="C18" s="12"/>
      <c r="D18" s="12"/>
      <c r="E18" s="12" t="s">
        <v>27</v>
      </c>
      <c r="F18" s="13" t="s">
        <v>15</v>
      </c>
      <c r="G18" s="14">
        <f>G13</f>
        <v>5325</v>
      </c>
      <c r="H18" s="12"/>
      <c r="I18" s="12"/>
      <c r="J18" s="16" t="s">
        <v>26</v>
      </c>
      <c r="K18" s="14">
        <f>MAX(G22,G21)</f>
        <v>3.2212298069066394</v>
      </c>
      <c r="L18" s="12"/>
      <c r="M18" s="12"/>
      <c r="N18" s="12"/>
      <c r="O18" s="12"/>
      <c r="P18" s="12"/>
      <c r="Q18" s="12"/>
      <c r="R18" s="12"/>
      <c r="S18" s="12" t="s">
        <v>12</v>
      </c>
      <c r="T18" s="17">
        <v>2500</v>
      </c>
      <c r="U18" s="13" t="s">
        <v>5</v>
      </c>
      <c r="V18" s="10"/>
    </row>
    <row r="19" spans="2:22" ht="23.25">
      <c r="B19" s="11"/>
      <c r="C19" s="12"/>
      <c r="D19" s="12"/>
      <c r="E19" s="12" t="s">
        <v>28</v>
      </c>
      <c r="F19" s="13" t="s">
        <v>15</v>
      </c>
      <c r="G19" s="14">
        <f>(-1)*(2*G11)</f>
        <v>-11910.386368023048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 t="s">
        <v>16</v>
      </c>
      <c r="T19" s="19">
        <f>(TAN(((45-(T17/2))*3.14)/180))^2</f>
        <v>0.9984086138418382</v>
      </c>
      <c r="U19" s="13"/>
      <c r="V19" s="10"/>
    </row>
    <row r="20" spans="2:22" ht="23.25">
      <c r="B20" s="11"/>
      <c r="C20" s="12"/>
      <c r="D20" s="12"/>
      <c r="E20" s="12" t="s">
        <v>29</v>
      </c>
      <c r="F20" s="13" t="s">
        <v>15</v>
      </c>
      <c r="G20" s="14">
        <f>(-1)*G15</f>
        <v>-16887.820241462294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4"/>
      <c r="U20" s="13"/>
      <c r="V20" s="10"/>
    </row>
    <row r="21" spans="2:22" ht="23.25">
      <c r="B21" s="11"/>
      <c r="C21" s="12"/>
      <c r="D21" s="12"/>
      <c r="E21" s="12" t="s">
        <v>30</v>
      </c>
      <c r="F21" s="13" t="s">
        <v>15</v>
      </c>
      <c r="G21" s="14">
        <f>(((-1)*$G$19)-SQRT(($G$19)^2-(4*$G$18*$G$20)))/(2*$G$18)</f>
        <v>-0.9845375312215596</v>
      </c>
      <c r="H21" s="12" t="s">
        <v>2</v>
      </c>
      <c r="I21" s="12">
        <f>1.3*G21</f>
        <v>-1.2798987905880275</v>
      </c>
      <c r="J21" s="12"/>
      <c r="K21" s="12"/>
      <c r="L21" s="187">
        <f>G13</f>
        <v>5325</v>
      </c>
      <c r="M21" s="184"/>
      <c r="N21" s="12"/>
      <c r="O21" s="186">
        <f>G14</f>
        <v>24675</v>
      </c>
      <c r="P21" s="180"/>
      <c r="Q21" s="12"/>
      <c r="R21" s="12"/>
      <c r="S21" s="12"/>
      <c r="T21" s="14"/>
      <c r="U21" s="13"/>
      <c r="V21" s="10"/>
    </row>
    <row r="22" spans="2:22" ht="23.25">
      <c r="B22" s="11"/>
      <c r="C22" s="12"/>
      <c r="D22" s="12"/>
      <c r="E22" s="12"/>
      <c r="F22" s="13"/>
      <c r="G22" s="14">
        <f>(((-1)*$G$19)+SQRT(($G$19)^2-(4*$G$18*$G$20)))/(2*$G$18)</f>
        <v>3.2212298069066394</v>
      </c>
      <c r="H22" s="12" t="s">
        <v>2</v>
      </c>
      <c r="I22" s="12">
        <f>1.3*G22</f>
        <v>4.1875987489786315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4"/>
      <c r="U22" s="13"/>
      <c r="V22" s="10"/>
    </row>
    <row r="23" spans="2:22" ht="23.25">
      <c r="B23" s="11" t="s">
        <v>31</v>
      </c>
      <c r="C23" s="12"/>
      <c r="D23" s="12"/>
      <c r="E23" s="21"/>
      <c r="F23" s="13" t="s">
        <v>15</v>
      </c>
      <c r="G23" s="14">
        <f>K12+I22</f>
        <v>7.1875987489786315</v>
      </c>
      <c r="H23" s="12" t="s">
        <v>2</v>
      </c>
      <c r="I23" s="12" t="s">
        <v>32</v>
      </c>
      <c r="J23" s="17">
        <v>7.5</v>
      </c>
      <c r="K23" s="12" t="s">
        <v>2</v>
      </c>
      <c r="L23" s="12"/>
      <c r="M23" s="12"/>
      <c r="N23" s="12"/>
      <c r="O23" s="12"/>
      <c r="P23" s="12"/>
      <c r="Q23" s="12"/>
      <c r="R23" s="12"/>
      <c r="S23" s="12"/>
      <c r="T23" s="14"/>
      <c r="U23" s="13"/>
      <c r="V23" s="10"/>
    </row>
    <row r="24" spans="2:22" ht="23.25">
      <c r="B24" s="11" t="s">
        <v>38</v>
      </c>
      <c r="C24" s="12"/>
      <c r="D24" s="12"/>
      <c r="E24" s="12"/>
      <c r="F24" s="13" t="s">
        <v>15</v>
      </c>
      <c r="G24" s="14">
        <f>MAX(T15,T13)</f>
        <v>5955.193184011524</v>
      </c>
      <c r="H24" s="12" t="s">
        <v>35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  <c r="U24" s="13"/>
      <c r="V24" s="10"/>
    </row>
    <row r="25" spans="2:22" ht="23.25">
      <c r="B25" s="11" t="s">
        <v>39</v>
      </c>
      <c r="C25" s="12"/>
      <c r="D25" s="12"/>
      <c r="E25" s="12"/>
      <c r="F25" s="13" t="s">
        <v>15</v>
      </c>
      <c r="G25" s="14">
        <f>(T13*((K12/3)+(T13/T15)))-((G13*(T13/T15)^2)/2)</f>
        <v>7864.421023137209</v>
      </c>
      <c r="H25" s="12" t="s">
        <v>34</v>
      </c>
      <c r="I25" s="129" t="s">
        <v>131</v>
      </c>
      <c r="J25" s="12" t="s">
        <v>132</v>
      </c>
      <c r="K25" s="12"/>
      <c r="L25" s="12"/>
      <c r="M25" s="12"/>
      <c r="N25" s="12"/>
      <c r="O25" s="12"/>
      <c r="P25" s="12"/>
      <c r="Q25" s="12"/>
      <c r="R25" s="12"/>
      <c r="S25" s="12"/>
      <c r="T25" s="14"/>
      <c r="U25" s="13"/>
      <c r="V25" s="10"/>
    </row>
    <row r="26" spans="2:22" ht="23.25">
      <c r="B26" s="22"/>
      <c r="C26" s="23"/>
      <c r="D26" s="23"/>
      <c r="E26" s="23"/>
      <c r="F26" s="24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5"/>
      <c r="U26" s="24"/>
      <c r="V26" s="26"/>
    </row>
    <row r="28" spans="8:19" ht="26.25">
      <c r="H28" s="221" t="s">
        <v>101</v>
      </c>
      <c r="I28" s="221"/>
      <c r="N28" s="1" t="s">
        <v>56</v>
      </c>
      <c r="O28" t="s">
        <v>41</v>
      </c>
      <c r="S28" s="4" t="s">
        <v>48</v>
      </c>
    </row>
    <row r="29" spans="20:23" ht="23.25">
      <c r="T29" s="3" t="s">
        <v>44</v>
      </c>
      <c r="U29" s="1" t="s">
        <v>15</v>
      </c>
      <c r="V29" s="7">
        <v>173</v>
      </c>
      <c r="W29" t="s">
        <v>45</v>
      </c>
    </row>
    <row r="30" spans="20:23" ht="23.25">
      <c r="T30" s="3" t="s">
        <v>46</v>
      </c>
      <c r="U30" s="1" t="s">
        <v>15</v>
      </c>
      <c r="V30" s="8">
        <v>2400</v>
      </c>
      <c r="W30" t="s">
        <v>45</v>
      </c>
    </row>
    <row r="31" spans="20:25" ht="25.5">
      <c r="T31" s="3" t="s">
        <v>47</v>
      </c>
      <c r="U31" s="1" t="s">
        <v>15</v>
      </c>
      <c r="V31" s="1">
        <f>4500/(0.5*V30)</f>
        <v>3.75</v>
      </c>
      <c r="W31" t="s">
        <v>50</v>
      </c>
      <c r="X31" s="3">
        <f>V31/1.13</f>
        <v>3.3185840707964607</v>
      </c>
      <c r="Y31" t="s">
        <v>49</v>
      </c>
    </row>
    <row r="32" spans="21:24" ht="23.25">
      <c r="U32" s="6" t="s">
        <v>51</v>
      </c>
      <c r="W32" s="7">
        <v>4</v>
      </c>
      <c r="X32" t="s">
        <v>49</v>
      </c>
    </row>
    <row r="33" spans="9:21" ht="23.25">
      <c r="I33" t="s">
        <v>59</v>
      </c>
      <c r="J33" s="6">
        <f>J23</f>
        <v>7.5</v>
      </c>
      <c r="S33" s="181" t="s">
        <v>40</v>
      </c>
      <c r="T33" s="181"/>
      <c r="U33" s="2" t="s">
        <v>52</v>
      </c>
    </row>
    <row r="34" spans="23:25" ht="23.25">
      <c r="W34" s="28">
        <v>20</v>
      </c>
      <c r="X34" s="1" t="s">
        <v>65</v>
      </c>
      <c r="Y34" s="29">
        <v>20</v>
      </c>
    </row>
    <row r="35" spans="23:25" ht="23.25">
      <c r="W35" s="183" t="s">
        <v>200</v>
      </c>
      <c r="X35" s="183"/>
      <c r="Y35" s="183"/>
    </row>
    <row r="36" spans="20:25" ht="23.25">
      <c r="T36" s="182" t="s">
        <v>55</v>
      </c>
      <c r="U36" s="182"/>
      <c r="V36" s="182"/>
      <c r="W36" s="182"/>
      <c r="X36" s="182"/>
      <c r="Y36" s="182"/>
    </row>
    <row r="37" spans="21:25" ht="23.25">
      <c r="U37" s="1" t="s">
        <v>53</v>
      </c>
      <c r="V37" s="1" t="s">
        <v>15</v>
      </c>
      <c r="W37" s="181">
        <f>G25</f>
        <v>7864.421023137209</v>
      </c>
      <c r="X37" s="181"/>
      <c r="Y37" t="s">
        <v>34</v>
      </c>
    </row>
    <row r="38" spans="21:25" ht="23.25">
      <c r="U38" s="1" t="s">
        <v>54</v>
      </c>
      <c r="V38" s="1" t="s">
        <v>15</v>
      </c>
      <c r="W38" s="181">
        <f>G24</f>
        <v>5955.193184011524</v>
      </c>
      <c r="X38" s="183"/>
      <c r="Y38" t="s">
        <v>35</v>
      </c>
    </row>
    <row r="39" spans="16:21" ht="23.25">
      <c r="P39" t="s">
        <v>42</v>
      </c>
      <c r="U39" s="2" t="s">
        <v>130</v>
      </c>
    </row>
    <row r="40" spans="16:21" ht="25.5">
      <c r="P40" t="s">
        <v>43</v>
      </c>
      <c r="U40" s="2" t="s">
        <v>58</v>
      </c>
    </row>
    <row r="41" ht="23.25">
      <c r="P41" t="s">
        <v>57</v>
      </c>
    </row>
    <row r="43" spans="8:11" ht="26.25">
      <c r="H43" s="221" t="s">
        <v>184</v>
      </c>
      <c r="I43" s="221"/>
      <c r="J43" s="221"/>
      <c r="K43" s="221"/>
    </row>
    <row r="44" spans="2:7" ht="23.25">
      <c r="B44" s="201"/>
      <c r="F44"/>
      <c r="G44" s="1"/>
    </row>
    <row r="45" ht="23.25"/>
    <row r="46" ht="23.25"/>
    <row r="47" spans="13:14" ht="23.25">
      <c r="M47" s="222">
        <f>K12</f>
        <v>3</v>
      </c>
      <c r="N47" t="s">
        <v>2</v>
      </c>
    </row>
    <row r="48" spans="10:11" ht="23.25">
      <c r="J48" s="222">
        <f>J23</f>
        <v>7.5</v>
      </c>
      <c r="K48" s="6" t="s">
        <v>2</v>
      </c>
    </row>
  </sheetData>
  <sheetProtection password="B0B1" sheet="1" objects="1" scenarios="1"/>
  <mergeCells count="24">
    <mergeCell ref="E6:M6"/>
    <mergeCell ref="H43:K43"/>
    <mergeCell ref="B1:V1"/>
    <mergeCell ref="P9:R9"/>
    <mergeCell ref="N6:O6"/>
    <mergeCell ref="W38:X38"/>
    <mergeCell ref="B17:K17"/>
    <mergeCell ref="P12:Q12"/>
    <mergeCell ref="P14:Q14"/>
    <mergeCell ref="L21:M21"/>
    <mergeCell ref="O21:P21"/>
    <mergeCell ref="H28:I28"/>
    <mergeCell ref="B2:V2"/>
    <mergeCell ref="B3:V3"/>
    <mergeCell ref="F4:V4"/>
    <mergeCell ref="P5:V5"/>
    <mergeCell ref="N5:O5"/>
    <mergeCell ref="E5:M5"/>
    <mergeCell ref="P6:V6"/>
    <mergeCell ref="P7:R7"/>
    <mergeCell ref="W37:X37"/>
    <mergeCell ref="T36:Y36"/>
    <mergeCell ref="W35:Y35"/>
    <mergeCell ref="S33:T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J83"/>
  <sheetViews>
    <sheetView showGridLines="0" showRowColHeaders="0" showOutlineSymbols="0" workbookViewId="0" topLeftCell="A1">
      <selection activeCell="A1" sqref="A1:J1"/>
    </sheetView>
  </sheetViews>
  <sheetFormatPr defaultColWidth="9.140625" defaultRowHeight="23.25"/>
  <cols>
    <col min="1" max="1" width="4.28125" style="30" customWidth="1"/>
    <col min="2" max="2" width="10.7109375" style="30" customWidth="1"/>
    <col min="3" max="3" width="9.140625" style="30" customWidth="1"/>
    <col min="4" max="5" width="10.28125" style="30" customWidth="1"/>
    <col min="6" max="6" width="9.140625" style="30" customWidth="1"/>
    <col min="7" max="8" width="10.7109375" style="30" customWidth="1"/>
    <col min="9" max="9" width="11.28125" style="30" customWidth="1"/>
    <col min="10" max="10" width="4.421875" style="30" customWidth="1"/>
    <col min="11" max="11" width="9.140625" style="30" customWidth="1"/>
    <col min="12" max="12" width="12.140625" style="30" customWidth="1"/>
    <col min="13" max="13" width="0.13671875" style="30" hidden="1" customWidth="1"/>
    <col min="14" max="16" width="9.140625" style="30" hidden="1" customWidth="1"/>
    <col min="17" max="16384" width="9.140625" style="30" customWidth="1"/>
  </cols>
  <sheetData>
    <row r="1" spans="1:34" ht="23.25">
      <c r="A1" s="223" t="s">
        <v>211</v>
      </c>
      <c r="B1" s="223"/>
      <c r="C1" s="223"/>
      <c r="D1" s="223"/>
      <c r="E1" s="223"/>
      <c r="F1" s="223"/>
      <c r="G1" s="223"/>
      <c r="H1" s="223"/>
      <c r="I1" s="223"/>
      <c r="J1" s="223"/>
      <c r="K1" s="31"/>
      <c r="L1" s="31"/>
      <c r="M1" s="32" t="s">
        <v>44</v>
      </c>
      <c r="N1" s="31" t="e">
        <f>#REF!</f>
        <v>#REF!</v>
      </c>
      <c r="O1" s="32" t="s">
        <v>66</v>
      </c>
      <c r="P1" s="31" t="e">
        <f>#REF!</f>
        <v>#REF!</v>
      </c>
      <c r="Q1" s="32"/>
      <c r="R1" s="31"/>
      <c r="S1" s="33"/>
      <c r="T1" s="31"/>
      <c r="U1" s="31"/>
      <c r="V1" s="31"/>
      <c r="W1" s="31"/>
      <c r="X1" s="31"/>
      <c r="Y1" s="31"/>
      <c r="AD1" s="34"/>
      <c r="AE1" s="34"/>
      <c r="AF1" s="34"/>
      <c r="AG1" s="35"/>
      <c r="AH1" s="34"/>
    </row>
    <row r="2" spans="1:34" ht="29.25">
      <c r="A2" s="36"/>
      <c r="B2" s="193" t="s">
        <v>212</v>
      </c>
      <c r="C2" s="193"/>
      <c r="D2" s="193"/>
      <c r="E2" s="193"/>
      <c r="F2" s="193"/>
      <c r="G2" s="193"/>
      <c r="H2" s="193"/>
      <c r="I2" s="193"/>
      <c r="J2" s="37"/>
      <c r="K2" s="31"/>
      <c r="T2" s="31"/>
      <c r="U2" s="31"/>
      <c r="V2" s="31"/>
      <c r="W2" s="31"/>
      <c r="X2" s="31"/>
      <c r="Y2" s="31"/>
      <c r="AD2" s="38"/>
      <c r="AE2" s="34"/>
      <c r="AF2" s="34"/>
      <c r="AG2" s="35"/>
      <c r="AH2" s="34"/>
    </row>
    <row r="3" spans="1:34" ht="23.25">
      <c r="A3" s="39"/>
      <c r="B3" s="199" t="s">
        <v>185</v>
      </c>
      <c r="C3" s="199"/>
      <c r="D3" s="199"/>
      <c r="E3" s="199"/>
      <c r="F3" s="199"/>
      <c r="G3" s="174" t="s">
        <v>186</v>
      </c>
      <c r="H3" s="197"/>
      <c r="I3" s="197"/>
      <c r="J3" s="198"/>
      <c r="K3" s="31"/>
      <c r="T3" s="31"/>
      <c r="U3" s="31"/>
      <c r="V3" s="31"/>
      <c r="W3" s="31"/>
      <c r="X3" s="31"/>
      <c r="Y3" s="31"/>
      <c r="AD3" s="38"/>
      <c r="AE3" s="34"/>
      <c r="AF3" s="34"/>
      <c r="AG3" s="35"/>
      <c r="AH3" s="38"/>
    </row>
    <row r="4" spans="1:36" ht="23.25">
      <c r="A4" s="39"/>
      <c r="B4" s="199" t="s">
        <v>190</v>
      </c>
      <c r="C4" s="199"/>
      <c r="D4" s="199"/>
      <c r="E4" s="199"/>
      <c r="F4" s="199"/>
      <c r="G4" s="174" t="s">
        <v>187</v>
      </c>
      <c r="H4" s="197"/>
      <c r="I4" s="197"/>
      <c r="J4" s="198"/>
      <c r="K4" s="31"/>
      <c r="T4" s="31"/>
      <c r="U4" s="31"/>
      <c r="V4" s="31"/>
      <c r="W4" s="31"/>
      <c r="X4" s="31"/>
      <c r="Y4" s="31"/>
      <c r="AD4" s="38"/>
      <c r="AE4" s="34"/>
      <c r="AF4" s="34"/>
      <c r="AG4" s="35"/>
      <c r="AH4" s="40"/>
      <c r="AI4" s="41"/>
      <c r="AJ4" s="41"/>
    </row>
    <row r="5" spans="1:34" ht="23.25">
      <c r="A5" s="42"/>
      <c r="B5" s="200" t="s">
        <v>189</v>
      </c>
      <c r="C5" s="200"/>
      <c r="D5" s="200"/>
      <c r="E5" s="200"/>
      <c r="F5" s="200"/>
      <c r="G5" s="175" t="s">
        <v>188</v>
      </c>
      <c r="H5" s="195"/>
      <c r="I5" s="195"/>
      <c r="J5" s="196"/>
      <c r="K5" s="31"/>
      <c r="T5" s="31"/>
      <c r="U5" s="31"/>
      <c r="V5" s="31"/>
      <c r="W5" s="31"/>
      <c r="X5" s="31"/>
      <c r="Y5" s="31"/>
      <c r="AD5" s="34"/>
      <c r="AE5" s="35"/>
      <c r="AF5" s="34"/>
      <c r="AG5" s="34"/>
      <c r="AH5" s="34"/>
    </row>
    <row r="6" spans="1:34" ht="26.25">
      <c r="A6" s="36"/>
      <c r="B6" s="194" t="s">
        <v>69</v>
      </c>
      <c r="C6" s="194"/>
      <c r="D6" s="194"/>
      <c r="E6" s="194"/>
      <c r="F6" s="194"/>
      <c r="G6" s="194"/>
      <c r="H6" s="194"/>
      <c r="I6" s="194"/>
      <c r="J6" s="37"/>
      <c r="K6" s="31"/>
      <c r="T6" s="31"/>
      <c r="U6" s="31"/>
      <c r="V6" s="31"/>
      <c r="W6" s="31"/>
      <c r="X6" s="31"/>
      <c r="Y6" s="31"/>
      <c r="AD6" s="43"/>
      <c r="AE6" s="34"/>
      <c r="AF6" s="34"/>
      <c r="AG6" s="44"/>
      <c r="AH6" s="34"/>
    </row>
    <row r="7" spans="1:34" ht="23.25">
      <c r="A7" s="39"/>
      <c r="B7" s="45"/>
      <c r="C7" s="46" t="s">
        <v>70</v>
      </c>
      <c r="D7" s="119">
        <v>0.22</v>
      </c>
      <c r="E7" s="47" t="str">
        <f>"   x     "&amp;ROUND(D7,2)</f>
        <v>   x     0.22</v>
      </c>
      <c r="F7" s="48" t="s">
        <v>71</v>
      </c>
      <c r="G7" s="119">
        <v>7.5</v>
      </c>
      <c r="H7" s="49" t="str">
        <f>IF(G7&lt;=1.15*(0.5*100*D7),"     m.   OK.!","L  Should  &lt;=  "&amp;1.15*((100*D7)/2)&amp;" m.")</f>
        <v>     m.   OK.!</v>
      </c>
      <c r="I7" s="50"/>
      <c r="J7" s="51"/>
      <c r="K7" s="31"/>
      <c r="T7" s="31"/>
      <c r="U7" s="31"/>
      <c r="V7" s="31"/>
      <c r="W7" s="31"/>
      <c r="X7" s="31"/>
      <c r="Y7" s="31"/>
      <c r="AD7" s="34"/>
      <c r="AE7" s="34"/>
      <c r="AF7" s="34"/>
      <c r="AG7" s="34"/>
      <c r="AH7" s="34"/>
    </row>
    <row r="8" spans="1:34" ht="23.25">
      <c r="A8" s="39"/>
      <c r="B8" s="224" t="s">
        <v>193</v>
      </c>
      <c r="C8" s="224"/>
      <c r="D8" s="224"/>
      <c r="E8" s="224"/>
      <c r="F8" s="224" t="s">
        <v>194</v>
      </c>
      <c r="G8" s="224"/>
      <c r="H8" s="224"/>
      <c r="I8" s="224"/>
      <c r="J8" s="51"/>
      <c r="K8" s="31"/>
      <c r="T8" s="31"/>
      <c r="U8" s="31"/>
      <c r="V8" s="31"/>
      <c r="W8" s="31"/>
      <c r="X8" s="31"/>
      <c r="Y8" s="31"/>
      <c r="AD8" s="52"/>
      <c r="AE8" s="52"/>
      <c r="AF8" s="53"/>
      <c r="AG8" s="54"/>
      <c r="AH8" s="53"/>
    </row>
    <row r="9" spans="1:34" ht="23.25">
      <c r="A9" s="39"/>
      <c r="B9" s="226" t="s">
        <v>191</v>
      </c>
      <c r="C9" s="226"/>
      <c r="D9" s="226"/>
      <c r="E9" s="226"/>
      <c r="F9" s="55" t="s">
        <v>72</v>
      </c>
      <c r="G9" s="56"/>
      <c r="H9" s="121">
        <v>5</v>
      </c>
      <c r="I9" s="57" t="s">
        <v>73</v>
      </c>
      <c r="J9" s="51"/>
      <c r="K9" s="31"/>
      <c r="T9" s="31"/>
      <c r="U9" s="31"/>
      <c r="V9" s="31"/>
      <c r="W9" s="31"/>
      <c r="X9" s="31"/>
      <c r="Y9" s="31"/>
      <c r="AD9" s="52"/>
      <c r="AE9" s="52"/>
      <c r="AF9" s="53"/>
      <c r="AG9" s="54"/>
      <c r="AH9" s="53"/>
    </row>
    <row r="10" spans="1:34" ht="26.25">
      <c r="A10" s="39"/>
      <c r="B10" s="55" t="s">
        <v>114</v>
      </c>
      <c r="C10" s="56"/>
      <c r="D10" s="120">
        <v>350</v>
      </c>
      <c r="E10" s="58" t="s">
        <v>115</v>
      </c>
      <c r="F10" s="55" t="s">
        <v>74</v>
      </c>
      <c r="G10" s="56"/>
      <c r="H10" s="59">
        <f>PI()*(0.1*H9)^2/4</f>
        <v>0.19634954084936207</v>
      </c>
      <c r="I10" s="60" t="s">
        <v>116</v>
      </c>
      <c r="J10" s="51"/>
      <c r="K10" s="31"/>
      <c r="T10" s="31"/>
      <c r="U10" s="31"/>
      <c r="V10" s="31"/>
      <c r="W10" s="31"/>
      <c r="X10" s="31"/>
      <c r="Y10" s="31"/>
      <c r="AD10" s="62"/>
      <c r="AE10" s="53"/>
      <c r="AF10" s="53"/>
      <c r="AG10" s="54"/>
      <c r="AH10" s="53"/>
    </row>
    <row r="11" spans="1:34" ht="25.5">
      <c r="A11" s="39"/>
      <c r="B11" s="55" t="s">
        <v>117</v>
      </c>
      <c r="C11" s="56"/>
      <c r="D11" s="63">
        <f>0.45*D10</f>
        <v>157.5</v>
      </c>
      <c r="E11" s="58" t="s">
        <v>115</v>
      </c>
      <c r="F11" s="55" t="s">
        <v>118</v>
      </c>
      <c r="G11" s="56"/>
      <c r="H11" s="64">
        <v>17500</v>
      </c>
      <c r="I11" s="60" t="s">
        <v>115</v>
      </c>
      <c r="J11" s="51"/>
      <c r="K11" s="31"/>
      <c r="T11" s="31"/>
      <c r="U11" s="31"/>
      <c r="V11" s="31"/>
      <c r="W11" s="31"/>
      <c r="X11" s="31"/>
      <c r="Y11" s="31"/>
      <c r="AD11" s="53"/>
      <c r="AE11" s="52"/>
      <c r="AF11" s="53"/>
      <c r="AG11" s="54"/>
      <c r="AH11" s="53"/>
    </row>
    <row r="12" spans="1:34" ht="25.5">
      <c r="A12" s="39"/>
      <c r="B12" s="55" t="s">
        <v>119</v>
      </c>
      <c r="C12" s="56"/>
      <c r="D12" s="63">
        <f>1.59*SQRT(D10)*(-1)</f>
        <v>-29.74617622485284</v>
      </c>
      <c r="E12" s="58" t="s">
        <v>115</v>
      </c>
      <c r="F12" s="55" t="s">
        <v>75</v>
      </c>
      <c r="G12" s="56"/>
      <c r="H12" s="132">
        <v>20</v>
      </c>
      <c r="I12" s="65" t="s">
        <v>76</v>
      </c>
      <c r="J12" s="51"/>
      <c r="K12" s="31"/>
      <c r="T12" s="31"/>
      <c r="U12" s="31"/>
      <c r="V12" s="31"/>
      <c r="W12" s="31"/>
      <c r="X12" s="31"/>
      <c r="Y12" s="31"/>
      <c r="AD12" s="53"/>
      <c r="AE12" s="53"/>
      <c r="AF12" s="53"/>
      <c r="AG12" s="54"/>
      <c r="AH12" s="53"/>
    </row>
    <row r="13" spans="1:34" ht="25.5">
      <c r="A13" s="39"/>
      <c r="B13" s="226" t="s">
        <v>192</v>
      </c>
      <c r="C13" s="226"/>
      <c r="D13" s="226"/>
      <c r="E13" s="226"/>
      <c r="F13" s="55" t="s">
        <v>120</v>
      </c>
      <c r="G13" s="56"/>
      <c r="H13" s="66">
        <f>H11*0.7</f>
        <v>12250</v>
      </c>
      <c r="I13" s="60" t="s">
        <v>115</v>
      </c>
      <c r="J13" s="51"/>
      <c r="K13" s="31"/>
      <c r="T13" s="31"/>
      <c r="U13" s="31"/>
      <c r="V13" s="31"/>
      <c r="W13" s="31"/>
      <c r="X13" s="31"/>
      <c r="Y13" s="31"/>
      <c r="AD13" s="53"/>
      <c r="AE13" s="53"/>
      <c r="AF13" s="53"/>
      <c r="AG13" s="54"/>
      <c r="AH13" s="53"/>
    </row>
    <row r="14" spans="1:34" ht="25.5">
      <c r="A14" s="39"/>
      <c r="B14" s="55" t="s">
        <v>121</v>
      </c>
      <c r="C14" s="56"/>
      <c r="D14" s="67">
        <f>0.8*D10</f>
        <v>280</v>
      </c>
      <c r="E14" s="58" t="s">
        <v>115</v>
      </c>
      <c r="F14" s="55" t="s">
        <v>122</v>
      </c>
      <c r="G14" s="68"/>
      <c r="H14" s="69">
        <f>$H$13*($H$12/100)</f>
        <v>2450</v>
      </c>
      <c r="I14" s="60" t="s">
        <v>115</v>
      </c>
      <c r="J14" s="51"/>
      <c r="K14" s="31"/>
      <c r="T14" s="31"/>
      <c r="U14" s="31"/>
      <c r="V14" s="31"/>
      <c r="W14" s="31"/>
      <c r="X14" s="31"/>
      <c r="Y14" s="31"/>
      <c r="AD14" s="53"/>
      <c r="AE14" s="53"/>
      <c r="AF14" s="53"/>
      <c r="AG14" s="54"/>
      <c r="AH14" s="53"/>
    </row>
    <row r="15" spans="1:34" ht="25.5">
      <c r="A15" s="39"/>
      <c r="B15" s="55" t="s">
        <v>123</v>
      </c>
      <c r="C15" s="56"/>
      <c r="D15" s="63">
        <f>0.6*D14</f>
        <v>168</v>
      </c>
      <c r="E15" s="58" t="s">
        <v>115</v>
      </c>
      <c r="F15" s="55" t="s">
        <v>124</v>
      </c>
      <c r="G15" s="68"/>
      <c r="H15" s="69">
        <f>$H$13*(1-($H$12/100))</f>
        <v>9800</v>
      </c>
      <c r="I15" s="60" t="s">
        <v>115</v>
      </c>
      <c r="J15" s="5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D15" s="53"/>
      <c r="AE15" s="53"/>
      <c r="AF15" s="53"/>
      <c r="AG15" s="54"/>
      <c r="AH15" s="53"/>
    </row>
    <row r="16" spans="1:34" ht="25.5">
      <c r="A16" s="39"/>
      <c r="B16" s="55" t="s">
        <v>125</v>
      </c>
      <c r="C16" s="56"/>
      <c r="D16" s="63">
        <f>0.79*SQRT(D14)*(-1)</f>
        <v>-13.219228419238394</v>
      </c>
      <c r="E16" s="58" t="s">
        <v>115</v>
      </c>
      <c r="F16" s="55" t="s">
        <v>126</v>
      </c>
      <c r="G16" s="71"/>
      <c r="H16" s="66">
        <f>(PI()*($H$9/10)^2/4)*$H$15</f>
        <v>1924.2255003237483</v>
      </c>
      <c r="I16" s="72" t="s">
        <v>77</v>
      </c>
      <c r="J16" s="5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AD16" s="53"/>
      <c r="AE16" s="52"/>
      <c r="AF16" s="53"/>
      <c r="AG16" s="54"/>
      <c r="AH16" s="53"/>
    </row>
    <row r="17" spans="1:34" ht="23.25">
      <c r="A17" s="39"/>
      <c r="B17" s="225" t="s">
        <v>195</v>
      </c>
      <c r="C17" s="225"/>
      <c r="D17" s="225"/>
      <c r="E17" s="225"/>
      <c r="F17" s="225" t="s">
        <v>196</v>
      </c>
      <c r="G17" s="225"/>
      <c r="H17" s="225"/>
      <c r="I17" s="225"/>
      <c r="J17" s="51"/>
      <c r="K17" s="31"/>
      <c r="L17" s="173" t="s">
        <v>201</v>
      </c>
      <c r="M17" s="173" t="s">
        <v>67</v>
      </c>
      <c r="N17" s="173" t="e">
        <f>#REF!</f>
        <v>#REF!</v>
      </c>
      <c r="O17" s="173" t="s">
        <v>68</v>
      </c>
      <c r="P17" s="173" t="e">
        <f>#REF!</f>
        <v>#REF!</v>
      </c>
      <c r="Q17" s="173" t="s">
        <v>208</v>
      </c>
      <c r="R17" s="173" t="s">
        <v>209</v>
      </c>
      <c r="S17" s="173" t="s">
        <v>210</v>
      </c>
      <c r="T17" s="31"/>
      <c r="U17" s="31"/>
      <c r="V17" s="31"/>
      <c r="W17" s="31"/>
      <c r="X17" s="31"/>
      <c r="Y17" s="31"/>
      <c r="AD17" s="53"/>
      <c r="AE17" s="53"/>
      <c r="AF17" s="53"/>
      <c r="AG17" s="54"/>
      <c r="AH17" s="53"/>
    </row>
    <row r="18" spans="1:34" ht="23.25">
      <c r="A18" s="39"/>
      <c r="B18" s="55" t="s">
        <v>78</v>
      </c>
      <c r="C18" s="56"/>
      <c r="D18" s="73">
        <f>2450*D7^2</f>
        <v>118.58</v>
      </c>
      <c r="E18" s="74" t="s">
        <v>9</v>
      </c>
      <c r="F18" s="55" t="s">
        <v>79</v>
      </c>
      <c r="G18" s="55"/>
      <c r="H18" s="66">
        <f>TRUNC(5.3*D7*(G7^2)/(H9^2))+1</f>
        <v>3</v>
      </c>
      <c r="I18" s="72" t="s">
        <v>80</v>
      </c>
      <c r="J18" s="75"/>
      <c r="K18" s="31"/>
      <c r="L18" s="173" t="s">
        <v>202</v>
      </c>
      <c r="M18" s="170"/>
      <c r="N18" s="169"/>
      <c r="O18" s="169" t="e">
        <f>IF(N17&gt;1200,"DB","RB")</f>
        <v>#REF!</v>
      </c>
      <c r="P18" s="169"/>
      <c r="Q18" s="169">
        <v>274.5</v>
      </c>
      <c r="R18" s="169">
        <v>8655.187</v>
      </c>
      <c r="S18" s="169">
        <v>961.687</v>
      </c>
      <c r="T18" s="31"/>
      <c r="U18" s="31"/>
      <c r="V18" s="31"/>
      <c r="W18" s="31"/>
      <c r="X18" s="31"/>
      <c r="Y18" s="31"/>
      <c r="AD18" s="53"/>
      <c r="AE18" s="53"/>
      <c r="AF18" s="53"/>
      <c r="AG18" s="54"/>
      <c r="AH18" s="53"/>
    </row>
    <row r="19" spans="1:34" ht="23.25">
      <c r="A19" s="39"/>
      <c r="B19" s="55" t="s">
        <v>81</v>
      </c>
      <c r="C19" s="56"/>
      <c r="D19" s="122">
        <v>30</v>
      </c>
      <c r="E19" s="58" t="s">
        <v>76</v>
      </c>
      <c r="F19" s="55" t="s">
        <v>82</v>
      </c>
      <c r="G19" s="55"/>
      <c r="H19" s="123">
        <v>8</v>
      </c>
      <c r="I19" s="76" t="s">
        <v>80</v>
      </c>
      <c r="J19" s="51"/>
      <c r="K19" s="31"/>
      <c r="L19" s="173" t="s">
        <v>203</v>
      </c>
      <c r="M19" s="170"/>
      <c r="N19" s="169"/>
      <c r="O19" s="169"/>
      <c r="P19" s="169"/>
      <c r="Q19" s="171">
        <v>386</v>
      </c>
      <c r="R19" s="169">
        <v>19088.5</v>
      </c>
      <c r="S19" s="169">
        <v>1735.318</v>
      </c>
      <c r="T19" s="31"/>
      <c r="U19" s="31"/>
      <c r="V19" s="31"/>
      <c r="W19" s="31"/>
      <c r="X19" s="31"/>
      <c r="Y19" s="31"/>
      <c r="AD19" s="53"/>
      <c r="AE19" s="53"/>
      <c r="AF19" s="53"/>
      <c r="AG19" s="54"/>
      <c r="AH19" s="53"/>
    </row>
    <row r="20" spans="1:34" ht="26.25">
      <c r="A20" s="39"/>
      <c r="B20" s="55" t="s">
        <v>127</v>
      </c>
      <c r="C20" s="56"/>
      <c r="D20" s="176">
        <v>8595.56</v>
      </c>
      <c r="E20" s="77">
        <f>(0.022*(G7^2)*D18)*(1+(D19/100))</f>
        <v>190.76557499999998</v>
      </c>
      <c r="F20" s="55" t="s">
        <v>83</v>
      </c>
      <c r="G20" s="78"/>
      <c r="H20" s="79">
        <f>IF(D7&gt;=0.3,6,3.2)</f>
        <v>3.2</v>
      </c>
      <c r="I20" s="76" t="s">
        <v>73</v>
      </c>
      <c r="J20" s="51"/>
      <c r="K20" s="31"/>
      <c r="L20" s="173" t="s">
        <v>204</v>
      </c>
      <c r="M20" s="169"/>
      <c r="N20" s="169"/>
      <c r="O20" s="169"/>
      <c r="P20" s="169"/>
      <c r="Q20" s="171">
        <v>489</v>
      </c>
      <c r="R20" s="169">
        <v>36133.41</v>
      </c>
      <c r="S20" s="169">
        <v>2779.493</v>
      </c>
      <c r="T20" s="31"/>
      <c r="U20" s="31"/>
      <c r="V20" s="31"/>
      <c r="W20" s="31"/>
      <c r="X20" s="31"/>
      <c r="Y20" s="31"/>
      <c r="AD20" s="62"/>
      <c r="AE20" s="53"/>
      <c r="AF20" s="53"/>
      <c r="AG20" s="54"/>
      <c r="AH20" s="53"/>
    </row>
    <row r="21" spans="1:34" ht="25.5">
      <c r="A21" s="39"/>
      <c r="B21" s="55" t="s">
        <v>84</v>
      </c>
      <c r="C21" s="56"/>
      <c r="D21" s="177">
        <v>386</v>
      </c>
      <c r="E21" s="58" t="s">
        <v>116</v>
      </c>
      <c r="F21" s="55" t="str">
        <f>"-Stir.Range "&amp;TRUNC(D7*1.5,2)&amp;" m.@"</f>
        <v>-Stir.Range 0.33 m.@</v>
      </c>
      <c r="G21" s="78"/>
      <c r="H21" s="79">
        <f>INT(TRUNC(((PI()*(($H$20*0.1)^2)/4)*100*(4*(100*$D$7-10)))/(0.5*((100*$D$7)^2))))</f>
        <v>1</v>
      </c>
      <c r="I21" s="76" t="s">
        <v>85</v>
      </c>
      <c r="J21" s="51"/>
      <c r="K21" s="31"/>
      <c r="L21" s="173" t="s">
        <v>205</v>
      </c>
      <c r="M21" s="169"/>
      <c r="N21" s="169"/>
      <c r="O21" s="169"/>
      <c r="P21" s="169"/>
      <c r="Q21" s="169">
        <v>660</v>
      </c>
      <c r="R21" s="169">
        <v>64440</v>
      </c>
      <c r="S21" s="169">
        <v>4296</v>
      </c>
      <c r="T21" s="31"/>
      <c r="U21" s="31"/>
      <c r="V21" s="31"/>
      <c r="W21" s="31"/>
      <c r="X21" s="31"/>
      <c r="Y21" s="31"/>
      <c r="AD21" s="53"/>
      <c r="AE21" s="53"/>
      <c r="AF21" s="53"/>
      <c r="AG21" s="54"/>
      <c r="AH21" s="53"/>
    </row>
    <row r="22" spans="1:34" ht="25.5">
      <c r="A22" s="39"/>
      <c r="B22" s="168" t="s">
        <v>86</v>
      </c>
      <c r="C22" s="68"/>
      <c r="D22" s="178">
        <v>1735.318</v>
      </c>
      <c r="E22" s="58" t="s">
        <v>128</v>
      </c>
      <c r="F22" s="55" t="str">
        <f>"-Stir.Range "&amp;TRUNC(D7*3,2)&amp;" m.@"</f>
        <v>-Stir.Range 0.66 m.@</v>
      </c>
      <c r="G22" s="55"/>
      <c r="H22" s="79">
        <f>INT(TRUNC(((PI()*(($H$20*0.1)^2)/4)*100*(4*(100*$D$7-10)))/(0.2*((100*$D$7)^2))))</f>
        <v>3</v>
      </c>
      <c r="I22" s="76" t="s">
        <v>87</v>
      </c>
      <c r="J22" s="51"/>
      <c r="K22" s="31"/>
      <c r="L22" s="173" t="s">
        <v>206</v>
      </c>
      <c r="M22" s="171"/>
      <c r="N22" s="169"/>
      <c r="O22" s="169"/>
      <c r="P22" s="169"/>
      <c r="Q22" s="169">
        <v>880</v>
      </c>
      <c r="R22" s="169">
        <v>118324.6</v>
      </c>
      <c r="S22" s="169">
        <v>6761.404</v>
      </c>
      <c r="T22" s="31"/>
      <c r="U22" s="31"/>
      <c r="V22" s="31"/>
      <c r="W22" s="31"/>
      <c r="X22" s="31"/>
      <c r="Y22" s="31"/>
      <c r="AD22" s="53"/>
      <c r="AE22" s="53"/>
      <c r="AF22" s="53"/>
      <c r="AG22" s="54"/>
      <c r="AH22" s="53"/>
    </row>
    <row r="23" spans="1:34" ht="25.5">
      <c r="A23" s="39"/>
      <c r="B23" s="55" t="s">
        <v>88</v>
      </c>
      <c r="C23" s="71"/>
      <c r="D23" s="177">
        <v>19088.5</v>
      </c>
      <c r="E23" s="55" t="s">
        <v>129</v>
      </c>
      <c r="F23" s="55" t="str">
        <f>"-Stir.Range "&amp;TRUNC((G7-(9*D7)),2)&amp;" m.@"</f>
        <v>-Stir.Range 5.52 m.@</v>
      </c>
      <c r="G23" s="55"/>
      <c r="H23" s="79">
        <f>INT(MIN(TRUNC(((PI()*(($H$20*0.1)^2)/4)*100*(4*(100*$D$7-10)))/(0.08*((100*$D$7)^2))),30))</f>
        <v>9</v>
      </c>
      <c r="I23" s="76" t="s">
        <v>89</v>
      </c>
      <c r="J23" s="51"/>
      <c r="K23" s="31"/>
      <c r="L23" s="173" t="s">
        <v>207</v>
      </c>
      <c r="M23" s="169"/>
      <c r="N23" s="169"/>
      <c r="O23" s="172"/>
      <c r="P23" s="169"/>
      <c r="Q23" s="169">
        <v>1240</v>
      </c>
      <c r="R23" s="169">
        <v>206313.3</v>
      </c>
      <c r="S23" s="169">
        <v>10315.67</v>
      </c>
      <c r="T23" s="31"/>
      <c r="U23" s="31"/>
      <c r="V23" s="31"/>
      <c r="W23" s="31"/>
      <c r="X23" s="31"/>
      <c r="Y23" s="31"/>
      <c r="AD23" s="53"/>
      <c r="AE23" s="53"/>
      <c r="AF23" s="53"/>
      <c r="AG23" s="54"/>
      <c r="AH23" s="53"/>
    </row>
    <row r="24" spans="1:34" ht="23.25">
      <c r="A24" s="39"/>
      <c r="B24" s="225" t="s">
        <v>197</v>
      </c>
      <c r="C24" s="225"/>
      <c r="D24" s="225"/>
      <c r="E24" s="225"/>
      <c r="F24" s="225"/>
      <c r="G24" s="225"/>
      <c r="H24" s="225"/>
      <c r="I24" s="225"/>
      <c r="J24" s="5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AD24" s="53"/>
      <c r="AE24" s="53"/>
      <c r="AF24" s="53"/>
      <c r="AG24" s="53"/>
      <c r="AH24" s="53"/>
    </row>
    <row r="25" spans="1:25" ht="23.25">
      <c r="A25" s="39"/>
      <c r="B25" s="55" t="s">
        <v>90</v>
      </c>
      <c r="C25" s="55"/>
      <c r="D25" s="80"/>
      <c r="E25" s="55"/>
      <c r="F25" s="55"/>
      <c r="G25" s="77" t="s">
        <v>15</v>
      </c>
      <c r="H25" s="66">
        <f>((0.7*$H$10*$H$11*$H$19)/$D$21)+(($E$20*100*(1-(0.01*D19)))/$D$22)</f>
        <v>57.54558495280983</v>
      </c>
      <c r="I25" s="130" t="str">
        <f>IF(H25&lt;=D15,"ksc.  OK.!","Not Pass")</f>
        <v>ksc.  OK.!</v>
      </c>
      <c r="J25" s="5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23.25">
      <c r="A26" s="39"/>
      <c r="B26" s="55" t="s">
        <v>91</v>
      </c>
      <c r="C26" s="68"/>
      <c r="D26" s="80"/>
      <c r="E26" s="68"/>
      <c r="F26" s="68"/>
      <c r="G26" s="65" t="s">
        <v>15</v>
      </c>
      <c r="H26" s="66">
        <f>((0.7*$H$10*$H$11*$H$19)/$D$21)-(($E$20*100*(1-(0.01*D19)))/$D$22)</f>
        <v>42.155218172772976</v>
      </c>
      <c r="I26" s="130" t="str">
        <f>IF(H26&gt;=D16,"ksc.  OK.!","Not Pass")</f>
        <v>ksc.  OK.!</v>
      </c>
      <c r="J26" s="5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3.25">
      <c r="A27" s="39"/>
      <c r="B27" s="55" t="s">
        <v>92</v>
      </c>
      <c r="C27" s="55"/>
      <c r="D27" s="80"/>
      <c r="E27" s="68"/>
      <c r="F27" s="81"/>
      <c r="G27" s="80" t="s">
        <v>15</v>
      </c>
      <c r="H27" s="66">
        <f>(((0.7*$H$10*$H$11*$H$19)/$D$21)*0.8)+(($E$20*100)/$D$22)</f>
        <v>50.87344037883088</v>
      </c>
      <c r="I27" s="130" t="str">
        <f>IF(H27&lt;=D11,"ksc.  OK.!","Not Pass")</f>
        <v>ksc.  OK.!</v>
      </c>
      <c r="J27" s="5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24.75">
      <c r="A28" s="39"/>
      <c r="B28" s="55" t="s">
        <v>93</v>
      </c>
      <c r="C28" s="68"/>
      <c r="D28" s="82"/>
      <c r="E28" s="74"/>
      <c r="F28" s="74"/>
      <c r="G28" s="65" t="s">
        <v>15</v>
      </c>
      <c r="H28" s="66">
        <f>(((0.7*$H$10*$H$11*$H$19)/$D$21)*0.8)-(($E$20*100)/$D$22)</f>
        <v>28.88720212163537</v>
      </c>
      <c r="I28" s="130" t="str">
        <f>IF(H28&gt;=D12,"ksc.  OK.!","Not Pass")</f>
        <v>ksc.  OK.!</v>
      </c>
      <c r="J28" s="5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24.75" customHeight="1">
      <c r="A29" s="39"/>
      <c r="B29" s="225" t="s">
        <v>198</v>
      </c>
      <c r="C29" s="225"/>
      <c r="D29" s="225"/>
      <c r="E29" s="225"/>
      <c r="F29" s="225"/>
      <c r="G29" s="225"/>
      <c r="H29" s="225"/>
      <c r="I29" s="225"/>
      <c r="J29" s="5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25.5">
      <c r="A30" s="39"/>
      <c r="B30" s="83" t="s">
        <v>94</v>
      </c>
      <c r="C30" s="84"/>
      <c r="D30" s="80">
        <f>(0.85*$D$10-0.6*(((0.7*$H$10*$H$11*$H$19)/$D$21)*0.8))*$D$21/1000</f>
        <v>105.598717598446</v>
      </c>
      <c r="E30" s="55" t="s">
        <v>95</v>
      </c>
      <c r="F30" s="83" t="s">
        <v>96</v>
      </c>
      <c r="G30" s="85"/>
      <c r="H30" s="66">
        <f>(4270*(2.323^1.5)*($D$10^0.5))*D23*((22/7)^2)/(2*(100*G7)^2)/1000</f>
        <v>47.40283033429638</v>
      </c>
      <c r="I30" s="72" t="s">
        <v>95</v>
      </c>
      <c r="J30" s="51"/>
      <c r="K30" s="31"/>
      <c r="L30" s="61" t="e">
        <f>((((0.7*$H$10*$H$11*$H$19)/$D$21)*0.8)+(1.99*(N1^0.5)))*D22/100</f>
        <v>#REF!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25.5">
      <c r="A31" s="39"/>
      <c r="B31" s="55" t="s">
        <v>97</v>
      </c>
      <c r="C31" s="86"/>
      <c r="D31" s="80">
        <f>D30/((0.33*$D$10-0.27*(((0.7*$H$10*$H$11*$H$19)/$D$21)*0.8))*$D$21/1000)</f>
        <v>2.6121050774878514</v>
      </c>
      <c r="E31" s="74" t="str">
        <f>IF(AND(H31&gt;=H32,D31&gt;=2.5),"OK.!","Min 2.5")</f>
        <v>OK.!</v>
      </c>
      <c r="F31" s="83" t="s">
        <v>98</v>
      </c>
      <c r="G31" s="55"/>
      <c r="H31" s="66">
        <f>(0.33*$D$10-0.27*(((0.7*$H$10*$H$11*$H$19)/$D$21)*0.8))*$D$21/1000</f>
        <v>40.42667291930071</v>
      </c>
      <c r="I31" s="72" t="s">
        <v>95</v>
      </c>
      <c r="J31" s="51"/>
      <c r="K31" s="31"/>
      <c r="L31" s="61">
        <f>(((0.7*$H$10*$H$11*$H$19)*0.8/$D$21))</f>
        <v>39.88032125023312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23.25">
      <c r="A32" s="39"/>
      <c r="B32" s="55" t="s">
        <v>99</v>
      </c>
      <c r="C32" s="68"/>
      <c r="D32" s="80">
        <f>(($H$16*$H$19)*(($D$21-($H$10*$H$19))+(($H$10*$H$19)*(1970000/(4270*(2.323^1.5)*($D$10^0.5)))))/($D$21-($H$10+$H$19)))/1000</f>
        <v>16.109555443727015</v>
      </c>
      <c r="E32" s="55" t="s">
        <v>95</v>
      </c>
      <c r="F32" s="83" t="s">
        <v>100</v>
      </c>
      <c r="G32" s="55"/>
      <c r="H32" s="124">
        <v>20</v>
      </c>
      <c r="I32" s="131" t="str">
        <f>IF(AND(D31&gt;=2.5,H31&gt;=H32,L31&gt;=20),"tons/pile","Not Pass")</f>
        <v>tons/pile</v>
      </c>
      <c r="J32" s="5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" customHeight="1">
      <c r="A33" s="42"/>
      <c r="B33" s="87"/>
      <c r="C33" s="87"/>
      <c r="D33" s="88"/>
      <c r="E33" s="87"/>
      <c r="F33" s="87"/>
      <c r="G33" s="87"/>
      <c r="H33" s="89"/>
      <c r="I33" s="89"/>
      <c r="J33" s="9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ht="23.25">
      <c r="B34" s="91"/>
      <c r="C34" s="91"/>
      <c r="D34" s="92"/>
      <c r="E34" s="91"/>
      <c r="F34" s="91"/>
      <c r="G34" s="91"/>
      <c r="H34" s="93"/>
      <c r="I34" s="93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26.25">
      <c r="A35" s="227" t="s">
        <v>199</v>
      </c>
      <c r="B35" s="228"/>
      <c r="C35" s="94"/>
      <c r="D35" s="94"/>
      <c r="E35" s="94"/>
      <c r="F35" s="94"/>
      <c r="G35" s="94"/>
      <c r="H35" s="95"/>
      <c r="I35" s="95"/>
      <c r="J35" s="94"/>
      <c r="K35" s="96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21.75">
      <c r="A36" s="39"/>
      <c r="B36" s="53"/>
      <c r="C36" s="53"/>
      <c r="D36" s="53"/>
      <c r="E36" s="53"/>
      <c r="F36" s="53"/>
      <c r="G36" s="53"/>
      <c r="H36" s="54"/>
      <c r="I36" s="54"/>
      <c r="J36" s="53"/>
      <c r="K36" s="97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23.25">
      <c r="A37" s="39"/>
      <c r="B37" s="53"/>
      <c r="C37" s="53"/>
      <c r="D37" s="53"/>
      <c r="E37" s="56" t="s">
        <v>102</v>
      </c>
      <c r="F37" s="53"/>
      <c r="G37" s="53"/>
      <c r="H37" s="54"/>
      <c r="I37" s="54"/>
      <c r="J37" s="53"/>
      <c r="K37" s="97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3.25">
      <c r="A38" s="39"/>
      <c r="B38" s="188" t="str">
        <f>ROUND(0.207*G7,2)&amp;" m."</f>
        <v>1.55 m.</v>
      </c>
      <c r="C38" s="188"/>
      <c r="D38" s="53"/>
      <c r="E38" s="65" t="str">
        <f>ROUND(G7-(2*0.207*G7),2)&amp;" m."</f>
        <v>4.4 m.</v>
      </c>
      <c r="F38" s="53"/>
      <c r="G38" s="53"/>
      <c r="H38" s="55" t="str">
        <f>ROUND(0.207*G7,2)&amp;" m."</f>
        <v>1.55 m.</v>
      </c>
      <c r="I38" s="54"/>
      <c r="J38" s="53"/>
      <c r="K38" s="97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90">
      <c r="A39" s="39"/>
      <c r="B39" s="98" t="s">
        <v>103</v>
      </c>
      <c r="C39" s="53"/>
      <c r="D39" s="53"/>
      <c r="E39" s="56" t="str">
        <f>"P.C.Wire "&amp;H19&amp;" - Dia. "&amp;H9&amp;" mm."</f>
        <v>P.C.Wire 8 - Dia. 5 mm.</v>
      </c>
      <c r="F39" s="53"/>
      <c r="G39" s="53"/>
      <c r="H39" s="54"/>
      <c r="I39" s="54"/>
      <c r="J39" s="191" t="str">
        <f>"t = "&amp;D7&amp;" m."</f>
        <v>t = 0.22 m.</v>
      </c>
      <c r="K39" s="97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1.75">
      <c r="A40" s="39"/>
      <c r="B40" s="53"/>
      <c r="C40" s="53"/>
      <c r="D40" s="53"/>
      <c r="E40" s="53"/>
      <c r="F40" s="53"/>
      <c r="G40" s="53"/>
      <c r="H40" s="54"/>
      <c r="I40" s="54"/>
      <c r="J40" s="192"/>
      <c r="K40" s="97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3.25">
      <c r="A41" s="39"/>
      <c r="B41" s="53"/>
      <c r="C41" s="53"/>
      <c r="D41" s="53"/>
      <c r="E41" s="53"/>
      <c r="F41" s="53"/>
      <c r="G41" s="99" t="s">
        <v>104</v>
      </c>
      <c r="H41" s="54"/>
      <c r="I41" s="44" t="str">
        <f>"b = "&amp;D7&amp;" m."</f>
        <v>b = 0.22 m.</v>
      </c>
      <c r="J41" s="192"/>
      <c r="K41" s="97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1.75">
      <c r="A42" s="39"/>
      <c r="B42" s="100" t="str">
        <f>"Stir.or Spir."</f>
        <v>Stir.or Spir.</v>
      </c>
      <c r="C42" s="44" t="str">
        <f>"Stir.or Spir."</f>
        <v>Stir.or Spir.</v>
      </c>
      <c r="D42" s="34"/>
      <c r="E42" s="101" t="str">
        <f>"Stirrup or  Spiral"</f>
        <v>Stirrup or  Spiral</v>
      </c>
      <c r="F42" s="34"/>
      <c r="G42" s="100" t="str">
        <f>"Stir.or Spir."</f>
        <v>Stir.or Spir.</v>
      </c>
      <c r="H42" s="101" t="str">
        <f>"Stir.or Spir."</f>
        <v>Stir.or Spir.</v>
      </c>
      <c r="I42" s="102"/>
      <c r="J42" s="53"/>
      <c r="K42" s="97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1.75">
      <c r="A43" s="39"/>
      <c r="B43" s="101" t="str">
        <f>"Dia."&amp;$H$20&amp;"mm.@"</f>
        <v>Dia.3.2mm.@</v>
      </c>
      <c r="C43" s="100" t="str">
        <f>"Dia."&amp;$H$20&amp;"mm.@"</f>
        <v>Dia.3.2mm.@</v>
      </c>
      <c r="D43" s="34"/>
      <c r="E43" s="101" t="str">
        <f>"Dia."&amp;$H$20&amp;" mm. @ "&amp;H23&amp;" cm."</f>
        <v>Dia.3.2 mm. @ 9 cm.</v>
      </c>
      <c r="F43" s="34"/>
      <c r="G43" s="101" t="str">
        <f>"Dia."&amp;$H$20&amp;"mm.@"</f>
        <v>Dia.3.2mm.@</v>
      </c>
      <c r="H43" s="100" t="str">
        <f>"Dia."&amp;$H$20&amp;"mm.@"</f>
        <v>Dia.3.2mm.@</v>
      </c>
      <c r="I43" s="54"/>
      <c r="J43" s="53"/>
      <c r="K43" s="97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1.75">
      <c r="A44" s="39"/>
      <c r="B44" s="103" t="str">
        <f>$H$21&amp;"  cm."</f>
        <v>1  cm.</v>
      </c>
      <c r="C44" s="103" t="str">
        <f>$H$22&amp;"  cm."</f>
        <v>3  cm.</v>
      </c>
      <c r="D44" s="53"/>
      <c r="E44" s="103"/>
      <c r="F44" s="53"/>
      <c r="G44" s="103" t="str">
        <f>$H$22&amp;"  cm."</f>
        <v>3  cm.</v>
      </c>
      <c r="H44" s="103" t="str">
        <f>$H$21&amp;"  cm."</f>
        <v>1  cm.</v>
      </c>
      <c r="I44" s="54"/>
      <c r="J44" s="53"/>
      <c r="K44" s="97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3.25">
      <c r="A45" s="39"/>
      <c r="B45" s="65" t="str">
        <f>1.5*D7*100&amp;" cm."</f>
        <v>33 cm.</v>
      </c>
      <c r="C45" s="72" t="str">
        <f>3*D7*100&amp;" cm."</f>
        <v>66 cm.</v>
      </c>
      <c r="D45" s="65"/>
      <c r="E45" s="65" t="str">
        <f>(G7-(9*D7))*100&amp;" cm."</f>
        <v>552 cm.</v>
      </c>
      <c r="F45" s="65"/>
      <c r="G45" s="65" t="str">
        <f>3*D7*100&amp;" cm."</f>
        <v>66 cm.</v>
      </c>
      <c r="H45" s="65" t="str">
        <f>1.5*D7*100&amp;" cm."</f>
        <v>33 cm.</v>
      </c>
      <c r="I45" s="54"/>
      <c r="J45" s="53"/>
      <c r="K45" s="9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3.25">
      <c r="A46" s="39"/>
      <c r="B46" s="53"/>
      <c r="C46" s="53"/>
      <c r="D46" s="53"/>
      <c r="E46" s="80" t="str">
        <f>"L = "&amp;G7&amp;" m."</f>
        <v>L = 7.5 m.</v>
      </c>
      <c r="F46" s="53"/>
      <c r="G46" s="53"/>
      <c r="H46" s="54"/>
      <c r="I46" s="54"/>
      <c r="J46" s="53"/>
      <c r="K46" s="97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3.25">
      <c r="A47" s="39"/>
      <c r="B47" s="104"/>
      <c r="C47" s="53"/>
      <c r="D47" s="53"/>
      <c r="E47" s="53"/>
      <c r="F47" s="53"/>
      <c r="G47" s="53"/>
      <c r="H47" s="54"/>
      <c r="I47" s="54"/>
      <c r="J47" s="53"/>
      <c r="K47" s="9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3.25">
      <c r="A48" s="39"/>
      <c r="B48" s="229" t="s">
        <v>105</v>
      </c>
      <c r="C48" s="105" t="s">
        <v>106</v>
      </c>
      <c r="D48" s="105"/>
      <c r="E48" s="125"/>
      <c r="F48" s="106">
        <f>IF(OR(E48=0,E48=""),"","   x   ")</f>
      </c>
      <c r="G48" s="126"/>
      <c r="H48" s="107">
        <f>IF(OR(E48=0,E48=""),"",IF((H32*1000)/(E48*G48)&lt;=1000,"cm.","Not Pass"))</f>
      </c>
      <c r="I48" s="108"/>
      <c r="J48" s="189"/>
      <c r="K48" s="97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3.25" customHeight="1">
      <c r="A49" s="39"/>
      <c r="B49" s="230"/>
      <c r="C49" s="56" t="s">
        <v>107</v>
      </c>
      <c r="D49" s="56"/>
      <c r="E49" s="128">
        <v>4</v>
      </c>
      <c r="F49" s="109" t="str">
        <f>IF(OR(E49=0,E49=""),"","-      DB")</f>
        <v>-      DB</v>
      </c>
      <c r="G49" s="127">
        <v>12</v>
      </c>
      <c r="H49" s="55" t="str">
        <f>IF(OR(E49=0,E49=""),"",IF(E49&gt;=2,"mm.","Min. 2 bars"))</f>
        <v>mm.</v>
      </c>
      <c r="I49" s="110"/>
      <c r="J49" s="189"/>
      <c r="K49" s="97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3.25">
      <c r="A50" s="39"/>
      <c r="B50" s="230"/>
      <c r="C50" s="56" t="s">
        <v>108</v>
      </c>
      <c r="D50" s="56"/>
      <c r="E50" s="56"/>
      <c r="F50" s="56"/>
      <c r="G50" s="56"/>
      <c r="H50" s="72"/>
      <c r="I50" s="110"/>
      <c r="J50" s="189"/>
      <c r="K50" s="97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23.25">
      <c r="A51" s="42"/>
      <c r="B51" s="231"/>
      <c r="C51" s="111" t="s">
        <v>109</v>
      </c>
      <c r="D51" s="112"/>
      <c r="E51" s="112"/>
      <c r="F51" s="112"/>
      <c r="G51" s="112"/>
      <c r="H51" s="113"/>
      <c r="I51" s="114"/>
      <c r="J51" s="190"/>
      <c r="K51" s="115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8:25" ht="21.75">
      <c r="H52" s="116"/>
      <c r="I52" s="116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8:25" ht="21.75">
      <c r="H53" s="116"/>
      <c r="I53" s="116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8:25" ht="21.75">
      <c r="H54" s="116"/>
      <c r="I54" s="116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8:25" ht="21.75">
      <c r="H55" s="116"/>
      <c r="I55" s="116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8:25" ht="21.75">
      <c r="H56" s="116"/>
      <c r="I56" s="116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8:25" ht="21.75">
      <c r="H57" s="116"/>
      <c r="I57" s="116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8:25" ht="21.75">
      <c r="H58" s="116"/>
      <c r="I58" s="11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ht="2.25" customHeight="1">
      <c r="B59" s="30" t="s">
        <v>110</v>
      </c>
      <c r="H59" s="11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21.75" hidden="1">
      <c r="A60" s="117">
        <v>0.1</v>
      </c>
      <c r="B60" s="117">
        <v>4</v>
      </c>
      <c r="C60" s="117">
        <v>17</v>
      </c>
      <c r="D60" s="30">
        <v>30</v>
      </c>
      <c r="E60" s="30">
        <v>4</v>
      </c>
      <c r="H60" s="116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21.75" hidden="1">
      <c r="A61" s="117">
        <v>0.12</v>
      </c>
      <c r="B61" s="117">
        <v>5</v>
      </c>
      <c r="C61" s="117">
        <v>18</v>
      </c>
      <c r="D61" s="30">
        <v>35</v>
      </c>
      <c r="E61" s="30">
        <v>6</v>
      </c>
      <c r="H61" s="116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21.75" hidden="1">
      <c r="A62" s="117">
        <v>0.13</v>
      </c>
      <c r="B62" s="117">
        <v>7</v>
      </c>
      <c r="C62" s="117">
        <v>19</v>
      </c>
      <c r="D62" s="30">
        <v>40</v>
      </c>
      <c r="E62" s="30">
        <v>8</v>
      </c>
      <c r="H62" s="116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21.75" hidden="1">
      <c r="A63" s="117">
        <v>0.14</v>
      </c>
      <c r="B63" s="30" t="s">
        <v>111</v>
      </c>
      <c r="C63" s="117">
        <v>20</v>
      </c>
      <c r="D63" s="30">
        <v>45</v>
      </c>
      <c r="E63" s="30">
        <v>10</v>
      </c>
      <c r="H63" s="116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8" customHeight="1" hidden="1">
      <c r="A64" s="117">
        <v>0.15</v>
      </c>
      <c r="B64" s="30">
        <v>9.525</v>
      </c>
      <c r="D64" s="30">
        <v>50</v>
      </c>
      <c r="E64" s="30">
        <v>12</v>
      </c>
      <c r="H64" s="116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21.75" hidden="1">
      <c r="A65" s="117">
        <v>0.16</v>
      </c>
      <c r="B65" s="30">
        <v>12.7</v>
      </c>
      <c r="E65" s="30">
        <v>14</v>
      </c>
      <c r="H65" s="116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21.75" hidden="1">
      <c r="A66" s="117">
        <v>0.18</v>
      </c>
      <c r="B66" s="118">
        <v>1</v>
      </c>
      <c r="C66" s="30" t="s">
        <v>112</v>
      </c>
      <c r="E66" s="30">
        <v>16</v>
      </c>
      <c r="H66" s="116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21.75" hidden="1">
      <c r="A67" s="117">
        <v>0.2</v>
      </c>
      <c r="B67" s="118">
        <v>1</v>
      </c>
      <c r="C67" s="30" t="s">
        <v>113</v>
      </c>
      <c r="E67" s="30">
        <v>18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5" ht="21.75" hidden="1">
      <c r="A68" s="117">
        <v>0.22</v>
      </c>
      <c r="E68" s="30">
        <v>20</v>
      </c>
    </row>
    <row r="69" spans="1:5" ht="21.75" hidden="1">
      <c r="A69" s="117">
        <v>0.25</v>
      </c>
      <c r="E69" s="30">
        <v>22</v>
      </c>
    </row>
    <row r="70" spans="1:5" ht="21.75" hidden="1">
      <c r="A70" s="117">
        <v>0.26</v>
      </c>
      <c r="E70" s="30">
        <v>24</v>
      </c>
    </row>
    <row r="71" spans="1:5" ht="21.75" hidden="1">
      <c r="A71" s="117">
        <v>0.28</v>
      </c>
      <c r="E71" s="30">
        <v>26</v>
      </c>
    </row>
    <row r="72" spans="1:5" ht="21.75" hidden="1">
      <c r="A72" s="117">
        <v>0.3</v>
      </c>
      <c r="E72" s="30">
        <v>28</v>
      </c>
    </row>
    <row r="73" spans="1:5" ht="21.75" hidden="1">
      <c r="A73" s="117">
        <v>0.35</v>
      </c>
      <c r="E73" s="30">
        <v>30</v>
      </c>
    </row>
    <row r="74" spans="1:5" ht="21.75" hidden="1">
      <c r="A74" s="117">
        <v>0.4</v>
      </c>
      <c r="E74" s="30">
        <v>32</v>
      </c>
    </row>
    <row r="75" spans="1:5" ht="21.75" hidden="1">
      <c r="A75" s="117">
        <v>0.45</v>
      </c>
      <c r="E75" s="30">
        <v>34</v>
      </c>
    </row>
    <row r="76" spans="1:5" ht="0.75" customHeight="1" hidden="1">
      <c r="A76" s="117"/>
      <c r="E76" s="30">
        <v>36</v>
      </c>
    </row>
    <row r="77" ht="21.75" hidden="1">
      <c r="E77" s="30">
        <v>38</v>
      </c>
    </row>
    <row r="78" ht="21.75" hidden="1">
      <c r="E78" s="30">
        <v>40</v>
      </c>
    </row>
    <row r="79" ht="21.75" hidden="1">
      <c r="E79" s="30">
        <v>42</v>
      </c>
    </row>
    <row r="80" ht="21.75" hidden="1">
      <c r="E80" s="30">
        <v>44</v>
      </c>
    </row>
    <row r="81" ht="21.75" hidden="1">
      <c r="E81" s="30">
        <v>46</v>
      </c>
    </row>
    <row r="82" ht="21.75" hidden="1">
      <c r="E82" s="30">
        <v>48</v>
      </c>
    </row>
    <row r="83" ht="21.75" hidden="1">
      <c r="E83" s="30">
        <v>50</v>
      </c>
    </row>
    <row r="84" ht="21.75" hidden="1"/>
  </sheetData>
  <sheetProtection password="B0B1" sheet="1" objects="1" scenarios="1"/>
  <mergeCells count="22">
    <mergeCell ref="B4:F4"/>
    <mergeCell ref="A1:J1"/>
    <mergeCell ref="B29:I29"/>
    <mergeCell ref="B2:I2"/>
    <mergeCell ref="B6:I6"/>
    <mergeCell ref="B8:E8"/>
    <mergeCell ref="F8:I8"/>
    <mergeCell ref="H5:J5"/>
    <mergeCell ref="H4:J4"/>
    <mergeCell ref="H3:J3"/>
    <mergeCell ref="B3:F3"/>
    <mergeCell ref="B5:F5"/>
    <mergeCell ref="B38:C38"/>
    <mergeCell ref="B48:B51"/>
    <mergeCell ref="B9:E9"/>
    <mergeCell ref="J48:J51"/>
    <mergeCell ref="A35:B35"/>
    <mergeCell ref="J39:J41"/>
    <mergeCell ref="B13:E13"/>
    <mergeCell ref="B17:E17"/>
    <mergeCell ref="F17:I17"/>
    <mergeCell ref="B24:I24"/>
  </mergeCells>
  <dataValidations count="14">
    <dataValidation type="list" allowBlank="1" showInputMessage="1" showErrorMessage="1" promptTitle="ขนาดหน้าตัดของเสาเข็ม คอร. :" prompt="ป้อนขนาดหน้ากว้างของเสาเข็ม" sqref="D7">
      <formula1>$A$60:$A$75</formula1>
    </dataValidation>
    <dataValidation type="decimal" operator="greaterThan" allowBlank="1" showInputMessage="1" showErrorMessage="1" promptTitle="ความยาวสูงสุดของเสาที่ออกแบบ :" prompt="ป้อนความยาวของเสาเข็มที่ต้องการออก&#10;แบบ" sqref="G7">
      <formula1>0</formula1>
    </dataValidation>
    <dataValidation type="list" allowBlank="1" showInputMessage="1" showErrorMessage="1" promptTitle="เลือกออกแบบขนาดของลวดอัดแรง :" prompt="ป้อนขนาดของลวดอัดแรง(P.C.Wire)ซึ่งโดย&#10;ทั่วไปนิยมใช้ขนาด 5 มม.เป็นหลัก  ยกเว้น&#10;บางกรณีอาจมีการใช้ขนาด7 มม. หรือไม่ก็&#10;ใช้ลวด P.C.Strand(ลวดตีเกลียว) แทนเลย" sqref="H9">
      <formula1>$B$59:$B$65</formula1>
    </dataValidation>
    <dataValidation type="decimal" operator="greaterThanOrEqual" allowBlank="1" showInputMessage="1" showErrorMessage="1" promptTitle="กำลังอัดประลัยคอนกรีตเสาเข็ม : " prompt="ป้อนค่ากำลังรับแรงอัดประลัยของคอน&#10;กรีตอัดแรงที่จะใช้เทเสาเข็มโดยทั่วไป&#10;ใช้ไม่น้อยกว่า 350 ksc.(Cylinder ที่ 28&#10; วัน)หรือประมาณ420 ksc.(Cube)" sqref="D10">
      <formula1>350</formula1>
    </dataValidation>
    <dataValidation type="list" allowBlank="1" showInputMessage="1" showErrorMessage="1" promptTitle="แรงที่สูญเสียในขบวนการผลิต :" prompt="ป้อนค่าเปอร์เซ็นต์การสูญเสียแรงใน&#10;คอนกรีตอัดแรงจะอยู่ในช่วง17% - 20%  &#10;แต่มักนิยมใช้ที่ 20% เป็นหลัก(สำหรับ&#10;คอนกรีตอัแรงก่อน)" sqref="H12">
      <formula1>$C$60:$C$63</formula1>
    </dataValidation>
    <dataValidation type="list" allowBlank="1" showInputMessage="1" showErrorMessage="1" promptTitle="เปอร์เซ็นต์โหลดที่คิดเผื่อไว้ :" prompt="ป้อนค่า Impact Load อันเนื่องมาจาก&#10;ขั้นตอนการยกและขนถ่ายเสาเข็มโดย&#10;ทั่วไปมักนิยมใช้กัน 2 ค่าคือ&#10;   - 30%&#10;   - 50%(แนะนำเป็นเบื้องต้น)" sqref="D19">
      <formula1>$D$60:$D$64</formula1>
    </dataValidation>
    <dataValidation type="list" allowBlank="1" showInputMessage="1" showErrorMessage="1" promptTitle="ออกแบบจำนวนของลวดอัดแรง :" prompt="ป้อนจำนวนเส้นลวด P.C.Wire ที่ต้อง&#10;การออกแบบโดยทั่วไปนิยมใช้เป็น&#10;จำนวนคู่เพื่อความสมดุลย์ของหน้าตัด" sqref="H19">
      <formula1>$E$60:$E$83</formula1>
    </dataValidation>
    <dataValidation type="decimal" operator="greaterThan" allowBlank="1" showInputMessage="1" showErrorMessage="1" promptTitle="น้ำหนักบรรทุกปลอดภัยของเสาเข็ม :" prompt="ป้อนค่าน้ำหนักบรรทุกปลอดภัยที่เสาเข็ม&#10;สามารถรับได้  โดยทั่วไปผมแนะนำให้ใช้ &#10;1.45*b ตัน/ต้น&#10;    เมื่อ b = หน้ากว้างเสาเข็ม(cm.)" sqref="H32">
      <formula1>0</formula1>
    </dataValidation>
    <dataValidation allowBlank="1" showInputMessage="1" showErrorMessage="1" promptTitle="หน้ากว้างที่ฐานของหัวชู :" prompt="* ในกรณีที่ต้องการจะใช้หัวชู *&#10;ป้อนค่าความกว้างของฐานของ&#10;หัวชูเหล็กหล่อส่วนรายละเอียด&#10;ให้ใช้เม้าท์มาชี้ที่ช่องดังกล่าวก็&#10;จะปรากฎรายละเอียดของหัวชู" sqref="E48"/>
    <dataValidation allowBlank="1" showInputMessage="1" showErrorMessage="1" promptTitle="ความยาวของหัวชูเหล็กหล่อ :" prompt="   * ในกรณีที่ต้องการจะใช้หัวชู *&#10;ป้อนค่าความยาวจากปลายถึงฐาน&#10;ของหัวชูเหล็กหล่อ ส่วนรายละเอียด&#10;ให้ชี้เม้าท์ไปที่ช่องดังกล่าวจะปรากฏ&#10;รายละเอียดของหัวชูให้ทราบ" sqref="G48"/>
    <dataValidation allowBlank="1" showInputMessage="1" showErrorMessage="1" promptTitle="จำนวนเส้นของเหล็กเดือย :" prompt="* ในกรณีที่ต้องการใส่เหล็กเดือย * &#10;ให้ป้อนจำนวนเส้นของเหล็กเดือย&#10;(Dowel bars)   ซึ่งไม่ควรน้อยกว่า&#10;2 เส้น" sqref="E49"/>
    <dataValidation allowBlank="1" showInputMessage="1" showErrorMessage="1" promptTitle="ขนาดของเหล็กเดือย :" prompt="ป้อนขนาดของเหล็กเดือย&#10;(Dowel bars)   แนะนำว่า&#10;ควรจะใช้เหล็กข้ออ้อย  จะ&#10;ดีที่สุด" sqref="G49"/>
    <dataValidation allowBlank="1" showInputMessage="1" showErrorMessage="1" prompt="แก้ไขได้โดยการกดแป้น F2" sqref="B39"/>
    <dataValidation allowBlank="1" showInputMessage="1" showErrorMessage="1" promptTitle="หากปรากฎ Not Pass :             " prompt="อาจเนื่องจาก 3 ปัจจัย คือ&#10;1.ค่าของ F.S. &lt; 2.50&#10;2.Design Load &gt; Safe Comp&#10; Load&#10;3.จำนวนเส้นลวดอัดแรง&#10;น้อยเกินไป" sqref="I32"/>
  </dataValidations>
  <printOptions horizontalCentered="1" verticalCentered="1"/>
  <pageMargins left="0.7480314960629921" right="0.7480314960629921" top="0.3937007874015748" bottom="0.8267716535433072" header="0.35433070866141736" footer="0.5118110236220472"/>
  <pageSetup horizontalDpi="600" verticalDpi="600" orientation="portrait" paperSize="9" scale="90" r:id="rId8"/>
  <headerFooter alignWithMargins="0">
    <oddFooter>&amp;C
</oddFooter>
  </headerFooter>
  <drawing r:id="rId7"/>
  <legacyDrawing r:id="rId6"/>
  <oleObjects>
    <oleObject progId="Equation.2" shapeId="1467529" r:id="rId2"/>
    <oleObject progId="Equation.2" shapeId="1467530" r:id="rId3"/>
    <oleObject progId="Equation.2" shapeId="1467531" r:id="rId4"/>
    <oleObject progId="Equation.2" shapeId="1467532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showGridLines="0" showRowColHeaders="0" showOutlineSymbols="0" zoomScale="110" zoomScaleNormal="110" workbookViewId="0" topLeftCell="A1">
      <selection activeCell="C2" sqref="C2"/>
    </sheetView>
  </sheetViews>
  <sheetFormatPr defaultColWidth="9.140625" defaultRowHeight="23.25"/>
  <cols>
    <col min="1" max="1" width="1.421875" style="134" customWidth="1"/>
    <col min="2" max="2" width="5.7109375" style="134" customWidth="1"/>
    <col min="3" max="3" width="6.00390625" style="134" customWidth="1"/>
    <col min="4" max="4" width="4.7109375" style="134" customWidth="1"/>
    <col min="5" max="5" width="3.7109375" style="134" customWidth="1"/>
    <col min="6" max="6" width="4.7109375" style="134" customWidth="1"/>
    <col min="7" max="7" width="8.00390625" style="134" customWidth="1"/>
    <col min="8" max="8" width="4.421875" style="134" customWidth="1"/>
    <col min="9" max="9" width="5.7109375" style="134" customWidth="1"/>
    <col min="10" max="10" width="6.00390625" style="134" customWidth="1"/>
    <col min="11" max="11" width="7.00390625" style="134" customWidth="1"/>
    <col min="12" max="12" width="6.421875" style="134" customWidth="1"/>
    <col min="13" max="13" width="9.00390625" style="134" customWidth="1"/>
    <col min="14" max="14" width="10.8515625" style="134" customWidth="1"/>
    <col min="15" max="16384" width="9.140625" style="134" customWidth="1"/>
  </cols>
  <sheetData>
    <row r="1" spans="2:14" ht="12.75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 t="s">
        <v>133</v>
      </c>
    </row>
    <row r="2" spans="2:6" ht="12.75">
      <c r="B2" s="135" t="s">
        <v>173</v>
      </c>
      <c r="F2" s="136" t="s">
        <v>134</v>
      </c>
    </row>
    <row r="3" spans="2:6" ht="12.75">
      <c r="B3" s="137"/>
      <c r="F3" s="138"/>
    </row>
    <row r="4" spans="9:11" ht="14.25">
      <c r="I4" s="139" t="s">
        <v>135</v>
      </c>
      <c r="J4" s="140">
        <v>500</v>
      </c>
      <c r="K4" s="134" t="s">
        <v>174</v>
      </c>
    </row>
    <row r="5" spans="6:14" ht="12.75">
      <c r="F5" s="141" t="s">
        <v>136</v>
      </c>
      <c r="N5" s="138" t="s">
        <v>137</v>
      </c>
    </row>
    <row r="6" spans="5:17" ht="12.75">
      <c r="E6" s="134" t="s">
        <v>138</v>
      </c>
      <c r="I6" s="141" t="s">
        <v>139</v>
      </c>
      <c r="J6" s="142">
        <f>P7+Q7+P8+Q8+P10+Q10+Q12-Q17</f>
        <v>6377.633886862468</v>
      </c>
      <c r="K6" s="134" t="s">
        <v>140</v>
      </c>
      <c r="P6" s="143"/>
      <c r="Q6" s="143"/>
    </row>
    <row r="7" spans="4:17" ht="12.75">
      <c r="D7" s="134">
        <f>IF(D8&lt;0,"ERR","")</f>
      </c>
      <c r="E7" s="139" t="s">
        <v>141</v>
      </c>
      <c r="F7" s="144">
        <v>2.5</v>
      </c>
      <c r="G7" s="139" t="s">
        <v>142</v>
      </c>
      <c r="H7" s="145">
        <v>2</v>
      </c>
      <c r="I7" s="134" t="str">
        <f>IF(OR(H7&gt;F7,H7&lt;0),"ERR","m")</f>
        <v>m</v>
      </c>
      <c r="J7" s="134">
        <f>IF(OR(J8&lt;1000,J12&lt;1000),"ERR","")</f>
      </c>
      <c r="P7" s="146">
        <f>M22*H7</f>
        <v>563.2872089173827</v>
      </c>
      <c r="Q7" s="146">
        <f>(M23-M22)*H7/2</f>
        <v>2027.8339521025778</v>
      </c>
    </row>
    <row r="8" spans="3:17" ht="15.75">
      <c r="C8" s="139" t="s">
        <v>1</v>
      </c>
      <c r="D8" s="144">
        <v>3</v>
      </c>
      <c r="E8" s="147"/>
      <c r="F8" s="134">
        <f>IF(OR(F7&gt;D8,F7&lt;0),"ERR","")</f>
      </c>
      <c r="I8" s="148" t="s">
        <v>175</v>
      </c>
      <c r="J8" s="149">
        <v>1800</v>
      </c>
      <c r="K8" s="134" t="s">
        <v>176</v>
      </c>
      <c r="L8" s="141" t="s">
        <v>177</v>
      </c>
      <c r="M8" s="150">
        <f>(TAN((45-J9/2)*PI()/180))^2</f>
        <v>0.3755248059449218</v>
      </c>
      <c r="N8" s="138" t="s">
        <v>143</v>
      </c>
      <c r="P8" s="146">
        <f>M23*(F7-H7)</f>
        <v>1154.7387782806345</v>
      </c>
      <c r="Q8" s="146">
        <f>(M24-M23)*(F7-H7)/2</f>
        <v>243.82872089173827</v>
      </c>
    </row>
    <row r="9" spans="9:17" ht="14.25">
      <c r="I9" s="148" t="s">
        <v>178</v>
      </c>
      <c r="J9" s="149">
        <v>27</v>
      </c>
      <c r="K9" s="134" t="s">
        <v>144</v>
      </c>
      <c r="N9" s="138" t="s">
        <v>145</v>
      </c>
      <c r="P9" s="151"/>
      <c r="Q9" s="151"/>
    </row>
    <row r="10" spans="4:17" ht="12.75">
      <c r="D10" s="134">
        <f>IF(D8=F7,"water table","")</f>
      </c>
      <c r="P10" s="146">
        <f>M24*(D8-F7)</f>
        <v>1642.396220064111</v>
      </c>
      <c r="Q10" s="152">
        <f>(M25-M24)*(D8-F7)/2</f>
        <v>56.32872089173827</v>
      </c>
    </row>
    <row r="11" spans="14:17" ht="12.75">
      <c r="N11" s="139" t="s">
        <v>146</v>
      </c>
      <c r="P11" s="151"/>
      <c r="Q11" s="151"/>
    </row>
    <row r="12" spans="2:17" ht="15.75">
      <c r="B12" s="153" t="s">
        <v>147</v>
      </c>
      <c r="C12" s="149">
        <v>9.89</v>
      </c>
      <c r="D12" s="154" t="s">
        <v>148</v>
      </c>
      <c r="E12" s="139" t="s">
        <v>149</v>
      </c>
      <c r="F12" s="155">
        <f>M26/J16/((J12-1000)*(M13-M12))</f>
        <v>2.2857142857142856</v>
      </c>
      <c r="I12" s="148" t="s">
        <v>179</v>
      </c>
      <c r="J12" s="149">
        <v>1800</v>
      </c>
      <c r="K12" s="134" t="s">
        <v>176</v>
      </c>
      <c r="L12" s="141" t="s">
        <v>177</v>
      </c>
      <c r="M12" s="150">
        <f>(TAN((45-J13/2)*PI()/180))^2</f>
        <v>0.3333333333333333</v>
      </c>
      <c r="P12" s="151"/>
      <c r="Q12" s="146">
        <f>M26*F12/2</f>
        <v>3657.142857142857</v>
      </c>
    </row>
    <row r="13" spans="3:17" ht="15.75">
      <c r="C13" s="156" t="str">
        <f>IF(D14&lt;-99,"&lt; too short &gt;",IF(D14&gt;99,"&gt; too long &lt;","{OK}"))</f>
        <v>{OK}</v>
      </c>
      <c r="I13" s="148" t="s">
        <v>180</v>
      </c>
      <c r="J13" s="149">
        <v>30</v>
      </c>
      <c r="K13" s="134" t="s">
        <v>144</v>
      </c>
      <c r="L13" s="139" t="s">
        <v>181</v>
      </c>
      <c r="M13" s="150">
        <f>1/M12/M14</f>
        <v>1.5</v>
      </c>
      <c r="N13" s="138" t="s">
        <v>150</v>
      </c>
      <c r="P13" s="151"/>
      <c r="Q13" s="151"/>
    </row>
    <row r="14" spans="3:17" ht="15.75">
      <c r="C14" s="157" t="s">
        <v>182</v>
      </c>
      <c r="D14" s="158">
        <f>Q17*(2/3*(C12-F12-D8)+F12+D8)-Q12*(F12/3+D8)-P10*(F7+(D8-F7)/2)-Q10*(F7+2/3*(D8-F7))-P8*(H7+(F7-H7)/2)-Q8*(H7+2/3*(F7-H7))-P7*H7/2-Q7*2/3*H7</f>
        <v>-70.47278937055762</v>
      </c>
      <c r="E14" s="159">
        <v>0</v>
      </c>
      <c r="L14" s="141" t="s">
        <v>183</v>
      </c>
      <c r="M14" s="160">
        <v>2</v>
      </c>
      <c r="N14" s="138" t="s">
        <v>151</v>
      </c>
      <c r="P14" s="151"/>
      <c r="Q14" s="151"/>
    </row>
    <row r="15" spans="9:17" ht="12.75">
      <c r="I15" s="141" t="s">
        <v>152</v>
      </c>
      <c r="J15" s="140">
        <v>0.3</v>
      </c>
      <c r="K15" s="134" t="s">
        <v>148</v>
      </c>
      <c r="P15" s="151"/>
      <c r="Q15" s="151"/>
    </row>
    <row r="16" spans="9:17" ht="12.75">
      <c r="I16" s="141" t="s">
        <v>153</v>
      </c>
      <c r="J16" s="140">
        <v>1.5</v>
      </c>
      <c r="K16" s="134" t="str">
        <f>IF(J16&lt;J15,"Not&lt;Pile Width","m")</f>
        <v>m</v>
      </c>
      <c r="P16" s="151"/>
      <c r="Q16" s="151"/>
    </row>
    <row r="17" spans="9:17" ht="12.75">
      <c r="I17" s="141" t="s">
        <v>154</v>
      </c>
      <c r="J17" s="161">
        <f>IF(J18&lt;=H7,J6*J18-M22*J18^2/2-(M23-M22)/H7*J18^3/6,IF(J18&lt;=F7,J6*J18-P7*(J18-H7/2)-Q7*(J18-2/3*H7)-M23*(J18-H7)^2/2-(M24-M23)/(F7-H7)*(J18-H7)^3/6,IF(J18&lt;=D8,J6*J18-P7*(J18-H7/2)-Q7*(J18-2/3*H7)-P8*(J18-H7/2-F7/2)-Q8*(J18-H7/3-2/3*F7)-M24*(J18-F7)^2/2-(M25-M24)/(D8-F7)*(J18-F7)^3/6,IF(J18&lt;=F12+D8,J6*J18-P7*(J18-H7/2)-Q7*(J18-2/3*H7)-P8*(J18-H7/2-F7/2)-Q8*(J18-H7/3-2/3*F7)-P10*(J18-F7/2-D8/2)-Q10*(J18-F7/3-2/3*D8)-M26*(J18-D8)^2/2+M26/F12/6*(J18-D8)^3,"ERR"))))</f>
        <v>13254.74638750669</v>
      </c>
      <c r="K17" s="134" t="s">
        <v>155</v>
      </c>
      <c r="P17" s="151"/>
      <c r="Q17" s="158">
        <f>M27*(C12-D8-F12)/2</f>
        <v>2967.9225714285712</v>
      </c>
    </row>
    <row r="18" spans="9:17" ht="12.75">
      <c r="I18" s="141" t="s">
        <v>156</v>
      </c>
      <c r="J18" s="162">
        <f>IF(J6&lt;=P7+Q7,(-M22+(M22^2+4*(M23-M22)/2/H7*J6)^0.5)/2/((M23-M22)/2/H7),IF(J6&lt;=P7+Q7+P8+Q8,(-M23+(M23^2-4*(M24-M23)/2/(F7-H7)*(P7+Q7-J6))^0.5)/(2*(M24-M23)/2/(F7-H7))+H7,IF(J6&lt;=P7+Q7+P8+Q8+P10+Q10,F7+(-M24+(M24^2-4*(M25-M24)/2/(D8-F7)*(P7+Q7+P8+Q8-J6))^0.5)/(2*(M25-M24)/2/(D8-F7)),IF(J6&lt;=P7+Q7+P8+Q8+P10+Q10+Q12,D8+(M26-(M26^2-4*M26/2/F12*(J6-P7-Q7-P8-Q8-P10-Q10))^0.5)/(M26/F12),"ERR"))))</f>
        <v>3.226615116719479</v>
      </c>
      <c r="K18" s="138" t="s">
        <v>157</v>
      </c>
      <c r="N18" s="163" t="s">
        <v>138</v>
      </c>
      <c r="P18" s="143"/>
      <c r="Q18" s="159" t="s">
        <v>158</v>
      </c>
    </row>
    <row r="19" spans="13:17" ht="12.75">
      <c r="M19" s="134" t="s">
        <v>159</v>
      </c>
      <c r="P19" s="143"/>
      <c r="Q19" s="143"/>
    </row>
    <row r="20" spans="13:17" ht="12.75">
      <c r="M20" s="164" t="s">
        <v>160</v>
      </c>
      <c r="P20" s="165" t="s">
        <v>161</v>
      </c>
      <c r="Q20" s="143"/>
    </row>
    <row r="22" spans="11:14" ht="12.75">
      <c r="K22" s="141" t="s">
        <v>162</v>
      </c>
      <c r="L22" s="139" t="s">
        <v>163</v>
      </c>
      <c r="M22" s="142">
        <f>J16*M8*J4</f>
        <v>281.64360445869136</v>
      </c>
      <c r="N22" s="134" t="s">
        <v>164</v>
      </c>
    </row>
    <row r="23" spans="12:14" ht="12.75">
      <c r="L23" s="139" t="s">
        <v>165</v>
      </c>
      <c r="M23" s="142">
        <f>J16*M8*J8*H7+M22</f>
        <v>2309.477556561269</v>
      </c>
      <c r="N23" s="134" t="s">
        <v>164</v>
      </c>
    </row>
    <row r="24" spans="12:14" ht="12.75">
      <c r="L24" s="139" t="s">
        <v>166</v>
      </c>
      <c r="M24" s="142">
        <f>M23+(1000*(F7-H7)+M8*(J8-1000)*(F7-H7))*J16</f>
        <v>3284.792440128222</v>
      </c>
      <c r="N24" s="134" t="s">
        <v>164</v>
      </c>
    </row>
    <row r="25" spans="12:14" ht="12.75">
      <c r="L25" s="139" t="s">
        <v>167</v>
      </c>
      <c r="M25" s="142">
        <f>M24+J16*M8*(J8-1000)*(D8-F7)</f>
        <v>3510.107323695175</v>
      </c>
      <c r="N25" s="134" t="s">
        <v>164</v>
      </c>
    </row>
    <row r="26" spans="12:14" ht="12.75">
      <c r="L26" s="139" t="s">
        <v>168</v>
      </c>
      <c r="M26" s="142">
        <f>J16*M12*(J8*D8-1000*(D8-H7)+J4)+1000*(F7-H7)*J16</f>
        <v>3200</v>
      </c>
      <c r="N26" s="134" t="s">
        <v>164</v>
      </c>
    </row>
    <row r="27" spans="12:14" ht="12.75">
      <c r="L27" s="141" t="s">
        <v>169</v>
      </c>
      <c r="M27" s="142">
        <f>J15*((J12-1000)*M13*(C12-D8)-(M26/J16+M12*(J12-1000)*(C12-D8)))</f>
        <v>1289.1999999999998</v>
      </c>
      <c r="N27" s="134" t="s">
        <v>164</v>
      </c>
    </row>
    <row r="29" spans="2:14" ht="12.75">
      <c r="B29" s="166" t="s">
        <v>170</v>
      </c>
      <c r="D29" s="167" t="s">
        <v>171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4:14" ht="12.75">
      <c r="D30" s="167" t="s">
        <v>172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</sheetData>
  <sheetProtection password="C7FC" sheet="1" objects="1" scenarios="1"/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NanoManEra21</dc:creator>
  <cp:keywords/>
  <dc:description/>
  <cp:lastModifiedBy>NanoMan21</cp:lastModifiedBy>
  <cp:lastPrinted>2007-07-10T19:10:17Z</cp:lastPrinted>
  <dcterms:created xsi:type="dcterms:W3CDTF">2007-07-10T14:11:45Z</dcterms:created>
  <dcterms:modified xsi:type="dcterms:W3CDTF">2007-07-12T20:55:33Z</dcterms:modified>
  <cp:category/>
  <cp:version/>
  <cp:contentType/>
  <cp:contentStatus/>
</cp:coreProperties>
</file>