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03" activeTab="0"/>
  </bookViews>
  <sheets>
    <sheet name="BOX SECTION" sheetId="1" r:id="rId1"/>
  </sheets>
  <definedNames>
    <definedName name="_xlnm.Print_Area" localSheetId="0">'BOX SECTION'!$A$1:$J$58</definedName>
    <definedName name="_xlnm.Print_Titles" localSheetId="0">'BOX SECTION'!$1:$4</definedName>
    <definedName name="Z_B381FCE2_D8C1_4124_915B_856606DE7547_.wvu.PrintArea" localSheetId="0" hidden="1">'BOX SECTION'!$A$1:$J$98</definedName>
    <definedName name="Z_B381FCE2_D8C1_4124_915B_856606DE7547_.wvu.PrintTitles" localSheetId="0" hidden="1">'BOX SECTION'!$1:$4</definedName>
  </definedNames>
  <calcPr fullCalcOnLoad="1"/>
</workbook>
</file>

<file path=xl/sharedStrings.xml><?xml version="1.0" encoding="utf-8"?>
<sst xmlns="http://schemas.openxmlformats.org/spreadsheetml/2006/main" count="189" uniqueCount="103">
  <si>
    <t>m</t>
  </si>
  <si>
    <t>N</t>
  </si>
  <si>
    <t>=</t>
  </si>
  <si>
    <t>t</t>
  </si>
  <si>
    <t>mm</t>
  </si>
  <si>
    <t>1)- APPLIED FORCES :-</t>
  </si>
  <si>
    <t>mt</t>
  </si>
  <si>
    <t>cm</t>
  </si>
  <si>
    <t>Y</t>
  </si>
  <si>
    <t>A</t>
  </si>
  <si>
    <t>&lt; 180</t>
  </si>
  <si>
    <t>Applying the interaction equation :</t>
  </si>
  <si>
    <t>a</t>
  </si>
  <si>
    <t>b</t>
  </si>
  <si>
    <r>
      <t>Lu</t>
    </r>
    <r>
      <rPr>
        <vertAlign val="subscript"/>
        <sz val="11"/>
        <rFont val="Times New Roman"/>
        <family val="1"/>
      </rPr>
      <t>max</t>
    </r>
  </si>
  <si>
    <r>
      <t>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</si>
  <si>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3</t>
    </r>
  </si>
  <si>
    <r>
      <t>t/cm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</si>
  <si>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4</t>
    </r>
  </si>
  <si>
    <r>
      <t>f</t>
    </r>
    <r>
      <rPr>
        <vertAlign val="subscript"/>
        <sz val="11"/>
        <rFont val="Times New Roman"/>
        <family val="1"/>
      </rPr>
      <t>ca</t>
    </r>
  </si>
  <si>
    <r>
      <t>L</t>
    </r>
    <r>
      <rPr>
        <vertAlign val="subscript"/>
        <sz val="11"/>
        <rFont val="Times New Roman"/>
        <family val="1"/>
      </rPr>
      <t>bin</t>
    </r>
  </si>
  <si>
    <r>
      <t>L</t>
    </r>
    <r>
      <rPr>
        <vertAlign val="subscript"/>
        <sz val="11"/>
        <rFont val="Times New Roman"/>
        <family val="1"/>
      </rPr>
      <t>bout</t>
    </r>
  </si>
  <si>
    <r>
      <t>l</t>
    </r>
    <r>
      <rPr>
        <vertAlign val="subscript"/>
        <sz val="11"/>
        <rFont val="Times New Roman"/>
        <family val="1"/>
      </rPr>
      <t>max</t>
    </r>
  </si>
  <si>
    <r>
      <t>A</t>
    </r>
    <r>
      <rPr>
        <vertAlign val="subscript"/>
        <sz val="11"/>
        <rFont val="Times New Roman"/>
        <family val="1"/>
      </rPr>
      <t>1</t>
    </r>
  </si>
  <si>
    <t>PROPERTIES OF SECTION :-</t>
  </si>
  <si>
    <t>The sec is</t>
  </si>
  <si>
    <r>
      <t>f</t>
    </r>
    <r>
      <rPr>
        <vertAlign val="subscript"/>
        <sz val="11"/>
        <rFont val="Times New Roman"/>
        <family val="1"/>
      </rPr>
      <t>bcx</t>
    </r>
  </si>
  <si>
    <r>
      <t>F</t>
    </r>
    <r>
      <rPr>
        <vertAlign val="subscript"/>
        <sz val="11"/>
        <rFont val="Times New Roman"/>
        <family val="1"/>
      </rPr>
      <t xml:space="preserve">bcx </t>
    </r>
  </si>
  <si>
    <r>
      <t>F</t>
    </r>
    <r>
      <rPr>
        <vertAlign val="subscript"/>
        <sz val="11"/>
        <rFont val="Times New Roman"/>
        <family val="1"/>
      </rPr>
      <t>c</t>
    </r>
  </si>
  <si>
    <r>
      <t>f</t>
    </r>
    <r>
      <rPr>
        <vertAlign val="subscript"/>
        <sz val="11"/>
        <rFont val="Times New Roman"/>
        <family val="1"/>
      </rPr>
      <t>ca</t>
    </r>
    <r>
      <rPr>
        <sz val="11"/>
        <rFont val="Times New Roman"/>
        <family val="1"/>
      </rPr>
      <t xml:space="preserve"> / F</t>
    </r>
    <r>
      <rPr>
        <vertAlign val="subscript"/>
        <sz val="11"/>
        <rFont val="Times New Roman"/>
        <family val="1"/>
      </rPr>
      <t>c</t>
    </r>
  </si>
  <si>
    <t>2)- CHOISE OF SECTION :-</t>
  </si>
  <si>
    <t>CHECK COMPACTNESS :-</t>
  </si>
  <si>
    <t>4)- CHECK SECTIONS :-</t>
  </si>
  <si>
    <t>Case</t>
  </si>
  <si>
    <t>CHECK NORMAL STRESSES :-</t>
  </si>
  <si>
    <t>Web is</t>
  </si>
  <si>
    <t>Flange is</t>
  </si>
  <si>
    <t>Refrences</t>
  </si>
  <si>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</si>
  <si>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</si>
  <si>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</si>
  <si>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</si>
  <si>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</si>
  <si>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</si>
  <si>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</si>
  <si>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</si>
  <si>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</si>
  <si>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</si>
  <si>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</si>
  <si>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table(2.1a)</t>
  </si>
  <si>
    <t>table(4.1)</t>
  </si>
  <si>
    <t>ECP</t>
  </si>
  <si>
    <t>eqn. 2.35</t>
  </si>
  <si>
    <t>M.Nour</t>
  </si>
  <si>
    <t>X</t>
  </si>
  <si>
    <r>
      <t>f</t>
    </r>
    <r>
      <rPr>
        <vertAlign val="subscript"/>
        <sz val="11"/>
        <rFont val="Times New Roman"/>
        <family val="1"/>
      </rPr>
      <t>bcy</t>
    </r>
  </si>
  <si>
    <r>
      <t>F</t>
    </r>
    <r>
      <rPr>
        <vertAlign val="subscript"/>
        <sz val="11"/>
        <rFont val="Times New Roman"/>
        <family val="1"/>
      </rPr>
      <t xml:space="preserve">bcy </t>
    </r>
  </si>
  <si>
    <r>
      <t>( f</t>
    </r>
    <r>
      <rPr>
        <vertAlign val="subscript"/>
        <sz val="11"/>
        <color indexed="8"/>
        <rFont val="Times New Roman"/>
        <family val="1"/>
      </rPr>
      <t>ca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 xml:space="preserve">c </t>
    </r>
    <r>
      <rPr>
        <sz val="11"/>
        <color indexed="8"/>
        <rFont val="Times New Roman"/>
        <family val="1"/>
      </rPr>
      <t>) + ( f</t>
    </r>
    <r>
      <rPr>
        <vertAlign val="subscript"/>
        <sz val="11"/>
        <color indexed="8"/>
        <rFont val="Times New Roman"/>
        <family val="1"/>
      </rPr>
      <t>bcx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>bcx</t>
    </r>
    <r>
      <rPr>
        <sz val="11"/>
        <color indexed="8"/>
        <rFont val="Times New Roman"/>
        <family val="1"/>
      </rPr>
      <t xml:space="preserve"> ) A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+( f</t>
    </r>
    <r>
      <rPr>
        <vertAlign val="subscript"/>
        <sz val="11"/>
        <color indexed="8"/>
        <rFont val="Times New Roman"/>
        <family val="1"/>
      </rPr>
      <t>bcy</t>
    </r>
    <r>
      <rPr>
        <sz val="11"/>
        <color indexed="8"/>
        <rFont val="Times New Roman"/>
        <family val="1"/>
      </rPr>
      <t xml:space="preserve"> / F</t>
    </r>
    <r>
      <rPr>
        <vertAlign val="subscript"/>
        <sz val="11"/>
        <color indexed="8"/>
        <rFont val="Times New Roman"/>
        <family val="1"/>
      </rPr>
      <t>bcy</t>
    </r>
    <r>
      <rPr>
        <sz val="11"/>
        <color indexed="8"/>
        <rFont val="Times New Roman"/>
        <family val="1"/>
      </rPr>
      <t xml:space="preserve"> ) A</t>
    </r>
    <r>
      <rPr>
        <vertAlign val="sub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 xml:space="preserve">  =</t>
    </r>
  </si>
  <si>
    <t>h</t>
  </si>
  <si>
    <t>epsi</t>
  </si>
  <si>
    <r>
      <t>L</t>
    </r>
    <r>
      <rPr>
        <vertAlign val="subscript"/>
        <sz val="11"/>
        <rFont val="Times New Roman"/>
        <family val="1"/>
      </rPr>
      <t>uact</t>
    </r>
  </si>
  <si>
    <t>CHECKING AND PACKING HALL</t>
  </si>
  <si>
    <r>
      <t>M</t>
    </r>
    <r>
      <rPr>
        <vertAlign val="subscript"/>
        <sz val="11"/>
        <rFont val="Times New Roman"/>
        <family val="1"/>
      </rPr>
      <t>x</t>
    </r>
  </si>
  <si>
    <r>
      <t>M</t>
    </r>
    <r>
      <rPr>
        <vertAlign val="subscript"/>
        <sz val="11"/>
        <rFont val="Times New Roman"/>
        <family val="1"/>
      </rPr>
      <t>y</t>
    </r>
  </si>
  <si>
    <r>
      <t>A</t>
    </r>
    <r>
      <rPr>
        <vertAlign val="subscript"/>
        <sz val="11"/>
        <rFont val="Times New Roman"/>
        <family val="1"/>
      </rPr>
      <t>2</t>
    </r>
  </si>
  <si>
    <t>Box Sec.</t>
  </si>
  <si>
    <r>
      <t>I</t>
    </r>
    <r>
      <rPr>
        <vertAlign val="subscript"/>
        <sz val="11"/>
        <rFont val="Times New Roman"/>
        <family val="1"/>
      </rPr>
      <t>x</t>
    </r>
  </si>
  <si>
    <r>
      <t>I</t>
    </r>
    <r>
      <rPr>
        <vertAlign val="subscript"/>
        <sz val="11"/>
        <rFont val="Times New Roman"/>
        <family val="1"/>
      </rPr>
      <t>y</t>
    </r>
  </si>
  <si>
    <r>
      <t>S</t>
    </r>
    <r>
      <rPr>
        <vertAlign val="subscript"/>
        <sz val="11"/>
        <rFont val="Times New Roman"/>
        <family val="1"/>
      </rPr>
      <t>x</t>
    </r>
  </si>
  <si>
    <r>
      <t>S</t>
    </r>
    <r>
      <rPr>
        <vertAlign val="subscript"/>
        <sz val="11"/>
        <rFont val="Times New Roman"/>
        <family val="1"/>
      </rPr>
      <t>y</t>
    </r>
  </si>
  <si>
    <r>
      <t>r</t>
    </r>
    <r>
      <rPr>
        <vertAlign val="subscript"/>
        <sz val="11"/>
        <rFont val="Times New Roman"/>
        <family val="1"/>
      </rPr>
      <t>x</t>
    </r>
  </si>
  <si>
    <r>
      <t>r</t>
    </r>
    <r>
      <rPr>
        <vertAlign val="subscript"/>
        <sz val="11"/>
        <rFont val="Times New Roman"/>
        <family val="1"/>
      </rPr>
      <t>y</t>
    </r>
  </si>
  <si>
    <r>
      <t>d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/t</t>
    </r>
  </si>
  <si>
    <r>
      <t>b/t</t>
    </r>
    <r>
      <rPr>
        <vertAlign val="subscript"/>
        <sz val="11"/>
        <rFont val="Times New Roman"/>
        <family val="1"/>
      </rPr>
      <t>f</t>
    </r>
  </si>
  <si>
    <t>table(2.1b)</t>
  </si>
  <si>
    <r>
      <t>l</t>
    </r>
    <r>
      <rPr>
        <vertAlign val="subscript"/>
        <sz val="11"/>
        <rFont val="Times New Roman"/>
        <family val="1"/>
      </rPr>
      <t>x</t>
    </r>
  </si>
  <si>
    <r>
      <t>l</t>
    </r>
    <r>
      <rPr>
        <vertAlign val="subscript"/>
        <sz val="11"/>
        <rFont val="Times New Roman"/>
        <family val="1"/>
      </rPr>
      <t>y</t>
    </r>
  </si>
  <si>
    <t>alpha</t>
  </si>
  <si>
    <t>b-2t</t>
  </si>
  <si>
    <t>h-2t</t>
  </si>
  <si>
    <r>
      <t>( 84.b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 Fy )  =</t>
    </r>
  </si>
  <si>
    <r>
      <t>( 137+84.( M1/M2 )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)bf / ( fy )    =</t>
    </r>
  </si>
  <si>
    <t>Steel grade</t>
  </si>
  <si>
    <t>St.37</t>
  </si>
  <si>
    <t>St.44</t>
  </si>
  <si>
    <t>St.52</t>
  </si>
  <si>
    <r>
      <t>F</t>
    </r>
    <r>
      <rPr>
        <vertAlign val="subscript"/>
        <sz val="11"/>
        <rFont val="Times New Roman"/>
        <family val="1"/>
      </rPr>
      <t>y</t>
    </r>
  </si>
  <si>
    <r>
      <t>F</t>
    </r>
    <r>
      <rPr>
        <vertAlign val="subscript"/>
        <sz val="11"/>
        <rFont val="Times New Roman"/>
        <family val="1"/>
      </rPr>
      <t>u</t>
    </r>
  </si>
  <si>
    <t>Fltb1</t>
  </si>
  <si>
    <t>If</t>
  </si>
  <si>
    <t>Af</t>
  </si>
  <si>
    <t>Rt</t>
  </si>
  <si>
    <t>Lu/Rt</t>
  </si>
  <si>
    <t>F1</t>
  </si>
  <si>
    <t>F2</t>
  </si>
  <si>
    <t>F3</t>
  </si>
  <si>
    <t>Fltb2</t>
  </si>
  <si>
    <t>F</t>
  </si>
  <si>
    <t>Fltb</t>
  </si>
  <si>
    <t>Fsec</t>
  </si>
  <si>
    <r>
      <t>C</t>
    </r>
    <r>
      <rPr>
        <vertAlign val="subscript"/>
        <sz val="11"/>
        <rFont val="Times New Roman"/>
        <family val="1"/>
      </rPr>
      <t>b</t>
    </r>
  </si>
  <si>
    <t>BOX SEC. ID :-</t>
  </si>
  <si>
    <t>( HRS-1 )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</si>
</sst>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i/>
      <u val="single"/>
      <sz val="11"/>
      <name val="Times New Roman"/>
      <family val="1"/>
    </font>
    <font>
      <sz val="11"/>
      <name val="Greek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double"/>
      <sz val="10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5" fillId="1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1">
    <xf numFmtId="201" fontId="0" fillId="0" borderId="0" xfId="0" applyAlignment="1">
      <alignment/>
    </xf>
    <xf numFmtId="201" fontId="9" fillId="0" borderId="0" xfId="0" applyFont="1" applyAlignment="1">
      <alignment/>
    </xf>
    <xf numFmtId="201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201" fontId="0" fillId="0" borderId="0" xfId="0" applyAlignment="1">
      <alignment horizontal="center"/>
    </xf>
    <xf numFmtId="201" fontId="5" fillId="0" borderId="0" xfId="0" applyFont="1" applyBorder="1" applyAlignment="1">
      <alignment horizontal="center"/>
    </xf>
    <xf numFmtId="204" fontId="9" fillId="0" borderId="0" xfId="0" applyNumberFormat="1" applyFont="1" applyBorder="1" applyAlignment="1">
      <alignment horizontal="center"/>
    </xf>
    <xf numFmtId="201" fontId="38" fillId="0" borderId="10" xfId="0" applyFont="1" applyFill="1" applyBorder="1" applyAlignment="1" applyProtection="1">
      <alignment horizontal="left" vertical="center"/>
      <protection hidden="1"/>
    </xf>
    <xf numFmtId="201" fontId="39" fillId="0" borderId="11" xfId="0" applyFont="1" applyFill="1" applyBorder="1" applyAlignment="1" applyProtection="1">
      <alignment horizontal="left"/>
      <protection hidden="1"/>
    </xf>
    <xf numFmtId="201" fontId="40" fillId="0" borderId="12" xfId="0" applyFont="1" applyFill="1" applyBorder="1" applyAlignment="1" applyProtection="1">
      <alignment horizontal="left"/>
      <protection hidden="1"/>
    </xf>
    <xf numFmtId="201" fontId="41" fillId="0" borderId="12" xfId="0" applyFont="1" applyFill="1" applyBorder="1" applyAlignment="1" applyProtection="1">
      <alignment horizontal="left"/>
      <protection hidden="1"/>
    </xf>
    <xf numFmtId="201" fontId="41" fillId="0" borderId="13" xfId="0" applyFont="1" applyFill="1" applyBorder="1" applyAlignment="1" applyProtection="1">
      <alignment horizontal="left"/>
      <protection hidden="1"/>
    </xf>
    <xf numFmtId="201" fontId="0" fillId="0" borderId="14" xfId="0" applyFont="1" applyFill="1" applyBorder="1" applyAlignment="1" applyProtection="1">
      <alignment horizontal="center" vertical="center"/>
      <protection hidden="1"/>
    </xf>
    <xf numFmtId="201" fontId="0" fillId="0" borderId="15" xfId="0" applyFont="1" applyFill="1" applyBorder="1" applyAlignment="1" applyProtection="1">
      <alignment horizontal="center" vertical="center"/>
      <protection hidden="1"/>
    </xf>
    <xf numFmtId="201" fontId="9" fillId="0" borderId="15" xfId="0" applyFont="1" applyBorder="1" applyAlignment="1" applyProtection="1">
      <alignment horizontal="center" vertical="center"/>
      <protection locked="0"/>
    </xf>
    <xf numFmtId="201" fontId="0" fillId="0" borderId="16" xfId="0" applyBorder="1" applyAlignment="1" applyProtection="1">
      <alignment/>
      <protection locked="0"/>
    </xf>
    <xf numFmtId="201" fontId="9" fillId="0" borderId="17" xfId="0" applyFont="1" applyBorder="1" applyAlignment="1" applyProtection="1">
      <alignment horizontal="center" vertical="center"/>
      <protection locked="0"/>
    </xf>
    <xf numFmtId="201" fontId="0" fillId="0" borderId="18" xfId="0" applyBorder="1" applyAlignment="1" applyProtection="1">
      <alignment/>
      <protection locked="0"/>
    </xf>
    <xf numFmtId="201" fontId="0" fillId="0" borderId="19" xfId="0" applyBorder="1" applyAlignment="1" applyProtection="1">
      <alignment/>
      <protection locked="0"/>
    </xf>
    <xf numFmtId="201" fontId="0" fillId="0" borderId="20" xfId="0" applyFont="1" applyFill="1" applyBorder="1" applyAlignment="1" applyProtection="1">
      <alignment horizontal="left" vertical="center"/>
      <protection locked="0"/>
    </xf>
    <xf numFmtId="201" fontId="0" fillId="0" borderId="21" xfId="0" applyBorder="1" applyAlignment="1" applyProtection="1">
      <alignment/>
      <protection hidden="1"/>
    </xf>
    <xf numFmtId="201" fontId="0" fillId="0" borderId="0" xfId="0" applyBorder="1" applyAlignment="1" applyProtection="1">
      <alignment/>
      <protection hidden="1"/>
    </xf>
    <xf numFmtId="201" fontId="5" fillId="0" borderId="14" xfId="0" applyFont="1" applyBorder="1" applyAlignment="1" applyProtection="1">
      <alignment horizontal="center" vertical="center"/>
      <protection hidden="1"/>
    </xf>
    <xf numFmtId="201" fontId="5" fillId="0" borderId="22" xfId="0" applyFont="1" applyBorder="1" applyAlignment="1" applyProtection="1">
      <alignment horizontal="center" vertical="center"/>
      <protection hidden="1"/>
    </xf>
    <xf numFmtId="201" fontId="44" fillId="0" borderId="22" xfId="0" applyFont="1" applyBorder="1" applyAlignment="1" applyProtection="1">
      <alignment horizontal="center" vertical="center"/>
      <protection hidden="1"/>
    </xf>
    <xf numFmtId="201" fontId="5" fillId="0" borderId="23" xfId="0" applyFont="1" applyBorder="1" applyAlignment="1" applyProtection="1">
      <alignment horizontal="center" vertical="center"/>
      <protection hidden="1"/>
    </xf>
    <xf numFmtId="201" fontId="0" fillId="0" borderId="24" xfId="0" applyBorder="1" applyAlignment="1" applyProtection="1">
      <alignment/>
      <protection hidden="1"/>
    </xf>
    <xf numFmtId="201" fontId="5" fillId="0" borderId="0" xfId="0" applyFont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/>
      <protection hidden="1"/>
    </xf>
    <xf numFmtId="201" fontId="4" fillId="0" borderId="0" xfId="0" applyFont="1" applyBorder="1" applyAlignment="1" applyProtection="1">
      <alignment/>
      <protection hidden="1"/>
    </xf>
    <xf numFmtId="201" fontId="9" fillId="0" borderId="0" xfId="0" applyFont="1" applyBorder="1" applyAlignment="1" applyProtection="1">
      <alignment/>
      <protection hidden="1"/>
    </xf>
    <xf numFmtId="201" fontId="9" fillId="0" borderId="0" xfId="0" applyFont="1" applyBorder="1" applyAlignment="1" applyProtection="1">
      <alignment/>
      <protection hidden="1"/>
    </xf>
    <xf numFmtId="201" fontId="9" fillId="0" borderId="0" xfId="0" applyFont="1" applyBorder="1" applyAlignment="1" applyProtection="1">
      <alignment horizontal="center"/>
      <protection hidden="1"/>
    </xf>
    <xf numFmtId="2" fontId="10" fillId="0" borderId="0" xfId="0" applyNumberFormat="1" applyFont="1" applyBorder="1" applyAlignment="1" applyProtection="1">
      <alignment horizontal="center"/>
      <protection hidden="1"/>
    </xf>
    <xf numFmtId="201" fontId="10" fillId="0" borderId="0" xfId="0" applyFont="1" applyBorder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 horizontal="left"/>
      <protection hidden="1"/>
    </xf>
    <xf numFmtId="201" fontId="8" fillId="0" borderId="0" xfId="0" applyFont="1" applyBorder="1" applyAlignment="1" applyProtection="1">
      <alignment/>
      <protection hidden="1"/>
    </xf>
    <xf numFmtId="201" fontId="9" fillId="0" borderId="0" xfId="0" applyFont="1" applyBorder="1" applyAlignment="1" applyProtection="1">
      <alignment horizontal="center"/>
      <protection hidden="1"/>
    </xf>
    <xf numFmtId="201" fontId="14" fillId="0" borderId="0" xfId="0" applyFont="1" applyBorder="1" applyAlignment="1" applyProtection="1">
      <alignment horizontal="left"/>
      <protection hidden="1"/>
    </xf>
    <xf numFmtId="201" fontId="14" fillId="0" borderId="0" xfId="0" applyFont="1" applyBorder="1" applyAlignment="1" applyProtection="1" quotePrefix="1">
      <alignment horizontal="center"/>
      <protection hidden="1"/>
    </xf>
    <xf numFmtId="201" fontId="14" fillId="0" borderId="0" xfId="0" applyFont="1" applyBorder="1" applyAlignment="1" applyProtection="1">
      <alignment horizontal="left"/>
      <protection hidden="1"/>
    </xf>
    <xf numFmtId="201" fontId="12" fillId="0" borderId="0" xfId="0" applyFont="1" applyBorder="1" applyAlignment="1" applyProtection="1">
      <alignment horizontal="left"/>
      <protection hidden="1"/>
    </xf>
    <xf numFmtId="201" fontId="18" fillId="0" borderId="0" xfId="0" applyFont="1" applyBorder="1" applyAlignment="1" applyProtection="1">
      <alignment horizontal="center"/>
      <protection hidden="1"/>
    </xf>
    <xf numFmtId="201" fontId="14" fillId="0" borderId="0" xfId="0" applyFont="1" applyBorder="1" applyAlignment="1" applyProtection="1">
      <alignment/>
      <protection hidden="1"/>
    </xf>
    <xf numFmtId="201" fontId="6" fillId="0" borderId="0" xfId="0" applyFont="1" applyBorder="1" applyAlignment="1" applyProtection="1">
      <alignment/>
      <protection hidden="1"/>
    </xf>
    <xf numFmtId="201" fontId="9" fillId="0" borderId="0" xfId="0" applyNumberFormat="1" applyFont="1" applyBorder="1" applyAlignment="1" applyProtection="1">
      <alignment horizontal="center"/>
      <protection hidden="1"/>
    </xf>
    <xf numFmtId="201" fontId="0" fillId="0" borderId="0" xfId="0" applyBorder="1" applyAlignment="1" applyProtection="1">
      <alignment horizontal="center"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" fontId="15" fillId="0" borderId="0" xfId="0" applyNumberFormat="1" applyFont="1" applyBorder="1" applyAlignment="1" applyProtection="1">
      <alignment horizontal="center"/>
      <protection hidden="1"/>
    </xf>
    <xf numFmtId="201" fontId="10" fillId="0" borderId="0" xfId="0" applyFont="1" applyBorder="1" applyAlignment="1" applyProtection="1">
      <alignment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 horizontal="right"/>
      <protection hidden="1"/>
    </xf>
    <xf numFmtId="201" fontId="9" fillId="0" borderId="0" xfId="0" applyFont="1" applyAlignment="1" applyProtection="1">
      <alignment/>
      <protection hidden="1"/>
    </xf>
    <xf numFmtId="201" fontId="9" fillId="0" borderId="0" xfId="0" applyFont="1" applyAlignment="1" applyProtection="1" quotePrefix="1">
      <alignment horizontal="center"/>
      <protection hidden="1"/>
    </xf>
    <xf numFmtId="201" fontId="9" fillId="0" borderId="0" xfId="0" applyFont="1" applyAlignment="1" applyProtection="1">
      <alignment horizontal="center"/>
      <protection hidden="1"/>
    </xf>
    <xf numFmtId="201" fontId="9" fillId="0" borderId="0" xfId="0" applyFont="1" applyAlignment="1" applyProtection="1" quotePrefix="1">
      <alignment/>
      <protection hidden="1"/>
    </xf>
    <xf numFmtId="201" fontId="0" fillId="0" borderId="0" xfId="0" applyAlignment="1" applyProtection="1">
      <alignment/>
      <protection hidden="1"/>
    </xf>
    <xf numFmtId="201" fontId="0" fillId="0" borderId="0" xfId="0" applyAlignment="1" applyProtection="1">
      <alignment horizontal="center"/>
      <protection hidden="1"/>
    </xf>
    <xf numFmtId="2" fontId="8" fillId="0" borderId="0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10" fillId="0" borderId="0" xfId="0" applyNumberFormat="1" applyFont="1" applyBorder="1" applyAlignment="1" applyProtection="1">
      <alignment horizontal="center"/>
      <protection hidden="1"/>
    </xf>
    <xf numFmtId="1" fontId="8" fillId="0" borderId="0" xfId="0" applyNumberFormat="1" applyFont="1" applyBorder="1" applyAlignment="1" applyProtection="1">
      <alignment horizontal="center"/>
      <protection hidden="1"/>
    </xf>
    <xf numFmtId="204" fontId="9" fillId="0" borderId="0" xfId="0" applyNumberFormat="1" applyFont="1" applyBorder="1" applyAlignment="1" applyProtection="1">
      <alignment horizontal="center"/>
      <protection hidden="1"/>
    </xf>
    <xf numFmtId="201" fontId="16" fillId="0" borderId="0" xfId="0" applyFont="1" applyBorder="1" applyAlignment="1" applyProtection="1">
      <alignment horizontal="left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 horizontal="center" vertical="center"/>
      <protection hidden="1"/>
    </xf>
    <xf numFmtId="201" fontId="9" fillId="0" borderId="12" xfId="0" applyFont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201" fontId="0" fillId="0" borderId="0" xfId="0" applyBorder="1" applyAlignment="1">
      <alignment/>
    </xf>
    <xf numFmtId="201" fontId="4" fillId="0" borderId="0" xfId="0" applyFont="1" applyBorder="1" applyAlignment="1" applyProtection="1">
      <alignment horizontal="left"/>
      <protection hidden="1"/>
    </xf>
    <xf numFmtId="49" fontId="4" fillId="0" borderId="0" xfId="0" applyNumberFormat="1" applyFont="1" applyBorder="1" applyAlignment="1" applyProtection="1">
      <alignment horizontal="left"/>
      <protection hidden="1"/>
    </xf>
    <xf numFmtId="201" fontId="42" fillId="0" borderId="0" xfId="0" applyFont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left"/>
      <protection hidden="1"/>
    </xf>
    <xf numFmtId="201" fontId="0" fillId="0" borderId="10" xfId="0" applyBorder="1" applyAlignment="1" applyProtection="1">
      <alignment/>
      <protection locked="0"/>
    </xf>
    <xf numFmtId="201" fontId="0" fillId="0" borderId="25" xfId="0" applyBorder="1" applyAlignment="1" applyProtection="1">
      <alignment/>
      <protection locked="0"/>
    </xf>
    <xf numFmtId="201" fontId="0" fillId="0" borderId="26" xfId="0" applyBorder="1" applyAlignment="1" applyProtection="1">
      <alignment/>
      <protection locked="0"/>
    </xf>
    <xf numFmtId="201" fontId="4" fillId="0" borderId="12" xfId="0" applyFont="1" applyBorder="1" applyAlignment="1" applyProtection="1">
      <alignment vertical="center"/>
      <protection hidden="1"/>
    </xf>
    <xf numFmtId="201" fontId="5" fillId="0" borderId="0" xfId="0" applyFont="1" applyBorder="1" applyAlignment="1" applyProtection="1">
      <alignment horizontal="center" vertical="center"/>
      <protection locked="0"/>
    </xf>
    <xf numFmtId="201" fontId="5" fillId="0" borderId="0" xfId="0" applyFont="1" applyBorder="1" applyAlignment="1" applyProtection="1">
      <alignment vertical="center"/>
      <protection hidden="1"/>
    </xf>
    <xf numFmtId="201" fontId="0" fillId="0" borderId="0" xfId="0" applyFont="1" applyBorder="1" applyAlignment="1" applyProtection="1">
      <alignment vertical="center"/>
      <protection hidden="1"/>
    </xf>
    <xf numFmtId="201" fontId="4" fillId="0" borderId="0" xfId="0" applyFont="1" applyBorder="1" applyAlignment="1" applyProtection="1">
      <alignment vertical="center"/>
      <protection hidden="1"/>
    </xf>
    <xf numFmtId="201" fontId="17" fillId="0" borderId="0" xfId="0" applyFont="1" applyBorder="1" applyAlignment="1" applyProtection="1">
      <alignment horizontal="right" vertical="center"/>
      <protection hidden="1"/>
    </xf>
    <xf numFmtId="201" fontId="7" fillId="0" borderId="0" xfId="0" applyFont="1" applyBorder="1" applyAlignment="1" applyProtection="1">
      <alignment vertical="center"/>
      <protection hidden="1"/>
    </xf>
    <xf numFmtId="201" fontId="9" fillId="0" borderId="12" xfId="0" applyFont="1" applyBorder="1" applyAlignment="1" applyProtection="1">
      <alignment vertical="center"/>
      <protection hidden="1"/>
    </xf>
    <xf numFmtId="201" fontId="9" fillId="0" borderId="0" xfId="0" applyFont="1" applyBorder="1" applyAlignment="1" applyProtection="1">
      <alignment vertical="center"/>
      <protection hidden="1"/>
    </xf>
    <xf numFmtId="201" fontId="10" fillId="0" borderId="0" xfId="0" applyFont="1" applyBorder="1" applyAlignment="1" applyProtection="1">
      <alignment vertical="center"/>
      <protection locked="0"/>
    </xf>
    <xf numFmtId="201" fontId="12" fillId="0" borderId="25" xfId="0" applyFont="1" applyBorder="1" applyAlignment="1" applyProtection="1">
      <alignment horizontal="center" vertical="center"/>
      <protection hidden="1"/>
    </xf>
    <xf numFmtId="201" fontId="12" fillId="0" borderId="0" xfId="0" applyFont="1" applyBorder="1" applyAlignment="1" applyProtection="1">
      <alignment vertical="center"/>
      <protection hidden="1"/>
    </xf>
    <xf numFmtId="201" fontId="4" fillId="0" borderId="0" xfId="0" applyFont="1" applyBorder="1" applyAlignment="1" applyProtection="1">
      <alignment horizontal="center" vertical="center"/>
      <protection hidden="1"/>
    </xf>
    <xf numFmtId="201" fontId="9" fillId="0" borderId="0" xfId="0" applyFont="1" applyBorder="1" applyAlignment="1" applyProtection="1">
      <alignment horizontal="right" vertical="center"/>
      <protection hidden="1"/>
    </xf>
    <xf numFmtId="201" fontId="9" fillId="0" borderId="25" xfId="0" applyFont="1" applyBorder="1" applyAlignment="1" applyProtection="1">
      <alignment vertical="center"/>
      <protection hidden="1"/>
    </xf>
    <xf numFmtId="2" fontId="10" fillId="0" borderId="0" xfId="0" applyNumberFormat="1" applyFont="1" applyBorder="1" applyAlignment="1" applyProtection="1">
      <alignment horizontal="center" vertical="center"/>
      <protection locked="0"/>
    </xf>
    <xf numFmtId="201" fontId="10" fillId="0" borderId="0" xfId="0" applyFont="1" applyBorder="1" applyAlignment="1" applyProtection="1">
      <alignment horizontal="center" vertical="center"/>
      <protection locked="0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201" fontId="9" fillId="0" borderId="27" xfId="0" applyFont="1" applyBorder="1" applyAlignment="1" applyProtection="1">
      <alignment horizontal="left" vertical="center"/>
      <protection hidden="1"/>
    </xf>
    <xf numFmtId="201" fontId="4" fillId="0" borderId="12" xfId="0" applyFont="1" applyBorder="1" applyAlignment="1" applyProtection="1">
      <alignment horizontal="left" vertical="center"/>
      <protection hidden="1"/>
    </xf>
    <xf numFmtId="201" fontId="9" fillId="0" borderId="12" xfId="0" applyFont="1" applyBorder="1" applyAlignment="1" applyProtection="1">
      <alignment horizontal="right" vertical="center"/>
      <protection hidden="1"/>
    </xf>
    <xf numFmtId="201" fontId="21" fillId="0" borderId="0" xfId="0" applyFont="1" applyBorder="1" applyAlignment="1" applyProtection="1">
      <alignment horizontal="center" vertical="center"/>
      <protection hidden="1"/>
    </xf>
    <xf numFmtId="201" fontId="9" fillId="0" borderId="0" xfId="0" applyFont="1" applyFill="1" applyBorder="1" applyAlignment="1" applyProtection="1">
      <alignment horizontal="right" vertical="center"/>
      <protection hidden="1"/>
    </xf>
    <xf numFmtId="201" fontId="0" fillId="0" borderId="0" xfId="0" applyFill="1" applyAlignment="1" applyProtection="1">
      <alignment vertical="center"/>
      <protection hidden="1"/>
    </xf>
    <xf numFmtId="1" fontId="9" fillId="0" borderId="0" xfId="0" applyNumberFormat="1" applyFont="1" applyFill="1" applyBorder="1" applyAlignment="1" applyProtection="1">
      <alignment horizontal="right" vertical="center"/>
      <protection hidden="1"/>
    </xf>
    <xf numFmtId="201" fontId="9" fillId="0" borderId="0" xfId="0" applyFont="1" applyFill="1" applyBorder="1" applyAlignment="1" applyProtection="1">
      <alignment horizontal="center" vertical="center"/>
      <protection hidden="1"/>
    </xf>
    <xf numFmtId="1" fontId="9" fillId="0" borderId="0" xfId="0" applyNumberFormat="1" applyFont="1" applyFill="1" applyBorder="1" applyAlignment="1" applyProtection="1">
      <alignment horizontal="left" vertical="center"/>
      <protection hidden="1"/>
    </xf>
    <xf numFmtId="201" fontId="9" fillId="18" borderId="12" xfId="0" applyFont="1" applyFill="1" applyBorder="1" applyAlignment="1" applyProtection="1">
      <alignment horizontal="right" vertical="center"/>
      <protection hidden="1"/>
    </xf>
    <xf numFmtId="1" fontId="9" fillId="18" borderId="0" xfId="0" applyNumberFormat="1" applyFont="1" applyFill="1" applyBorder="1" applyAlignment="1" applyProtection="1">
      <alignment vertical="center"/>
      <protection hidden="1"/>
    </xf>
    <xf numFmtId="201" fontId="9" fillId="18" borderId="0" xfId="0" applyFont="1" applyFill="1" applyBorder="1" applyAlignment="1" applyProtection="1">
      <alignment horizontal="center" vertical="center"/>
      <protection hidden="1"/>
    </xf>
    <xf numFmtId="1" fontId="9" fillId="18" borderId="0" xfId="0" applyNumberFormat="1" applyFont="1" applyFill="1" applyBorder="1" applyAlignment="1" applyProtection="1">
      <alignment horizontal="center" vertical="center"/>
      <protection hidden="1"/>
    </xf>
    <xf numFmtId="1" fontId="9" fillId="18" borderId="0" xfId="0" applyNumberFormat="1" applyFont="1" applyFill="1" applyBorder="1" applyAlignment="1" applyProtection="1">
      <alignment horizontal="left" vertical="center"/>
      <protection hidden="1"/>
    </xf>
    <xf numFmtId="201" fontId="10" fillId="0" borderId="0" xfId="0" applyFont="1" applyBorder="1" applyAlignment="1" applyProtection="1">
      <alignment vertical="center"/>
      <protection hidden="1"/>
    </xf>
    <xf numFmtId="2" fontId="10" fillId="0" borderId="0" xfId="0" applyNumberFormat="1" applyFont="1" applyBorder="1" applyAlignment="1" applyProtection="1">
      <alignment horizontal="center" vertical="center"/>
      <protection hidden="1"/>
    </xf>
    <xf numFmtId="201" fontId="0" fillId="0" borderId="0" xfId="0" applyBorder="1" applyAlignment="1" applyProtection="1">
      <alignment vertical="center"/>
      <protection hidden="1"/>
    </xf>
    <xf numFmtId="201" fontId="0" fillId="0" borderId="25" xfId="0" applyBorder="1" applyAlignment="1" applyProtection="1">
      <alignment vertical="center"/>
      <protection hidden="1"/>
    </xf>
    <xf numFmtId="201" fontId="8" fillId="0" borderId="0" xfId="0" applyFont="1" applyBorder="1" applyAlignment="1" applyProtection="1">
      <alignment vertical="center"/>
      <protection hidden="1"/>
    </xf>
    <xf numFmtId="201" fontId="8" fillId="0" borderId="25" xfId="0" applyFont="1" applyBorder="1" applyAlignment="1" applyProtection="1">
      <alignment vertical="center"/>
      <protection hidden="1"/>
    </xf>
    <xf numFmtId="201" fontId="9" fillId="0" borderId="12" xfId="0" applyFont="1" applyBorder="1" applyAlignment="1" applyProtection="1">
      <alignment horizontal="center" vertical="center"/>
      <protection hidden="1"/>
    </xf>
    <xf numFmtId="201" fontId="9" fillId="0" borderId="0" xfId="0" applyFont="1" applyBorder="1" applyAlignment="1" applyProtection="1">
      <alignment horizontal="center" vertical="center"/>
      <protection hidden="1"/>
    </xf>
    <xf numFmtId="201" fontId="5" fillId="0" borderId="0" xfId="0" applyFont="1" applyBorder="1" applyAlignment="1" applyProtection="1">
      <alignment horizontal="center" vertical="center"/>
      <protection hidden="1"/>
    </xf>
    <xf numFmtId="201" fontId="46" fillId="0" borderId="0" xfId="0" applyFont="1" applyBorder="1" applyAlignment="1" applyProtection="1">
      <alignment horizontal="left" vertical="center"/>
      <protection hidden="1"/>
    </xf>
    <xf numFmtId="201" fontId="42" fillId="0" borderId="25" xfId="0" applyFont="1" applyBorder="1" applyAlignment="1" applyProtection="1">
      <alignment horizontal="center" vertical="center"/>
      <protection hidden="1"/>
    </xf>
    <xf numFmtId="201" fontId="5" fillId="0" borderId="12" xfId="0" applyFont="1" applyBorder="1" applyAlignment="1" applyProtection="1">
      <alignment horizontal="center" vertical="center"/>
      <protection hidden="1"/>
    </xf>
    <xf numFmtId="201" fontId="46" fillId="0" borderId="0" xfId="0" applyFont="1" applyBorder="1" applyAlignment="1" applyProtection="1" quotePrefix="1">
      <alignment horizontal="center" vertical="center"/>
      <protection hidden="1"/>
    </xf>
    <xf numFmtId="201" fontId="0" fillId="0" borderId="0" xfId="0" applyFont="1" applyAlignment="1" applyProtection="1">
      <alignment vertical="center"/>
      <protection hidden="1"/>
    </xf>
    <xf numFmtId="201" fontId="14" fillId="0" borderId="0" xfId="0" applyFont="1" applyBorder="1" applyAlignment="1" applyProtection="1" quotePrefix="1">
      <alignment horizontal="center" vertical="center"/>
      <protection hidden="1"/>
    </xf>
    <xf numFmtId="2" fontId="10" fillId="0" borderId="0" xfId="0" applyNumberFormat="1" applyFont="1" applyBorder="1" applyAlignment="1" applyProtection="1">
      <alignment horizontal="center" vertical="center"/>
      <protection locked="0"/>
    </xf>
    <xf numFmtId="201" fontId="10" fillId="0" borderId="0" xfId="0" applyFont="1" applyBorder="1" applyAlignment="1" applyProtection="1">
      <alignment horizontal="center" vertical="center"/>
      <protection hidden="1"/>
    </xf>
    <xf numFmtId="201" fontId="0" fillId="0" borderId="0" xfId="0" applyAlignment="1" applyProtection="1">
      <alignment vertical="center"/>
      <protection hidden="1"/>
    </xf>
    <xf numFmtId="201" fontId="14" fillId="0" borderId="0" xfId="0" applyFont="1" applyBorder="1" applyAlignment="1" applyProtection="1">
      <alignment horizontal="left" vertical="center"/>
      <protection hidden="1"/>
    </xf>
    <xf numFmtId="201" fontId="9" fillId="0" borderId="0" xfId="0" applyFont="1" applyBorder="1" applyAlignment="1" applyProtection="1">
      <alignment horizontal="left" vertical="center"/>
      <protection hidden="1"/>
    </xf>
    <xf numFmtId="201" fontId="12" fillId="0" borderId="0" xfId="0" applyFont="1" applyBorder="1" applyAlignment="1" applyProtection="1">
      <alignment horizontal="left" vertical="center"/>
      <protection hidden="1"/>
    </xf>
    <xf numFmtId="201" fontId="18" fillId="0" borderId="12" xfId="0" applyFont="1" applyBorder="1" applyAlignment="1" applyProtection="1">
      <alignment horizontal="center" vertical="center"/>
      <protection hidden="1"/>
    </xf>
    <xf numFmtId="201" fontId="0" fillId="0" borderId="12" xfId="0" applyBorder="1" applyAlignment="1" applyProtection="1">
      <alignment vertical="center"/>
      <protection hidden="1"/>
    </xf>
    <xf numFmtId="201" fontId="18" fillId="0" borderId="0" xfId="0" applyFont="1" applyBorder="1" applyAlignment="1" applyProtection="1">
      <alignment horizontal="center" vertical="center"/>
      <protection hidden="1"/>
    </xf>
    <xf numFmtId="201" fontId="46" fillId="0" borderId="0" xfId="0" applyFont="1" applyBorder="1" applyAlignment="1" applyProtection="1">
      <alignment vertical="center"/>
      <protection hidden="1"/>
    </xf>
    <xf numFmtId="201" fontId="14" fillId="0" borderId="0" xfId="0" applyFont="1" applyBorder="1" applyAlignment="1" applyProtection="1">
      <alignment vertical="center"/>
      <protection hidden="1"/>
    </xf>
    <xf numFmtId="201" fontId="9" fillId="0" borderId="27" xfId="0" applyFont="1" applyBorder="1" applyAlignment="1" applyProtection="1">
      <alignment vertical="center"/>
      <protection hidden="1"/>
    </xf>
    <xf numFmtId="2" fontId="4" fillId="0" borderId="12" xfId="0" applyNumberFormat="1" applyFont="1" applyBorder="1" applyAlignment="1" applyProtection="1">
      <alignment horizontal="left" vertical="center"/>
      <protection hidden="1"/>
    </xf>
    <xf numFmtId="201" fontId="6" fillId="0" borderId="0" xfId="0" applyFont="1" applyBorder="1" applyAlignment="1" applyProtection="1">
      <alignment vertical="center"/>
      <protection hidden="1"/>
    </xf>
    <xf numFmtId="201" fontId="6" fillId="0" borderId="25" xfId="0" applyFont="1" applyBorder="1" applyAlignment="1" applyProtection="1">
      <alignment vertical="center"/>
      <protection hidden="1"/>
    </xf>
    <xf numFmtId="201" fontId="9" fillId="0" borderId="0" xfId="0" applyNumberFormat="1" applyFont="1" applyBorder="1" applyAlignment="1" applyProtection="1">
      <alignment horizontal="center" vertical="center"/>
      <protection hidden="1"/>
    </xf>
    <xf numFmtId="201" fontId="0" fillId="0" borderId="0" xfId="0" applyAlignment="1" applyProtection="1">
      <alignment horizontal="center"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201" fontId="46" fillId="0" borderId="0" xfId="0" applyFont="1" applyBorder="1" applyAlignment="1" applyProtection="1">
      <alignment horizontal="center" vertical="center"/>
      <protection hidden="1"/>
    </xf>
    <xf numFmtId="201" fontId="9" fillId="0" borderId="25" xfId="0" applyFont="1" applyBorder="1" applyAlignment="1" applyProtection="1">
      <alignment horizontal="center" vertical="center"/>
      <protection hidden="1"/>
    </xf>
    <xf numFmtId="201" fontId="0" fillId="0" borderId="0" xfId="0" applyBorder="1" applyAlignment="1" applyProtection="1">
      <alignment horizontal="center" vertical="center"/>
      <protection hidden="1"/>
    </xf>
    <xf numFmtId="201" fontId="14" fillId="0" borderId="0" xfId="0" applyFont="1" applyBorder="1" applyAlignment="1" applyProtection="1">
      <alignment horizontal="center" vertical="center"/>
      <protection hidden="1"/>
    </xf>
    <xf numFmtId="201" fontId="14" fillId="0" borderId="25" xfId="0" applyFont="1" applyBorder="1" applyAlignment="1" applyProtection="1">
      <alignment horizontal="center" vertical="center"/>
      <protection hidden="1"/>
    </xf>
    <xf numFmtId="201" fontId="4" fillId="0" borderId="13" xfId="0" applyFont="1" applyBorder="1" applyAlignment="1" applyProtection="1">
      <alignment horizontal="left" vertical="center"/>
      <protection hidden="1"/>
    </xf>
    <xf numFmtId="2" fontId="9" fillId="0" borderId="24" xfId="0" applyNumberFormat="1" applyFont="1" applyBorder="1" applyAlignment="1" applyProtection="1">
      <alignment horizontal="center" vertical="center"/>
      <protection hidden="1"/>
    </xf>
    <xf numFmtId="201" fontId="9" fillId="0" borderId="24" xfId="0" applyFont="1" applyBorder="1" applyAlignment="1" applyProtection="1">
      <alignment vertical="center"/>
      <protection hidden="1"/>
    </xf>
    <xf numFmtId="201" fontId="9" fillId="0" borderId="24" xfId="0" applyFont="1" applyBorder="1" applyAlignment="1" applyProtection="1">
      <alignment horizontal="center" vertical="center"/>
      <protection hidden="1"/>
    </xf>
    <xf numFmtId="201" fontId="9" fillId="0" borderId="26" xfId="0" applyFont="1" applyBorder="1" applyAlignment="1" applyProtection="1">
      <alignment vertical="center"/>
      <protection hidden="1"/>
    </xf>
    <xf numFmtId="201" fontId="40" fillId="0" borderId="11" xfId="0" applyFont="1" applyBorder="1" applyAlignment="1" applyProtection="1">
      <alignment horizontal="center" vertical="center"/>
      <protection hidden="1"/>
    </xf>
    <xf numFmtId="201" fontId="40" fillId="0" borderId="28" xfId="0" applyFont="1" applyBorder="1" applyAlignment="1" applyProtection="1">
      <alignment horizontal="center" vertical="center"/>
      <protection hidden="1"/>
    </xf>
    <xf numFmtId="201" fontId="40" fillId="0" borderId="13" xfId="0" applyFont="1" applyBorder="1" applyAlignment="1" applyProtection="1">
      <alignment horizontal="center" vertical="center"/>
      <protection hidden="1"/>
    </xf>
    <xf numFmtId="201" fontId="40" fillId="0" borderId="29" xfId="0" applyFont="1" applyBorder="1" applyAlignment="1" applyProtection="1">
      <alignment horizontal="center" vertical="center"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01" fontId="4" fillId="0" borderId="11" xfId="0" applyFont="1" applyBorder="1" applyAlignment="1" applyProtection="1">
      <alignment horizontal="center"/>
      <protection locked="0"/>
    </xf>
    <xf numFmtId="201" fontId="5" fillId="0" borderId="21" xfId="0" applyFont="1" applyBorder="1" applyAlignment="1" applyProtection="1">
      <alignment horizontal="center"/>
      <protection locked="0"/>
    </xf>
    <xf numFmtId="201" fontId="5" fillId="0" borderId="28" xfId="0" applyFont="1" applyBorder="1" applyAlignment="1" applyProtection="1">
      <alignment horizontal="center"/>
      <protection locked="0"/>
    </xf>
    <xf numFmtId="0" fontId="45" fillId="0" borderId="13" xfId="57" applyFont="1" applyBorder="1" applyAlignment="1" applyProtection="1">
      <alignment horizontal="center"/>
      <protection locked="0"/>
    </xf>
    <xf numFmtId="0" fontId="44" fillId="0" borderId="24" xfId="57" applyFont="1" applyBorder="1" applyAlignment="1" applyProtection="1">
      <alignment horizontal="center"/>
      <protection locked="0"/>
    </xf>
    <xf numFmtId="0" fontId="44" fillId="0" borderId="29" xfId="57" applyFont="1" applyBorder="1" applyAlignment="1" applyProtection="1">
      <alignment horizontal="center"/>
      <protection locked="0"/>
    </xf>
    <xf numFmtId="201" fontId="9" fillId="0" borderId="0" xfId="0" applyFont="1" applyBorder="1" applyAlignment="1" applyProtection="1">
      <alignment horizontal="center" vertical="center"/>
      <protection hidden="1"/>
    </xf>
    <xf numFmtId="2" fontId="9" fillId="0" borderId="0" xfId="0" applyNumberFormat="1" applyFont="1" applyAlignment="1" applyProtection="1">
      <alignment horizontal="center" vertical="center"/>
      <protection hidden="1"/>
    </xf>
    <xf numFmtId="201" fontId="9" fillId="0" borderId="0" xfId="0" applyFont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201" fontId="9" fillId="0" borderId="12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loa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339933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34</xdr:row>
      <xdr:rowOff>123825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238625" y="711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542925</xdr:colOff>
      <xdr:row>21</xdr:row>
      <xdr:rowOff>28575</xdr:rowOff>
    </xdr:from>
    <xdr:to>
      <xdr:col>0</xdr:col>
      <xdr:colOff>657225</xdr:colOff>
      <xdr:row>21</xdr:row>
      <xdr:rowOff>28575</xdr:rowOff>
    </xdr:to>
    <xdr:sp>
      <xdr:nvSpPr>
        <xdr:cNvPr id="2" name="Line 2"/>
        <xdr:cNvSpPr>
          <a:spLocks/>
        </xdr:cNvSpPr>
      </xdr:nvSpPr>
      <xdr:spPr>
        <a:xfrm>
          <a:off x="542925" y="44196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17</xdr:row>
      <xdr:rowOff>0</xdr:rowOff>
    </xdr:from>
    <xdr:to>
      <xdr:col>5</xdr:col>
      <xdr:colOff>857250</xdr:colOff>
      <xdr:row>17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72050" y="3590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990600"/>
          <a:ext cx="20669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22</xdr:row>
      <xdr:rowOff>28575</xdr:rowOff>
    </xdr:from>
    <xdr:to>
      <xdr:col>0</xdr:col>
      <xdr:colOff>657225</xdr:colOff>
      <xdr:row>22</xdr:row>
      <xdr:rowOff>28575</xdr:rowOff>
    </xdr:to>
    <xdr:sp>
      <xdr:nvSpPr>
        <xdr:cNvPr id="5" name="Line 5"/>
        <xdr:cNvSpPr>
          <a:spLocks/>
        </xdr:cNvSpPr>
      </xdr:nvSpPr>
      <xdr:spPr>
        <a:xfrm>
          <a:off x="542925" y="46196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41</xdr:row>
      <xdr:rowOff>76200</xdr:rowOff>
    </xdr:from>
    <xdr:to>
      <xdr:col>7</xdr:col>
      <xdr:colOff>28575</xdr:colOff>
      <xdr:row>42</xdr:row>
      <xdr:rowOff>133350</xdr:rowOff>
    </xdr:to>
    <xdr:sp>
      <xdr:nvSpPr>
        <xdr:cNvPr id="6" name="AutoShape 8"/>
        <xdr:cNvSpPr>
          <a:spLocks/>
        </xdr:cNvSpPr>
      </xdr:nvSpPr>
      <xdr:spPr>
        <a:xfrm>
          <a:off x="5191125" y="8467725"/>
          <a:ext cx="4953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W106"/>
  <sheetViews>
    <sheetView showGridLines="0" tabSelected="1" view="pageBreakPreview" zoomScaleSheetLayoutView="100" workbookViewId="0" topLeftCell="A1">
      <selection activeCell="C21" sqref="C21"/>
    </sheetView>
  </sheetViews>
  <sheetFormatPr defaultColWidth="9.140625" defaultRowHeight="12.75"/>
  <cols>
    <col min="1" max="1" width="17.7109375" style="0" customWidth="1"/>
    <col min="2" max="2" width="13.28125" style="0" customWidth="1"/>
    <col min="3" max="3" width="12.00390625" style="0" bestFit="1" customWidth="1"/>
    <col min="5" max="5" width="9.57421875" style="0" bestFit="1" customWidth="1"/>
    <col min="6" max="6" width="12.8515625" style="0" customWidth="1"/>
    <col min="7" max="7" width="10.28125" style="0" customWidth="1"/>
    <col min="8" max="8" width="9.57421875" style="0" bestFit="1" customWidth="1"/>
    <col min="9" max="10" width="9.28125" style="0" customWidth="1"/>
    <col min="11" max="11" width="11.421875" style="0" bestFit="1" customWidth="1"/>
    <col min="12" max="12" width="12.8515625" style="0" customWidth="1"/>
    <col min="14" max="14" width="9.7109375" style="0" bestFit="1" customWidth="1"/>
    <col min="16" max="16" width="9.28125" style="0" bestFit="1" customWidth="1"/>
    <col min="17" max="17" width="9.421875" style="0" bestFit="1" customWidth="1"/>
    <col min="18" max="18" width="10.7109375" style="0" bestFit="1" customWidth="1"/>
    <col min="19" max="19" width="9.57421875" style="0" bestFit="1" customWidth="1"/>
  </cols>
  <sheetData>
    <row r="1" spans="1:16" ht="19.5" customHeight="1">
      <c r="A1" s="9" t="s">
        <v>39</v>
      </c>
      <c r="B1" s="21"/>
      <c r="C1" s="21"/>
      <c r="D1" s="160" t="s">
        <v>45</v>
      </c>
      <c r="E1" s="161"/>
      <c r="F1" s="161"/>
      <c r="G1" s="162"/>
      <c r="H1" s="155" t="s">
        <v>46</v>
      </c>
      <c r="I1" s="156"/>
      <c r="J1" s="77"/>
      <c r="K1" s="58"/>
      <c r="L1" s="58"/>
      <c r="M1" s="58"/>
      <c r="N1" s="58"/>
      <c r="O1" s="58"/>
      <c r="P1" s="58"/>
    </row>
    <row r="2" spans="1:16" ht="19.5" customHeight="1" thickBot="1">
      <c r="A2" s="10" t="s">
        <v>40</v>
      </c>
      <c r="B2" s="22"/>
      <c r="C2" s="22"/>
      <c r="D2" s="163" t="s">
        <v>61</v>
      </c>
      <c r="E2" s="164"/>
      <c r="F2" s="164"/>
      <c r="G2" s="165"/>
      <c r="H2" s="157"/>
      <c r="I2" s="158"/>
      <c r="J2" s="78"/>
      <c r="K2" s="58" t="s">
        <v>12</v>
      </c>
      <c r="L2" s="58"/>
      <c r="M2" s="58"/>
      <c r="N2" s="58"/>
      <c r="O2" s="58"/>
      <c r="P2" s="58"/>
    </row>
    <row r="3" spans="1:16" ht="19.5" customHeight="1">
      <c r="A3" s="11" t="s">
        <v>41</v>
      </c>
      <c r="B3" s="22"/>
      <c r="C3" s="22"/>
      <c r="D3" s="23" t="s">
        <v>38</v>
      </c>
      <c r="E3" s="24" t="s">
        <v>43</v>
      </c>
      <c r="F3" s="25" t="s">
        <v>44</v>
      </c>
      <c r="G3" s="26" t="s">
        <v>43</v>
      </c>
      <c r="H3" s="13" t="s">
        <v>47</v>
      </c>
      <c r="I3" s="20"/>
      <c r="J3" s="78"/>
      <c r="K3" s="58" t="s">
        <v>13</v>
      </c>
      <c r="L3" s="58"/>
      <c r="M3" s="58"/>
      <c r="N3" s="58"/>
      <c r="O3" s="58"/>
      <c r="P3" s="58"/>
    </row>
    <row r="4" spans="1:16" ht="19.5" customHeight="1" thickBot="1">
      <c r="A4" s="12" t="s">
        <v>42</v>
      </c>
      <c r="B4" s="27"/>
      <c r="C4" s="27"/>
      <c r="D4" s="15" t="s">
        <v>53</v>
      </c>
      <c r="E4" s="16"/>
      <c r="F4" s="17"/>
      <c r="G4" s="18"/>
      <c r="H4" s="14" t="s">
        <v>48</v>
      </c>
      <c r="I4" s="19"/>
      <c r="J4" s="79"/>
      <c r="K4" s="63">
        <f>C14-2*C16</f>
        <v>380</v>
      </c>
      <c r="L4" s="68" t="s">
        <v>79</v>
      </c>
      <c r="M4" s="58"/>
      <c r="N4" s="58"/>
      <c r="O4" s="58"/>
      <c r="P4" s="58"/>
    </row>
    <row r="5" spans="1:23" ht="15.75" customHeight="1">
      <c r="A5" s="80" t="s">
        <v>101</v>
      </c>
      <c r="B5" s="81" t="s">
        <v>102</v>
      </c>
      <c r="C5" s="82"/>
      <c r="D5" s="82"/>
      <c r="E5" s="83"/>
      <c r="F5" s="84"/>
      <c r="G5" s="85"/>
      <c r="H5" s="86"/>
      <c r="I5" s="86"/>
      <c r="J5" s="8" t="s">
        <v>37</v>
      </c>
      <c r="K5" s="63">
        <f>C15-2*C16</f>
        <v>380</v>
      </c>
      <c r="L5" s="68" t="s">
        <v>78</v>
      </c>
      <c r="M5" s="62"/>
      <c r="N5" s="62"/>
      <c r="O5" s="62"/>
      <c r="P5" s="62"/>
      <c r="Q5" s="6"/>
      <c r="R5" s="6"/>
      <c r="S5" s="6"/>
      <c r="T5" s="6"/>
      <c r="U5" s="6"/>
      <c r="V5" s="6"/>
      <c r="W5" s="6"/>
    </row>
    <row r="6" spans="1:23" ht="15.75" customHeight="1">
      <c r="A6" s="87"/>
      <c r="B6" s="88"/>
      <c r="C6" s="88"/>
      <c r="D6" s="88"/>
      <c r="E6" s="88"/>
      <c r="F6" s="88" t="s">
        <v>82</v>
      </c>
      <c r="G6" s="89" t="s">
        <v>85</v>
      </c>
      <c r="H6" s="88"/>
      <c r="I6" s="88"/>
      <c r="J6" s="90" t="s">
        <v>51</v>
      </c>
      <c r="K6" s="60">
        <f>((C10*100)/(K4*C16*H7)+1)/2</f>
        <v>0.5804093567251462</v>
      </c>
      <c r="L6" s="36" t="s">
        <v>77</v>
      </c>
      <c r="M6" s="65"/>
      <c r="N6" s="61"/>
      <c r="O6" s="66"/>
      <c r="P6" s="66"/>
      <c r="Q6" s="4"/>
      <c r="R6" s="7"/>
      <c r="S6" s="4"/>
      <c r="T6" s="7"/>
      <c r="U6" s="3"/>
      <c r="V6" s="7"/>
      <c r="W6" s="3"/>
    </row>
    <row r="7" spans="1:23" ht="15.75" customHeight="1">
      <c r="A7" s="80" t="s">
        <v>5</v>
      </c>
      <c r="B7" s="91"/>
      <c r="C7" s="88"/>
      <c r="D7" s="88"/>
      <c r="E7" s="92" t="s">
        <v>33</v>
      </c>
      <c r="F7" s="93" t="s">
        <v>86</v>
      </c>
      <c r="G7" s="69" t="s">
        <v>2</v>
      </c>
      <c r="H7" s="71">
        <f>IF(G6="St.37",2.4,IF(G6="St.44",2.8,3.6))</f>
        <v>3.6</v>
      </c>
      <c r="I7" s="88" t="s">
        <v>17</v>
      </c>
      <c r="J7" s="94"/>
      <c r="K7" s="65">
        <f>IF(K6&gt;0.5,(699/(H7)^0.5)/(13*K6-1),(63.6/K6)/((H7)^0.5))</f>
        <v>56.28529319369611</v>
      </c>
      <c r="L7" s="36"/>
      <c r="M7" s="65"/>
      <c r="N7" s="61"/>
      <c r="O7" s="66"/>
      <c r="P7" s="66"/>
      <c r="Q7" s="4"/>
      <c r="R7" s="7"/>
      <c r="S7" s="4"/>
      <c r="T7" s="7"/>
      <c r="U7" s="3"/>
      <c r="V7" s="7"/>
      <c r="W7" s="3"/>
    </row>
    <row r="8" spans="1:23" ht="15.75" customHeight="1">
      <c r="A8" s="70" t="s">
        <v>62</v>
      </c>
      <c r="B8" s="69" t="s">
        <v>2</v>
      </c>
      <c r="C8" s="95">
        <v>3</v>
      </c>
      <c r="D8" s="88" t="s">
        <v>6</v>
      </c>
      <c r="E8" s="96" t="s">
        <v>12</v>
      </c>
      <c r="F8" s="93" t="s">
        <v>87</v>
      </c>
      <c r="G8" s="69" t="s">
        <v>2</v>
      </c>
      <c r="H8" s="97">
        <f>IF(G6="St.37",3.6,IF(G6="St.44",4.4,5.2))</f>
        <v>5.2</v>
      </c>
      <c r="I8" s="88" t="s">
        <v>17</v>
      </c>
      <c r="J8" s="94"/>
      <c r="K8" s="60">
        <f>((-C10/C24)+(C8*100/C27))/((-C10/C24)-(C8*100/C27))</f>
        <v>-0.03620977491221006</v>
      </c>
      <c r="L8" s="36" t="s">
        <v>59</v>
      </c>
      <c r="M8" s="65"/>
      <c r="N8" s="61"/>
      <c r="O8" s="66"/>
      <c r="P8" s="66"/>
      <c r="Q8" s="4"/>
      <c r="R8" s="7"/>
      <c r="S8" s="4"/>
      <c r="T8" s="7"/>
      <c r="U8" s="3"/>
      <c r="V8" s="7"/>
      <c r="W8" s="3"/>
    </row>
    <row r="9" spans="1:23" ht="15.75" customHeight="1">
      <c r="A9" s="70" t="s">
        <v>63</v>
      </c>
      <c r="B9" s="69" t="s">
        <v>2</v>
      </c>
      <c r="C9" s="95">
        <v>5</v>
      </c>
      <c r="D9" s="88" t="s">
        <v>6</v>
      </c>
      <c r="E9" s="96" t="s">
        <v>12</v>
      </c>
      <c r="F9" s="88"/>
      <c r="G9" s="93"/>
      <c r="H9" s="69"/>
      <c r="I9" s="98"/>
      <c r="J9" s="94"/>
      <c r="K9" s="65">
        <f>IF(K8&gt;-1,(190/(H7)^0.5)/(2+K8),((95*(1-K8)*(-K8)^0.5)/(H7)^0.5))</f>
        <v>50.992611783431215</v>
      </c>
      <c r="L9" s="36"/>
      <c r="M9" s="65"/>
      <c r="N9" s="61"/>
      <c r="O9" s="66"/>
      <c r="P9" s="66"/>
      <c r="Q9" s="4"/>
      <c r="R9" s="7"/>
      <c r="S9" s="4"/>
      <c r="T9" s="7"/>
      <c r="U9" s="3"/>
      <c r="V9" s="7"/>
      <c r="W9" s="3"/>
    </row>
    <row r="10" spans="1:23" ht="15.75" customHeight="1">
      <c r="A10" s="70" t="s">
        <v>1</v>
      </c>
      <c r="B10" s="69" t="s">
        <v>2</v>
      </c>
      <c r="C10" s="95">
        <v>22</v>
      </c>
      <c r="D10" s="88" t="s">
        <v>3</v>
      </c>
      <c r="E10" s="88"/>
      <c r="F10" s="88"/>
      <c r="G10" s="93"/>
      <c r="H10" s="69"/>
      <c r="I10" s="98"/>
      <c r="J10" s="94"/>
      <c r="K10" s="65" t="str">
        <f>IF(C33&lt;K5,"Compact",IF(AND(C33&gt;K5,C33&lt;K9),"Non compact","Slender"))</f>
        <v>Compact</v>
      </c>
      <c r="L10" s="36"/>
      <c r="M10" s="65"/>
      <c r="N10" s="61"/>
      <c r="O10" s="66"/>
      <c r="P10" s="66"/>
      <c r="Q10" s="4"/>
      <c r="R10" s="7"/>
      <c r="S10" s="4"/>
      <c r="T10" s="7"/>
      <c r="U10" s="3"/>
      <c r="V10" s="7"/>
      <c r="W10" s="3"/>
    </row>
    <row r="11" spans="1:23" ht="15.75" customHeight="1">
      <c r="A11" s="87"/>
      <c r="B11" s="88"/>
      <c r="C11" s="88"/>
      <c r="D11" s="88"/>
      <c r="E11" s="88"/>
      <c r="F11" s="88"/>
      <c r="G11" s="88"/>
      <c r="H11" s="88"/>
      <c r="I11" s="88"/>
      <c r="J11" s="94"/>
      <c r="K11" s="61" t="str">
        <f>IF(C33&lt;81.97,"Compact",IF(AND(C33&gt;81.97,C33&lt;122.64),"Non compact","Slender"))</f>
        <v>Compact</v>
      </c>
      <c r="L11" s="36"/>
      <c r="M11" s="61"/>
      <c r="N11" s="61"/>
      <c r="O11" s="66"/>
      <c r="P11" s="66"/>
      <c r="Q11" s="4"/>
      <c r="R11" s="7"/>
      <c r="S11" s="4"/>
      <c r="T11" s="7"/>
      <c r="U11" s="3"/>
      <c r="V11" s="7"/>
      <c r="W11" s="3"/>
    </row>
    <row r="12" spans="1:23" ht="15.75" customHeight="1">
      <c r="A12" s="99" t="s">
        <v>30</v>
      </c>
      <c r="B12" s="71"/>
      <c r="C12" s="88"/>
      <c r="D12" s="88"/>
      <c r="E12" s="88"/>
      <c r="F12" s="88"/>
      <c r="G12" s="88"/>
      <c r="H12" s="88"/>
      <c r="I12" s="88"/>
      <c r="J12" s="94"/>
      <c r="K12" s="61"/>
      <c r="L12" s="36"/>
      <c r="M12" s="61"/>
      <c r="N12" s="61"/>
      <c r="O12" s="66"/>
      <c r="P12" s="66"/>
      <c r="Q12" s="4"/>
      <c r="R12" s="7"/>
      <c r="S12" s="4"/>
      <c r="T12" s="7"/>
      <c r="U12" s="3"/>
      <c r="V12" s="7"/>
      <c r="W12" s="3"/>
    </row>
    <row r="13" spans="1:23" ht="15.75" customHeight="1">
      <c r="A13" s="100"/>
      <c r="B13" s="101"/>
      <c r="C13" s="101"/>
      <c r="D13" s="88"/>
      <c r="E13" s="88"/>
      <c r="F13" s="88"/>
      <c r="G13" s="88"/>
      <c r="H13" s="88"/>
      <c r="I13" s="88"/>
      <c r="J13" s="94"/>
      <c r="K13" s="61" t="s">
        <v>83</v>
      </c>
      <c r="L13" s="36"/>
      <c r="M13" s="61"/>
      <c r="N13" s="61"/>
      <c r="O13" s="66"/>
      <c r="P13" s="66"/>
      <c r="Q13" s="4"/>
      <c r="R13" s="7"/>
      <c r="S13" s="4"/>
      <c r="T13" s="7"/>
      <c r="U13" s="3"/>
      <c r="V13" s="7"/>
      <c r="W13" s="3"/>
    </row>
    <row r="14" spans="1:23" ht="15.75" customHeight="1">
      <c r="A14" s="70" t="s">
        <v>58</v>
      </c>
      <c r="B14" s="69" t="s">
        <v>2</v>
      </c>
      <c r="C14" s="95">
        <v>400</v>
      </c>
      <c r="D14" s="88" t="s">
        <v>4</v>
      </c>
      <c r="E14" s="88"/>
      <c r="F14" s="88"/>
      <c r="G14" s="88"/>
      <c r="H14" s="88"/>
      <c r="I14" s="88"/>
      <c r="J14" s="94"/>
      <c r="K14" s="61" t="s">
        <v>84</v>
      </c>
      <c r="L14" s="36"/>
      <c r="M14" s="61"/>
      <c r="N14" s="61"/>
      <c r="O14" s="66"/>
      <c r="P14" s="66"/>
      <c r="Q14" s="4"/>
      <c r="R14" s="7"/>
      <c r="S14" s="4"/>
      <c r="T14" s="7"/>
      <c r="U14" s="3"/>
      <c r="V14" s="7"/>
      <c r="W14" s="3"/>
    </row>
    <row r="15" spans="1:23" ht="15.75" customHeight="1">
      <c r="A15" s="70" t="s">
        <v>13</v>
      </c>
      <c r="B15" s="69" t="s">
        <v>2</v>
      </c>
      <c r="C15" s="95">
        <v>400</v>
      </c>
      <c r="D15" s="88" t="s">
        <v>4</v>
      </c>
      <c r="E15" s="102"/>
      <c r="F15" s="103"/>
      <c r="G15" s="104"/>
      <c r="H15" s="105"/>
      <c r="I15" s="106"/>
      <c r="J15" s="94"/>
      <c r="K15" s="65" t="s">
        <v>85</v>
      </c>
      <c r="L15" s="36"/>
      <c r="M15" s="65"/>
      <c r="N15" s="61"/>
      <c r="O15" s="66"/>
      <c r="P15" s="66"/>
      <c r="Q15" s="4"/>
      <c r="R15" s="7"/>
      <c r="S15" s="4"/>
      <c r="T15" s="7"/>
      <c r="U15" s="3"/>
      <c r="V15" s="7"/>
      <c r="W15" s="3"/>
    </row>
    <row r="16" spans="1:23" ht="15.75" customHeight="1">
      <c r="A16" s="70" t="s">
        <v>3</v>
      </c>
      <c r="B16" s="69" t="s">
        <v>2</v>
      </c>
      <c r="C16" s="95">
        <v>10</v>
      </c>
      <c r="D16" s="88" t="s">
        <v>4</v>
      </c>
      <c r="E16" s="88"/>
      <c r="F16" s="88"/>
      <c r="G16" s="88"/>
      <c r="H16" s="88"/>
      <c r="I16" s="88"/>
      <c r="J16" s="94"/>
      <c r="K16" s="65"/>
      <c r="L16" s="36"/>
      <c r="M16" s="65"/>
      <c r="N16" s="61"/>
      <c r="O16" s="66"/>
      <c r="P16" s="66"/>
      <c r="Q16" s="4"/>
      <c r="R16" s="7"/>
      <c r="S16" s="4"/>
      <c r="T16" s="7"/>
      <c r="U16" s="3"/>
      <c r="V16" s="7"/>
      <c r="W16" s="3"/>
    </row>
    <row r="17" spans="1:22" ht="15.75" customHeight="1">
      <c r="A17" s="107" t="s">
        <v>65</v>
      </c>
      <c r="B17" s="108">
        <f>C14</f>
        <v>400</v>
      </c>
      <c r="C17" s="109" t="s">
        <v>54</v>
      </c>
      <c r="D17" s="110">
        <f>C15</f>
        <v>400</v>
      </c>
      <c r="E17" s="109" t="s">
        <v>54</v>
      </c>
      <c r="F17" s="111">
        <f>C16</f>
        <v>10</v>
      </c>
      <c r="G17" s="88"/>
      <c r="H17" s="88"/>
      <c r="I17" s="88"/>
      <c r="J17" s="94"/>
      <c r="K17" s="54"/>
      <c r="L17" s="31"/>
      <c r="M17" s="31"/>
      <c r="N17" s="54"/>
      <c r="O17" s="54"/>
      <c r="P17" s="54"/>
      <c r="Q17" s="1"/>
      <c r="R17" s="1"/>
      <c r="S17" s="1"/>
      <c r="T17" s="1"/>
      <c r="U17" s="1"/>
      <c r="V17" s="1"/>
    </row>
    <row r="18" spans="1:22" ht="15.75" customHeight="1">
      <c r="A18" s="87"/>
      <c r="B18" s="88"/>
      <c r="C18" s="112"/>
      <c r="D18" s="88"/>
      <c r="E18" s="88"/>
      <c r="F18" s="88"/>
      <c r="G18" s="88"/>
      <c r="H18" s="88"/>
      <c r="I18" s="88"/>
      <c r="J18" s="94"/>
      <c r="K18" s="54"/>
      <c r="L18" s="31"/>
      <c r="M18" s="31"/>
      <c r="N18" s="54"/>
      <c r="O18" s="54"/>
      <c r="P18" s="54"/>
      <c r="Q18" s="1"/>
      <c r="R18" s="1"/>
      <c r="S18" s="1"/>
      <c r="T18" s="1"/>
      <c r="U18" s="1"/>
      <c r="V18" s="1"/>
    </row>
    <row r="19" spans="1:22" ht="15.75" customHeight="1">
      <c r="A19" s="99" t="s">
        <v>32</v>
      </c>
      <c r="B19" s="71"/>
      <c r="C19" s="113"/>
      <c r="D19" s="88"/>
      <c r="E19" s="88"/>
      <c r="F19" s="88"/>
      <c r="G19" s="88"/>
      <c r="H19" s="88"/>
      <c r="I19" s="88"/>
      <c r="J19" s="94"/>
      <c r="K19" s="38"/>
      <c r="L19" s="33" t="s">
        <v>88</v>
      </c>
      <c r="M19" s="33" t="s">
        <v>2</v>
      </c>
      <c r="N19" s="55">
        <f>MIN((800*H38*(K5*C16/100)/(C41*10*K4)),0.58*H7)</f>
        <v>1.0044444444444443</v>
      </c>
      <c r="O19" s="31" t="s">
        <v>17</v>
      </c>
      <c r="P19" s="56" t="s">
        <v>89</v>
      </c>
      <c r="Q19" s="56" t="s">
        <v>2</v>
      </c>
      <c r="R19" s="56">
        <f>(C16*C15^3/120000)+2*(C14*C16^3/720000)+(2*(C14*C16/600)*(C15/20-C16/20)^2)</f>
        <v>10404.444444444445</v>
      </c>
      <c r="S19" s="31" t="s">
        <v>18</v>
      </c>
      <c r="T19" s="1"/>
      <c r="U19" s="1"/>
      <c r="V19" s="1"/>
    </row>
    <row r="20" spans="1:22" ht="15.75" customHeight="1">
      <c r="A20" s="99" t="s">
        <v>24</v>
      </c>
      <c r="B20" s="71"/>
      <c r="C20" s="88"/>
      <c r="D20" s="88"/>
      <c r="E20" s="88"/>
      <c r="F20" s="69"/>
      <c r="G20" s="69"/>
      <c r="H20" s="88"/>
      <c r="I20" s="88"/>
      <c r="J20" s="94"/>
      <c r="K20" s="38"/>
      <c r="L20" s="33" t="s">
        <v>90</v>
      </c>
      <c r="M20" s="33" t="s">
        <v>2</v>
      </c>
      <c r="N20" s="56">
        <f>C15*C16/100+2*C14*C16/600</f>
        <v>53.333333333333336</v>
      </c>
      <c r="O20" s="31" t="s">
        <v>15</v>
      </c>
      <c r="P20" s="56" t="s">
        <v>91</v>
      </c>
      <c r="Q20" s="56" t="s">
        <v>2</v>
      </c>
      <c r="R20" s="54">
        <f>(R19/N20)^0.5</f>
        <v>13.967223537028874</v>
      </c>
      <c r="S20" s="31" t="s">
        <v>7</v>
      </c>
      <c r="T20" s="1"/>
      <c r="U20" s="1"/>
      <c r="V20" s="1"/>
    </row>
    <row r="21" spans="1:22" ht="15.75" customHeight="1">
      <c r="A21" s="99"/>
      <c r="B21" s="71"/>
      <c r="C21" s="88"/>
      <c r="D21" s="88"/>
      <c r="E21" s="88"/>
      <c r="F21" s="69"/>
      <c r="G21" s="69"/>
      <c r="H21" s="88"/>
      <c r="I21" s="88"/>
      <c r="J21" s="94"/>
      <c r="K21" s="38"/>
      <c r="L21" s="33" t="s">
        <v>92</v>
      </c>
      <c r="M21" s="33" t="s">
        <v>2</v>
      </c>
      <c r="N21" s="56">
        <f>C41*100/R20</f>
        <v>64.4365716360153</v>
      </c>
      <c r="O21" s="54"/>
      <c r="P21" s="56">
        <f>84*(H38/H7)^0.5</f>
        <v>47.061661679120505</v>
      </c>
      <c r="Q21" s="56">
        <f>188*(H38/H7)^0.5</f>
        <v>105.32848090088875</v>
      </c>
      <c r="R21" s="54"/>
      <c r="S21" s="31"/>
      <c r="T21" s="1"/>
      <c r="U21" s="1"/>
      <c r="V21" s="1"/>
    </row>
    <row r="22" spans="1:22" ht="15.75" customHeight="1">
      <c r="A22" s="70" t="s">
        <v>8</v>
      </c>
      <c r="B22" s="69" t="s">
        <v>2</v>
      </c>
      <c r="C22" s="71">
        <f>C14/20</f>
        <v>20</v>
      </c>
      <c r="D22" s="88" t="s">
        <v>7</v>
      </c>
      <c r="E22" s="88"/>
      <c r="F22" s="88"/>
      <c r="G22" s="88"/>
      <c r="H22" s="88"/>
      <c r="I22" s="88"/>
      <c r="J22" s="94"/>
      <c r="K22" s="38"/>
      <c r="L22" s="33" t="s">
        <v>93</v>
      </c>
      <c r="M22" s="33" t="s">
        <v>2</v>
      </c>
      <c r="N22" s="56">
        <f>0.58*H7</f>
        <v>2.088</v>
      </c>
      <c r="O22" s="31" t="s">
        <v>17</v>
      </c>
      <c r="P22" s="56"/>
      <c r="Q22" s="56"/>
      <c r="R22" s="54"/>
      <c r="S22" s="31"/>
      <c r="T22" s="1"/>
      <c r="U22" s="1"/>
      <c r="V22" s="1"/>
    </row>
    <row r="23" spans="1:22" ht="15.75" customHeight="1">
      <c r="A23" s="70" t="s">
        <v>54</v>
      </c>
      <c r="B23" s="69" t="s">
        <v>2</v>
      </c>
      <c r="C23" s="71">
        <f>C15/20</f>
        <v>20</v>
      </c>
      <c r="D23" s="88" t="s">
        <v>7</v>
      </c>
      <c r="E23" s="88"/>
      <c r="F23" s="88"/>
      <c r="G23" s="88"/>
      <c r="H23" s="88"/>
      <c r="I23" s="88"/>
      <c r="J23" s="94"/>
      <c r="K23" s="38"/>
      <c r="L23" s="33" t="s">
        <v>94</v>
      </c>
      <c r="M23" s="33" t="s">
        <v>2</v>
      </c>
      <c r="N23" s="56">
        <f>MIN((0.64-((N21^2*H7)/(1.176*10^5*H38)))*H7,0.58*H7)</f>
        <v>1.8990661454452233</v>
      </c>
      <c r="O23" s="31" t="s">
        <v>17</v>
      </c>
      <c r="P23" s="56"/>
      <c r="Q23" s="56"/>
      <c r="R23" s="57"/>
      <c r="S23" s="31"/>
      <c r="T23" s="1"/>
      <c r="U23" s="1"/>
      <c r="V23" s="1"/>
    </row>
    <row r="24" spans="1:22" ht="15.75" customHeight="1">
      <c r="A24" s="70" t="s">
        <v>9</v>
      </c>
      <c r="B24" s="69" t="s">
        <v>2</v>
      </c>
      <c r="C24" s="71">
        <f>(C14*C15-K4*K5)/100</f>
        <v>156</v>
      </c>
      <c r="D24" s="88" t="s">
        <v>15</v>
      </c>
      <c r="E24" s="88"/>
      <c r="F24" s="88"/>
      <c r="G24" s="88"/>
      <c r="H24" s="88"/>
      <c r="I24" s="88"/>
      <c r="J24" s="94"/>
      <c r="K24" s="38"/>
      <c r="L24" s="33" t="s">
        <v>95</v>
      </c>
      <c r="M24" s="33" t="s">
        <v>2</v>
      </c>
      <c r="N24" s="56">
        <f>MIN(12000*H38/N21^2,0.58*H7)</f>
        <v>2.088</v>
      </c>
      <c r="O24" s="31" t="s">
        <v>17</v>
      </c>
      <c r="P24" s="56"/>
      <c r="Q24" s="56"/>
      <c r="R24" s="54"/>
      <c r="S24" s="54"/>
      <c r="T24" s="1"/>
      <c r="U24" s="1"/>
      <c r="V24" s="1"/>
    </row>
    <row r="25" spans="1:22" ht="15.75" customHeight="1">
      <c r="A25" s="70" t="s">
        <v>66</v>
      </c>
      <c r="B25" s="69" t="s">
        <v>2</v>
      </c>
      <c r="C25" s="71">
        <f>(C15*C14^3/12-K5*K4^3/12)/10000</f>
        <v>39572</v>
      </c>
      <c r="D25" s="88" t="s">
        <v>18</v>
      </c>
      <c r="E25" s="88"/>
      <c r="F25" s="88"/>
      <c r="G25" s="88"/>
      <c r="H25" s="88"/>
      <c r="I25" s="88"/>
      <c r="J25" s="94"/>
      <c r="K25" s="38"/>
      <c r="L25" s="33" t="s">
        <v>96</v>
      </c>
      <c r="M25" s="33" t="s">
        <v>2</v>
      </c>
      <c r="N25" s="56">
        <f>IF(N21&lt;P21,N22,IF(AND(N21&gt;P21,N21&lt;Q21),N23,N24))</f>
        <v>1.8990661454452233</v>
      </c>
      <c r="O25" s="31" t="s">
        <v>17</v>
      </c>
      <c r="P25" s="33" t="s">
        <v>97</v>
      </c>
      <c r="Q25" s="33" t="s">
        <v>2</v>
      </c>
      <c r="R25" s="56">
        <f>(N19^2+N25^2)^0.5</f>
        <v>2.1483390949176266</v>
      </c>
      <c r="S25" s="31" t="s">
        <v>17</v>
      </c>
      <c r="T25" s="1"/>
      <c r="U25" s="1"/>
      <c r="V25" s="1"/>
    </row>
    <row r="26" spans="1:22" ht="15.75" customHeight="1">
      <c r="A26" s="70" t="s">
        <v>67</v>
      </c>
      <c r="B26" s="69" t="s">
        <v>2</v>
      </c>
      <c r="C26" s="71">
        <f>(C14*C15^3/12-K4*K5^3/12)/10000</f>
        <v>39572</v>
      </c>
      <c r="D26" s="88" t="s">
        <v>18</v>
      </c>
      <c r="E26" s="88"/>
      <c r="F26" s="88"/>
      <c r="G26" s="88"/>
      <c r="H26" s="88"/>
      <c r="I26" s="88"/>
      <c r="J26" s="94"/>
      <c r="K26" s="38"/>
      <c r="L26" s="33" t="s">
        <v>98</v>
      </c>
      <c r="M26" s="33" t="s">
        <v>2</v>
      </c>
      <c r="N26" s="56">
        <f>IF(R25&gt;0.58*H7,0.58*H7,R25)</f>
        <v>2.088</v>
      </c>
      <c r="O26" s="31" t="s">
        <v>17</v>
      </c>
      <c r="P26" s="31"/>
      <c r="Q26" s="54"/>
      <c r="R26" s="54"/>
      <c r="S26" s="54"/>
      <c r="T26" s="1"/>
      <c r="U26" s="1"/>
      <c r="V26" s="1"/>
    </row>
    <row r="27" spans="1:22" ht="15.75" customHeight="1">
      <c r="A27" s="70" t="s">
        <v>68</v>
      </c>
      <c r="B27" s="69" t="s">
        <v>2</v>
      </c>
      <c r="C27" s="71">
        <f>C25/C22</f>
        <v>1978.6</v>
      </c>
      <c r="D27" s="88" t="s">
        <v>16</v>
      </c>
      <c r="E27" s="114"/>
      <c r="F27" s="114"/>
      <c r="G27" s="114"/>
      <c r="H27" s="114"/>
      <c r="I27" s="114"/>
      <c r="J27" s="115"/>
      <c r="K27" s="38"/>
      <c r="L27" s="33" t="s">
        <v>99</v>
      </c>
      <c r="M27" s="33" t="s">
        <v>2</v>
      </c>
      <c r="N27" s="33">
        <f>IF(B35="Compact",0.64*H7,0.58*H7)</f>
        <v>2.088</v>
      </c>
      <c r="O27" s="31" t="s">
        <v>17</v>
      </c>
      <c r="P27" s="33"/>
      <c r="Q27" s="33"/>
      <c r="R27" s="33"/>
      <c r="S27" s="31"/>
      <c r="T27" s="1"/>
      <c r="U27" s="1"/>
      <c r="V27" s="1"/>
    </row>
    <row r="28" spans="1:22" ht="15.75" customHeight="1">
      <c r="A28" s="70" t="s">
        <v>69</v>
      </c>
      <c r="B28" s="69" t="s">
        <v>2</v>
      </c>
      <c r="C28" s="71">
        <f>C26/C23</f>
        <v>1978.6</v>
      </c>
      <c r="D28" s="88" t="s">
        <v>16</v>
      </c>
      <c r="E28" s="114"/>
      <c r="F28" s="114"/>
      <c r="G28" s="114"/>
      <c r="H28" s="114"/>
      <c r="I28" s="114"/>
      <c r="J28" s="115"/>
      <c r="K28" s="38"/>
      <c r="L28" s="31"/>
      <c r="M28" s="31"/>
      <c r="N28" s="54"/>
      <c r="O28" s="54"/>
      <c r="P28" s="54"/>
      <c r="Q28" s="1"/>
      <c r="R28" s="1"/>
      <c r="S28" s="1"/>
      <c r="T28" s="1"/>
      <c r="U28" s="1"/>
      <c r="V28" s="1"/>
    </row>
    <row r="29" spans="1:22" ht="15.75" customHeight="1">
      <c r="A29" s="70" t="s">
        <v>70</v>
      </c>
      <c r="B29" s="69" t="s">
        <v>2</v>
      </c>
      <c r="C29" s="71">
        <f>(C25/C24)^0.5</f>
        <v>15.92691642053372</v>
      </c>
      <c r="D29" s="88" t="s">
        <v>7</v>
      </c>
      <c r="E29" s="114"/>
      <c r="F29" s="114"/>
      <c r="G29" s="114"/>
      <c r="H29" s="114"/>
      <c r="I29" s="114"/>
      <c r="J29" s="115"/>
      <c r="K29" s="38"/>
      <c r="L29" s="31"/>
      <c r="M29" s="31"/>
      <c r="N29" s="54"/>
      <c r="O29" s="54"/>
      <c r="P29" s="54"/>
      <c r="Q29" s="1"/>
      <c r="R29" s="1"/>
      <c r="S29" s="1"/>
      <c r="T29" s="1"/>
      <c r="U29" s="1"/>
      <c r="V29" s="1"/>
    </row>
    <row r="30" spans="1:22" ht="15.75" customHeight="1">
      <c r="A30" s="70" t="s">
        <v>71</v>
      </c>
      <c r="B30" s="69" t="s">
        <v>2</v>
      </c>
      <c r="C30" s="71">
        <f>(C26/C24)^0.5</f>
        <v>15.92691642053372</v>
      </c>
      <c r="D30" s="88" t="s">
        <v>7</v>
      </c>
      <c r="E30" s="114"/>
      <c r="F30" s="114"/>
      <c r="G30" s="114"/>
      <c r="H30" s="114"/>
      <c r="I30" s="114"/>
      <c r="J30" s="115"/>
      <c r="K30" s="38"/>
      <c r="L30" s="31"/>
      <c r="M30" s="31"/>
      <c r="N30" s="54"/>
      <c r="O30" s="54"/>
      <c r="P30" s="54"/>
      <c r="Q30" s="1"/>
      <c r="R30" s="1"/>
      <c r="S30" s="1"/>
      <c r="T30" s="1"/>
      <c r="U30" s="1"/>
      <c r="V30" s="1"/>
    </row>
    <row r="31" spans="1:22" ht="15.75" customHeight="1">
      <c r="A31" s="70"/>
      <c r="B31" s="69"/>
      <c r="C31" s="71"/>
      <c r="D31" s="88"/>
      <c r="E31" s="114"/>
      <c r="F31" s="114"/>
      <c r="G31" s="114"/>
      <c r="H31" s="114"/>
      <c r="I31" s="114"/>
      <c r="J31" s="115"/>
      <c r="K31" s="38"/>
      <c r="L31" s="31"/>
      <c r="M31" s="31"/>
      <c r="N31" s="54"/>
      <c r="O31" s="54"/>
      <c r="P31" s="54"/>
      <c r="Q31" s="1"/>
      <c r="R31" s="1"/>
      <c r="S31" s="1"/>
      <c r="T31" s="1"/>
      <c r="U31" s="1"/>
      <c r="V31" s="1"/>
    </row>
    <row r="32" spans="1:22" ht="15.75" customHeight="1">
      <c r="A32" s="99" t="s">
        <v>31</v>
      </c>
      <c r="B32" s="84"/>
      <c r="C32" s="84"/>
      <c r="D32" s="88"/>
      <c r="E32" s="83"/>
      <c r="F32" s="83"/>
      <c r="G32" s="83"/>
      <c r="H32" s="83"/>
      <c r="I32" s="116"/>
      <c r="J32" s="117"/>
      <c r="K32" s="38"/>
      <c r="L32" s="48"/>
      <c r="M32" s="48"/>
      <c r="N32" s="59"/>
      <c r="O32" s="58"/>
      <c r="P32" s="58"/>
      <c r="R32" s="1"/>
      <c r="S32" s="1"/>
      <c r="T32" s="1"/>
      <c r="U32" s="1"/>
      <c r="V32" s="1"/>
    </row>
    <row r="33" spans="1:22" ht="15.75" customHeight="1">
      <c r="A33" s="118" t="s">
        <v>72</v>
      </c>
      <c r="B33" s="119" t="s">
        <v>2</v>
      </c>
      <c r="C33" s="97">
        <f>K4/C16</f>
        <v>38</v>
      </c>
      <c r="D33" s="120" t="s">
        <v>35</v>
      </c>
      <c r="E33" s="121" t="str">
        <f>IF(C8&gt;0,K10,K11)</f>
        <v>Compact</v>
      </c>
      <c r="F33" s="83"/>
      <c r="G33" s="83"/>
      <c r="H33" s="83"/>
      <c r="I33" s="116"/>
      <c r="J33" s="122" t="s">
        <v>49</v>
      </c>
      <c r="K33" s="38"/>
      <c r="L33" s="48"/>
      <c r="M33" s="48"/>
      <c r="N33" s="59"/>
      <c r="O33" s="59"/>
      <c r="P33" s="59"/>
      <c r="Q33" s="5"/>
      <c r="R33" s="1"/>
      <c r="S33" s="1"/>
      <c r="T33" s="1"/>
      <c r="U33" s="1"/>
      <c r="V33" s="1"/>
    </row>
    <row r="34" spans="1:22" ht="15.75" customHeight="1">
      <c r="A34" s="118" t="s">
        <v>73</v>
      </c>
      <c r="B34" s="119" t="s">
        <v>2</v>
      </c>
      <c r="C34" s="97">
        <f>K5/C16</f>
        <v>38</v>
      </c>
      <c r="D34" s="120" t="s">
        <v>36</v>
      </c>
      <c r="E34" s="121" t="str">
        <f>IF(C34&lt;37.4,"Compact",IF(AND(C34&gt;37.4,C34&lt;41.4),"Non compact","Slender"))</f>
        <v>Non compact</v>
      </c>
      <c r="F34" s="83"/>
      <c r="G34" s="83"/>
      <c r="H34" s="83"/>
      <c r="I34" s="116"/>
      <c r="J34" s="122" t="s">
        <v>74</v>
      </c>
      <c r="K34" s="38"/>
      <c r="L34" s="22"/>
      <c r="M34" s="22"/>
      <c r="N34" s="58"/>
      <c r="O34" s="59"/>
      <c r="P34" s="59"/>
      <c r="Q34" s="5"/>
      <c r="R34" s="1"/>
      <c r="S34" s="1"/>
      <c r="T34" s="1"/>
      <c r="U34" s="1"/>
      <c r="V34" s="1"/>
    </row>
    <row r="35" spans="1:22" ht="15.75" customHeight="1">
      <c r="A35" s="123" t="s">
        <v>25</v>
      </c>
      <c r="B35" s="124" t="str">
        <f>IF(AND(E33="Compact",E34="Compact"),"Compact",IF(AND(E33&lt;&gt;"Slender",E34&lt;&gt;"Slender",OR(E33="Non compact",E34="Non compact")),"Non compact","Slender"))</f>
        <v>Non compact</v>
      </c>
      <c r="C35" s="82"/>
      <c r="D35" s="88"/>
      <c r="E35" s="125"/>
      <c r="F35" s="88"/>
      <c r="G35" s="88"/>
      <c r="H35" s="88"/>
      <c r="I35" s="88"/>
      <c r="J35" s="94"/>
      <c r="K35" s="31"/>
      <c r="L35" s="31"/>
      <c r="M35" s="31"/>
      <c r="N35" s="54"/>
      <c r="O35" s="54"/>
      <c r="P35" s="54"/>
      <c r="Q35" s="1"/>
      <c r="R35" s="1"/>
      <c r="S35" s="1"/>
      <c r="T35" s="1"/>
      <c r="U35" s="1"/>
      <c r="V35" s="1"/>
    </row>
    <row r="36" spans="1:22" ht="15.75" customHeight="1">
      <c r="A36" s="123"/>
      <c r="B36" s="126"/>
      <c r="C36" s="82"/>
      <c r="D36" s="88"/>
      <c r="E36" s="125"/>
      <c r="F36" s="88"/>
      <c r="G36" s="88"/>
      <c r="H36" s="88"/>
      <c r="I36" s="88"/>
      <c r="J36" s="94"/>
      <c r="K36" s="31"/>
      <c r="L36" s="31"/>
      <c r="M36" s="31"/>
      <c r="N36" s="54"/>
      <c r="O36" s="54"/>
      <c r="P36" s="54"/>
      <c r="Q36" s="1"/>
      <c r="R36" s="1"/>
      <c r="S36" s="1"/>
      <c r="T36" s="1"/>
      <c r="U36" s="1"/>
      <c r="V36" s="1"/>
    </row>
    <row r="37" spans="1:22" ht="15.75" customHeight="1">
      <c r="A37" s="99" t="s">
        <v>34</v>
      </c>
      <c r="B37" s="71"/>
      <c r="C37" s="88"/>
      <c r="D37" s="88"/>
      <c r="E37" s="88"/>
      <c r="F37" s="88"/>
      <c r="G37" s="88"/>
      <c r="H37" s="88"/>
      <c r="I37" s="88"/>
      <c r="J37" s="94"/>
      <c r="K37" s="38"/>
      <c r="L37" s="31"/>
      <c r="M37" s="31"/>
      <c r="N37" s="54"/>
      <c r="O37" s="54"/>
      <c r="P37" s="54"/>
      <c r="Q37" s="1"/>
      <c r="R37" s="1"/>
      <c r="S37" s="1"/>
      <c r="T37" s="1"/>
      <c r="U37" s="1"/>
      <c r="V37" s="1"/>
    </row>
    <row r="38" spans="1:22" ht="15.75" customHeight="1">
      <c r="A38" s="70" t="s">
        <v>26</v>
      </c>
      <c r="B38" s="71" t="s">
        <v>2</v>
      </c>
      <c r="C38" s="71">
        <f>C8*100/C27</f>
        <v>0.15162235924390985</v>
      </c>
      <c r="D38" s="88" t="s">
        <v>17</v>
      </c>
      <c r="E38" s="88"/>
      <c r="F38" s="69" t="s">
        <v>100</v>
      </c>
      <c r="G38" s="71" t="s">
        <v>2</v>
      </c>
      <c r="H38" s="127">
        <v>1.13</v>
      </c>
      <c r="I38" s="88"/>
      <c r="J38" s="122"/>
      <c r="K38" s="38"/>
      <c r="L38" s="31"/>
      <c r="M38" s="31"/>
      <c r="N38" s="54"/>
      <c r="O38" s="54"/>
      <c r="P38" s="54"/>
      <c r="Q38" s="1"/>
      <c r="R38" s="1"/>
      <c r="S38" s="1"/>
      <c r="T38" s="1"/>
      <c r="U38" s="1"/>
      <c r="V38" s="1"/>
    </row>
    <row r="39" spans="1:22" ht="15.75" customHeight="1">
      <c r="A39" s="70" t="s">
        <v>55</v>
      </c>
      <c r="B39" s="71" t="s">
        <v>2</v>
      </c>
      <c r="C39" s="71">
        <f>C9*100/C28</f>
        <v>0.2527039320731831</v>
      </c>
      <c r="D39" s="88" t="s">
        <v>17</v>
      </c>
      <c r="E39" s="88"/>
      <c r="F39" s="69"/>
      <c r="G39" s="69"/>
      <c r="H39" s="128"/>
      <c r="I39" s="128"/>
      <c r="J39" s="122"/>
      <c r="K39" s="38"/>
      <c r="L39" s="31"/>
      <c r="M39" s="31"/>
      <c r="N39" s="54"/>
      <c r="O39" s="54"/>
      <c r="P39" s="54"/>
      <c r="Q39" s="1"/>
      <c r="R39" s="1"/>
      <c r="S39" s="1"/>
      <c r="T39" s="1"/>
      <c r="U39" s="1"/>
      <c r="V39" s="1"/>
    </row>
    <row r="40" spans="1:22" ht="15.75" customHeight="1">
      <c r="A40" s="70" t="s">
        <v>19</v>
      </c>
      <c r="B40" s="71" t="s">
        <v>2</v>
      </c>
      <c r="C40" s="71">
        <f>C10/C24</f>
        <v>0.14102564102564102</v>
      </c>
      <c r="D40" s="88" t="s">
        <v>17</v>
      </c>
      <c r="E40" s="88"/>
      <c r="F40" s="88"/>
      <c r="G40" s="88"/>
      <c r="H40" s="88"/>
      <c r="I40" s="88"/>
      <c r="J40" s="94"/>
      <c r="K40" s="38"/>
      <c r="L40" s="31"/>
      <c r="M40" s="31"/>
      <c r="N40" s="54"/>
      <c r="O40" s="54"/>
      <c r="P40" s="54"/>
      <c r="Q40" s="1"/>
      <c r="R40" s="1"/>
      <c r="S40" s="1"/>
      <c r="T40" s="1"/>
      <c r="U40" s="1"/>
      <c r="V40" s="1"/>
    </row>
    <row r="41" spans="1:22" ht="15.75" customHeight="1">
      <c r="A41" s="70" t="s">
        <v>60</v>
      </c>
      <c r="B41" s="71" t="s">
        <v>2</v>
      </c>
      <c r="C41" s="127">
        <v>9</v>
      </c>
      <c r="D41" s="88" t="s">
        <v>0</v>
      </c>
      <c r="E41" s="88"/>
      <c r="F41" s="88"/>
      <c r="G41" s="88"/>
      <c r="H41" s="88"/>
      <c r="I41" s="88"/>
      <c r="J41" s="94"/>
      <c r="K41" s="38"/>
      <c r="L41" s="31"/>
      <c r="M41" s="31"/>
      <c r="N41" s="54"/>
      <c r="O41" s="54"/>
      <c r="P41" s="54"/>
      <c r="Q41" s="1"/>
      <c r="R41" s="1"/>
      <c r="S41" s="1"/>
      <c r="T41" s="1"/>
      <c r="U41" s="1"/>
      <c r="V41" s="1"/>
    </row>
    <row r="42" spans="1:22" ht="15.75" customHeight="1">
      <c r="A42" s="170" t="s">
        <v>14</v>
      </c>
      <c r="B42" s="169" t="s">
        <v>2</v>
      </c>
      <c r="C42" s="88" t="s">
        <v>80</v>
      </c>
      <c r="D42" s="88"/>
      <c r="E42" s="129"/>
      <c r="F42" s="71">
        <f>84*C15/(2.4*1000)</f>
        <v>14</v>
      </c>
      <c r="G42" s="88" t="s">
        <v>0</v>
      </c>
      <c r="H42" s="167">
        <f>MIN(F42:F43)</f>
        <v>14</v>
      </c>
      <c r="I42" s="168" t="s">
        <v>0</v>
      </c>
      <c r="J42" s="94"/>
      <c r="K42" s="38"/>
      <c r="L42" s="31"/>
      <c r="M42" s="31"/>
      <c r="N42" s="54"/>
      <c r="O42" s="54"/>
      <c r="P42" s="54"/>
      <c r="Q42" s="1"/>
      <c r="R42" s="1"/>
      <c r="S42" s="1"/>
      <c r="T42" s="1"/>
      <c r="U42" s="1"/>
      <c r="V42" s="1"/>
    </row>
    <row r="43" spans="1:22" ht="15.75" customHeight="1">
      <c r="A43" s="170"/>
      <c r="B43" s="169"/>
      <c r="C43" s="88" t="s">
        <v>81</v>
      </c>
      <c r="D43" s="88"/>
      <c r="E43" s="88"/>
      <c r="F43" s="71">
        <f>(137+84*(0))*C15/(2.4*1000)</f>
        <v>22.833333333333332</v>
      </c>
      <c r="G43" s="88" t="s">
        <v>0</v>
      </c>
      <c r="H43" s="167"/>
      <c r="I43" s="168"/>
      <c r="J43" s="94"/>
      <c r="K43" s="38"/>
      <c r="L43" s="31"/>
      <c r="M43" s="31"/>
      <c r="N43" s="54"/>
      <c r="O43" s="54"/>
      <c r="P43" s="54"/>
      <c r="Q43" s="1"/>
      <c r="R43" s="1"/>
      <c r="S43" s="1"/>
      <c r="T43" s="1"/>
      <c r="U43" s="1"/>
      <c r="V43" s="1"/>
    </row>
    <row r="44" spans="1:22" ht="15.75" customHeight="1">
      <c r="A44" s="70" t="s">
        <v>27</v>
      </c>
      <c r="B44" s="69" t="s">
        <v>2</v>
      </c>
      <c r="C44" s="69">
        <f>IF(C41&lt;H42,N27,N26)</f>
        <v>2.088</v>
      </c>
      <c r="D44" s="88" t="s">
        <v>17</v>
      </c>
      <c r="E44" s="88"/>
      <c r="F44" s="130"/>
      <c r="G44" s="131"/>
      <c r="H44" s="88"/>
      <c r="I44" s="88"/>
      <c r="J44" s="94"/>
      <c r="K44" s="38"/>
      <c r="L44" s="33"/>
      <c r="M44" s="33"/>
      <c r="N44" s="56"/>
      <c r="O44" s="31"/>
      <c r="P44" s="56"/>
      <c r="Q44" s="56"/>
      <c r="R44" s="54"/>
      <c r="S44" s="31"/>
      <c r="T44" s="1"/>
      <c r="U44" s="1"/>
      <c r="V44" s="1"/>
    </row>
    <row r="45" spans="1:22" ht="15.75" customHeight="1">
      <c r="A45" s="70" t="s">
        <v>56</v>
      </c>
      <c r="B45" s="69" t="s">
        <v>2</v>
      </c>
      <c r="C45" s="69">
        <f>C44</f>
        <v>2.088</v>
      </c>
      <c r="D45" s="88" t="s">
        <v>17</v>
      </c>
      <c r="E45" s="88"/>
      <c r="F45" s="130"/>
      <c r="G45" s="131"/>
      <c r="H45" s="88"/>
      <c r="I45" s="88"/>
      <c r="J45" s="94"/>
      <c r="K45" s="38"/>
      <c r="L45" s="33"/>
      <c r="M45" s="33"/>
      <c r="N45" s="56"/>
      <c r="O45" s="31"/>
      <c r="P45" s="56"/>
      <c r="Q45" s="56"/>
      <c r="R45" s="54"/>
      <c r="S45" s="31"/>
      <c r="T45" s="1"/>
      <c r="U45" s="1"/>
      <c r="V45" s="1"/>
    </row>
    <row r="46" spans="1:22" ht="15.75" customHeight="1">
      <c r="A46" s="70" t="s">
        <v>20</v>
      </c>
      <c r="B46" s="71" t="s">
        <v>2</v>
      </c>
      <c r="C46" s="95">
        <v>9</v>
      </c>
      <c r="D46" s="88" t="s">
        <v>0</v>
      </c>
      <c r="E46" s="88"/>
      <c r="F46" s="88"/>
      <c r="G46" s="132"/>
      <c r="H46" s="88"/>
      <c r="I46" s="88"/>
      <c r="J46" s="94"/>
      <c r="K46" s="38"/>
      <c r="L46" s="33"/>
      <c r="M46" s="33"/>
      <c r="N46" s="56"/>
      <c r="O46" s="31"/>
      <c r="P46" s="56"/>
      <c r="Q46" s="56"/>
      <c r="R46" s="57"/>
      <c r="S46" s="31"/>
      <c r="T46" s="1"/>
      <c r="U46" s="1"/>
      <c r="V46" s="1"/>
    </row>
    <row r="47" spans="1:22" ht="15.75" customHeight="1">
      <c r="A47" s="70" t="s">
        <v>21</v>
      </c>
      <c r="B47" s="71" t="s">
        <v>2</v>
      </c>
      <c r="C47" s="95">
        <v>9</v>
      </c>
      <c r="D47" s="88" t="s">
        <v>0</v>
      </c>
      <c r="E47" s="88"/>
      <c r="F47" s="88"/>
      <c r="G47" s="88"/>
      <c r="H47" s="88"/>
      <c r="I47" s="71"/>
      <c r="J47" s="94"/>
      <c r="K47" s="38"/>
      <c r="L47" s="33"/>
      <c r="M47" s="33"/>
      <c r="N47" s="56"/>
      <c r="O47" s="31"/>
      <c r="P47" s="56"/>
      <c r="Q47" s="56"/>
      <c r="R47" s="54"/>
      <c r="S47" s="54"/>
      <c r="T47" s="1"/>
      <c r="U47" s="1"/>
      <c r="V47" s="1"/>
    </row>
    <row r="48" spans="1:22" ht="15.75" customHeight="1">
      <c r="A48" s="133" t="s">
        <v>75</v>
      </c>
      <c r="B48" s="71" t="s">
        <v>2</v>
      </c>
      <c r="C48" s="97">
        <f>C46*100/C29</f>
        <v>56.50811344998824</v>
      </c>
      <c r="D48" s="88"/>
      <c r="E48" s="88"/>
      <c r="F48" s="88"/>
      <c r="G48" s="88"/>
      <c r="H48" s="88"/>
      <c r="I48" s="71"/>
      <c r="J48" s="94"/>
      <c r="K48" s="38"/>
      <c r="L48" s="33"/>
      <c r="M48" s="33"/>
      <c r="N48" s="56"/>
      <c r="O48" s="31"/>
      <c r="P48" s="56"/>
      <c r="Q48" s="56"/>
      <c r="R48" s="54"/>
      <c r="S48" s="54"/>
      <c r="T48" s="1"/>
      <c r="U48" s="1"/>
      <c r="V48" s="1"/>
    </row>
    <row r="49" spans="1:22" ht="15.75" customHeight="1">
      <c r="A49" s="133" t="s">
        <v>76</v>
      </c>
      <c r="B49" s="71" t="s">
        <v>2</v>
      </c>
      <c r="C49" s="97">
        <f>C47*100/C30</f>
        <v>56.50811344998824</v>
      </c>
      <c r="D49" s="88"/>
      <c r="E49" s="88"/>
      <c r="F49" s="88"/>
      <c r="G49" s="88"/>
      <c r="H49" s="88"/>
      <c r="I49" s="71"/>
      <c r="J49" s="94"/>
      <c r="K49" s="38"/>
      <c r="L49" s="33"/>
      <c r="M49" s="33"/>
      <c r="N49" s="56"/>
      <c r="O49" s="31"/>
      <c r="P49" s="56"/>
      <c r="Q49" s="56"/>
      <c r="R49" s="54"/>
      <c r="S49" s="54"/>
      <c r="T49" s="1"/>
      <c r="U49" s="1"/>
      <c r="V49" s="1"/>
    </row>
    <row r="50" spans="1:22" ht="15.75" customHeight="1">
      <c r="A50" s="134"/>
      <c r="B50" s="135" t="s">
        <v>22</v>
      </c>
      <c r="C50" s="71" t="s">
        <v>2</v>
      </c>
      <c r="D50" s="71">
        <f>MAX(C48,C49)</f>
        <v>56.50811344998824</v>
      </c>
      <c r="E50" s="88" t="s">
        <v>10</v>
      </c>
      <c r="F50" s="136" t="str">
        <f>IF(AND(D50&lt;180),"SAFE","Unsafe")</f>
        <v>SAFE</v>
      </c>
      <c r="G50" s="88"/>
      <c r="H50" s="88"/>
      <c r="I50" s="88"/>
      <c r="J50" s="122" t="s">
        <v>50</v>
      </c>
      <c r="K50" s="38"/>
      <c r="L50" s="33"/>
      <c r="M50" s="33"/>
      <c r="N50" s="56"/>
      <c r="O50" s="31"/>
      <c r="P50" s="33"/>
      <c r="Q50" s="33"/>
      <c r="R50" s="56"/>
      <c r="S50" s="31"/>
      <c r="T50" s="1"/>
      <c r="U50" s="1"/>
      <c r="V50" s="1"/>
    </row>
    <row r="51" spans="1:22" ht="15.75" customHeight="1">
      <c r="A51" s="70" t="s">
        <v>28</v>
      </c>
      <c r="B51" s="71" t="s">
        <v>2</v>
      </c>
      <c r="C51" s="71">
        <f>IF(AND(D50&lt;100),(1.4-0.000065*(D50)^2),(7500/(D50)^2))</f>
        <v>1.1924441524310117</v>
      </c>
      <c r="D51" s="88" t="s">
        <v>17</v>
      </c>
      <c r="E51" s="88"/>
      <c r="F51" s="88"/>
      <c r="G51" s="88"/>
      <c r="H51" s="88"/>
      <c r="I51" s="88"/>
      <c r="J51" s="94"/>
      <c r="K51" s="38"/>
      <c r="L51" s="33"/>
      <c r="M51" s="33"/>
      <c r="N51" s="56"/>
      <c r="O51" s="31"/>
      <c r="P51" s="31"/>
      <c r="Q51" s="54"/>
      <c r="R51" s="54"/>
      <c r="S51" s="54"/>
      <c r="T51" s="1"/>
      <c r="U51" s="1"/>
      <c r="V51" s="1"/>
    </row>
    <row r="52" spans="1:22" ht="15.75" customHeight="1">
      <c r="A52" s="70" t="s">
        <v>29</v>
      </c>
      <c r="B52" s="71" t="s">
        <v>2</v>
      </c>
      <c r="C52" s="71">
        <f>C40/C51</f>
        <v>0.11826603429446562</v>
      </c>
      <c r="D52" s="69"/>
      <c r="E52" s="71"/>
      <c r="F52" s="88"/>
      <c r="G52" s="137"/>
      <c r="H52" s="88"/>
      <c r="I52" s="138"/>
      <c r="J52" s="115"/>
      <c r="K52" s="67"/>
      <c r="L52" s="33"/>
      <c r="M52" s="33"/>
      <c r="N52" s="33"/>
      <c r="O52" s="31"/>
      <c r="P52" s="33"/>
      <c r="Q52" s="33"/>
      <c r="R52" s="33"/>
      <c r="S52" s="31"/>
      <c r="T52" s="1"/>
      <c r="U52" s="1"/>
      <c r="V52" s="1"/>
    </row>
    <row r="53" spans="1:22" ht="15.75" customHeight="1">
      <c r="A53" s="70" t="s">
        <v>23</v>
      </c>
      <c r="B53" s="71" t="s">
        <v>2</v>
      </c>
      <c r="C53" s="71" t="str">
        <f>IF(AND(C52&lt;0.15),"1.00",MAX((1/(1-C40/(7500/(C48)^2))),1))</f>
        <v>1.00</v>
      </c>
      <c r="D53" s="88"/>
      <c r="E53" s="88"/>
      <c r="F53" s="88"/>
      <c r="G53" s="88"/>
      <c r="H53" s="88"/>
      <c r="I53" s="88"/>
      <c r="J53" s="94"/>
      <c r="K53" s="67"/>
      <c r="L53" s="33"/>
      <c r="M53" s="33"/>
      <c r="N53" s="33"/>
      <c r="O53" s="33"/>
      <c r="P53" s="33"/>
      <c r="Q53" s="2"/>
      <c r="R53" s="2"/>
      <c r="S53" s="1"/>
      <c r="T53" s="1"/>
      <c r="U53" s="1"/>
      <c r="V53" s="1"/>
    </row>
    <row r="54" spans="1:22" ht="15.75" customHeight="1">
      <c r="A54" s="70" t="s">
        <v>64</v>
      </c>
      <c r="B54" s="71" t="s">
        <v>2</v>
      </c>
      <c r="C54" s="71" t="str">
        <f>IF(AND(C52&lt;0.15),"1.00",MAX((1/(1-C40/(7500/(C49)^2))),1))</f>
        <v>1.00</v>
      </c>
      <c r="D54" s="88"/>
      <c r="E54" s="88"/>
      <c r="F54" s="88"/>
      <c r="G54" s="88"/>
      <c r="H54" s="88"/>
      <c r="I54" s="88"/>
      <c r="J54" s="94"/>
      <c r="K54" s="67"/>
      <c r="L54" s="33"/>
      <c r="M54" s="33"/>
      <c r="N54" s="33"/>
      <c r="O54" s="33"/>
      <c r="P54" s="33"/>
      <c r="Q54" s="2"/>
      <c r="R54" s="2"/>
      <c r="S54" s="1"/>
      <c r="T54" s="1"/>
      <c r="U54" s="1"/>
      <c r="V54" s="1"/>
    </row>
    <row r="55" spans="1:22" ht="15.75" customHeight="1">
      <c r="A55" s="139" t="s">
        <v>11</v>
      </c>
      <c r="B55" s="88"/>
      <c r="C55" s="88"/>
      <c r="D55" s="88"/>
      <c r="E55" s="69"/>
      <c r="F55" s="71"/>
      <c r="G55" s="88"/>
      <c r="H55" s="140"/>
      <c r="I55" s="140"/>
      <c r="J55" s="141"/>
      <c r="K55" s="38"/>
      <c r="L55" s="33"/>
      <c r="M55" s="33"/>
      <c r="N55" s="33"/>
      <c r="O55" s="33"/>
      <c r="P55" s="33"/>
      <c r="Q55" s="2"/>
      <c r="R55" s="2"/>
      <c r="S55" s="1"/>
      <c r="T55" s="1"/>
      <c r="U55" s="1"/>
      <c r="V55" s="1"/>
    </row>
    <row r="56" spans="1:22" ht="15.75" customHeight="1">
      <c r="A56" s="87"/>
      <c r="B56" s="116" t="s">
        <v>57</v>
      </c>
      <c r="C56" s="88"/>
      <c r="D56" s="69"/>
      <c r="E56" s="142"/>
      <c r="F56" s="71">
        <f>C52+C38*C53/C44+C39*C54/C45</f>
        <v>0.3119088941206596</v>
      </c>
      <c r="G56" s="143" t="str">
        <f>IF(F56&lt;H56,"&lt;","&gt;")</f>
        <v>&lt;</v>
      </c>
      <c r="H56" s="144">
        <f>IF(AND(E8="a",E9="a"),1,1.2)</f>
        <v>1</v>
      </c>
      <c r="I56" s="145" t="str">
        <f>IF(AND(F56&lt;H56),"SAFE","Unsafe")</f>
        <v>SAFE</v>
      </c>
      <c r="J56" s="146" t="s">
        <v>52</v>
      </c>
      <c r="K56" s="54"/>
      <c r="L56" s="54"/>
      <c r="M56" s="54"/>
      <c r="N56" s="54"/>
      <c r="O56" s="54"/>
      <c r="P56" s="54"/>
      <c r="Q56" s="1"/>
      <c r="R56" s="1"/>
      <c r="S56" s="1"/>
      <c r="T56" s="1"/>
      <c r="U56" s="1"/>
      <c r="V56" s="1"/>
    </row>
    <row r="57" spans="1:22" ht="15.75" customHeight="1">
      <c r="A57" s="87"/>
      <c r="B57" s="88"/>
      <c r="C57" s="88"/>
      <c r="D57" s="88"/>
      <c r="E57" s="69"/>
      <c r="F57" s="142"/>
      <c r="G57" s="71"/>
      <c r="H57" s="147"/>
      <c r="I57" s="148"/>
      <c r="J57" s="149"/>
      <c r="K57" s="54"/>
      <c r="L57" s="54"/>
      <c r="M57" s="54"/>
      <c r="N57" s="54"/>
      <c r="O57" s="54"/>
      <c r="P57" s="54"/>
      <c r="Q57" s="1"/>
      <c r="R57" s="1"/>
      <c r="S57" s="1"/>
      <c r="T57" s="1"/>
      <c r="U57" s="1"/>
      <c r="V57" s="1"/>
    </row>
    <row r="58" spans="1:22" ht="15.75" customHeight="1" thickBot="1">
      <c r="A58" s="150"/>
      <c r="B58" s="151"/>
      <c r="C58" s="152"/>
      <c r="D58" s="152"/>
      <c r="E58" s="153"/>
      <c r="F58" s="151"/>
      <c r="G58" s="152"/>
      <c r="H58" s="152"/>
      <c r="I58" s="152"/>
      <c r="J58" s="154"/>
      <c r="K58" s="54"/>
      <c r="L58" s="54"/>
      <c r="M58" s="54"/>
      <c r="N58" s="54"/>
      <c r="O58" s="54"/>
      <c r="P58" s="54"/>
      <c r="Q58" s="1"/>
      <c r="R58" s="1"/>
      <c r="S58" s="1"/>
      <c r="T58" s="1"/>
      <c r="U58" s="1"/>
      <c r="V58" s="1"/>
    </row>
    <row r="59" spans="1:22" ht="15.75" customHeight="1">
      <c r="A59" s="33"/>
      <c r="B59" s="36"/>
      <c r="C59" s="36"/>
      <c r="D59" s="31"/>
      <c r="E59" s="36"/>
      <c r="F59" s="48"/>
      <c r="G59" s="49"/>
      <c r="H59" s="31"/>
      <c r="I59" s="31"/>
      <c r="J59" s="33"/>
      <c r="K59" s="54"/>
      <c r="L59" s="54"/>
      <c r="M59" s="54"/>
      <c r="N59" s="54"/>
      <c r="O59" s="54"/>
      <c r="P59" s="54"/>
      <c r="Q59" s="1"/>
      <c r="R59" s="1"/>
      <c r="S59" s="1"/>
      <c r="T59" s="1"/>
      <c r="U59" s="1"/>
      <c r="V59" s="1"/>
    </row>
    <row r="60" spans="1:22" ht="15.75" customHeight="1">
      <c r="A60" s="33"/>
      <c r="B60" s="36"/>
      <c r="C60" s="36"/>
      <c r="D60" s="31"/>
      <c r="E60" s="33"/>
      <c r="F60" s="36"/>
      <c r="G60" s="31"/>
      <c r="H60" s="31"/>
      <c r="I60" s="31"/>
      <c r="J60" s="31"/>
      <c r="K60" s="54"/>
      <c r="L60" s="54"/>
      <c r="M60" s="54"/>
      <c r="N60" s="54"/>
      <c r="O60" s="54"/>
      <c r="P60" s="54"/>
      <c r="Q60" s="1"/>
      <c r="R60" s="1"/>
      <c r="S60" s="1"/>
      <c r="T60" s="1"/>
      <c r="U60" s="1"/>
      <c r="V60" s="1"/>
    </row>
    <row r="61" spans="1:22" ht="15.75" customHeight="1">
      <c r="A61" s="73"/>
      <c r="B61" s="36"/>
      <c r="C61" s="31"/>
      <c r="D61" s="31"/>
      <c r="E61" s="31"/>
      <c r="F61" s="31"/>
      <c r="G61" s="31"/>
      <c r="H61" s="31"/>
      <c r="I61" s="31"/>
      <c r="J61" s="31"/>
      <c r="K61" s="54"/>
      <c r="L61" s="54"/>
      <c r="M61" s="54"/>
      <c r="N61" s="54"/>
      <c r="O61" s="54"/>
      <c r="P61" s="54"/>
      <c r="Q61" s="1"/>
      <c r="R61" s="1"/>
      <c r="S61" s="1"/>
      <c r="T61" s="1"/>
      <c r="U61" s="1"/>
      <c r="V61" s="1"/>
    </row>
    <row r="62" spans="1:22" ht="15.75" customHeight="1">
      <c r="A62" s="74"/>
      <c r="B62" s="36"/>
      <c r="C62" s="31"/>
      <c r="D62" s="31"/>
      <c r="E62" s="31"/>
      <c r="F62" s="31"/>
      <c r="G62" s="31"/>
      <c r="H62" s="31"/>
      <c r="I62" s="31"/>
      <c r="J62" s="31"/>
      <c r="K62" s="54"/>
      <c r="L62" s="54"/>
      <c r="M62" s="54"/>
      <c r="N62" s="54"/>
      <c r="O62" s="58"/>
      <c r="P62" s="58"/>
      <c r="Q62" s="1"/>
      <c r="R62" s="1"/>
      <c r="S62" s="1"/>
      <c r="T62" s="1"/>
      <c r="U62" s="1"/>
      <c r="V62" s="1"/>
    </row>
    <row r="63" spans="1:22" ht="15.75" customHeight="1">
      <c r="A63" s="33"/>
      <c r="B63" s="33"/>
      <c r="C63" s="36"/>
      <c r="D63" s="31"/>
      <c r="E63" s="31"/>
      <c r="F63" s="31"/>
      <c r="G63" s="31"/>
      <c r="H63" s="31"/>
      <c r="I63" s="31"/>
      <c r="J63" s="31"/>
      <c r="K63" s="54"/>
      <c r="L63" s="54"/>
      <c r="M63" s="54"/>
      <c r="N63" s="54"/>
      <c r="O63" s="54"/>
      <c r="P63" s="54"/>
      <c r="Q63" s="1"/>
      <c r="R63" s="1"/>
      <c r="S63" s="1"/>
      <c r="T63" s="1"/>
      <c r="U63" s="1"/>
      <c r="V63" s="1"/>
    </row>
    <row r="64" spans="1:22" ht="15.75" customHeight="1">
      <c r="A64" s="33"/>
      <c r="B64" s="33"/>
      <c r="C64" s="36"/>
      <c r="D64" s="31"/>
      <c r="E64" s="31"/>
      <c r="F64" s="31"/>
      <c r="G64" s="31"/>
      <c r="H64" s="31"/>
      <c r="I64" s="31"/>
      <c r="J64" s="31"/>
      <c r="K64" s="54"/>
      <c r="L64" s="54"/>
      <c r="M64" s="54"/>
      <c r="N64" s="54"/>
      <c r="O64" s="54"/>
      <c r="P64" s="54"/>
      <c r="Q64" s="1"/>
      <c r="R64" s="1"/>
      <c r="S64" s="1"/>
      <c r="T64" s="1"/>
      <c r="U64" s="1"/>
      <c r="V64" s="1"/>
    </row>
    <row r="65" spans="1:22" ht="15.75" customHeight="1">
      <c r="A65" s="33"/>
      <c r="B65" s="33"/>
      <c r="C65" s="36"/>
      <c r="D65" s="31"/>
      <c r="E65" s="31"/>
      <c r="F65" s="31"/>
      <c r="G65" s="31"/>
      <c r="H65" s="31"/>
      <c r="I65" s="31"/>
      <c r="J65" s="31"/>
      <c r="K65" s="54"/>
      <c r="L65" s="54"/>
      <c r="M65" s="54"/>
      <c r="N65" s="54"/>
      <c r="O65" s="54"/>
      <c r="P65" s="54"/>
      <c r="Q65" s="1"/>
      <c r="R65" s="1"/>
      <c r="S65" s="1"/>
      <c r="T65" s="1"/>
      <c r="U65" s="1"/>
      <c r="V65" s="1"/>
    </row>
    <row r="66" spans="1:22" ht="15.75" customHeight="1">
      <c r="A66" s="33"/>
      <c r="B66" s="33"/>
      <c r="C66" s="36"/>
      <c r="D66" s="31"/>
      <c r="E66" s="31"/>
      <c r="F66" s="31"/>
      <c r="G66" s="31"/>
      <c r="H66" s="31"/>
      <c r="I66" s="31"/>
      <c r="J66" s="31"/>
      <c r="K66" s="54"/>
      <c r="L66" s="54"/>
      <c r="M66" s="54"/>
      <c r="N66" s="54"/>
      <c r="O66" s="54"/>
      <c r="P66" s="54"/>
      <c r="Q66" s="1"/>
      <c r="R66" s="1"/>
      <c r="S66" s="1"/>
      <c r="T66" s="1"/>
      <c r="U66" s="1"/>
      <c r="V66" s="1"/>
    </row>
    <row r="67" spans="1:22" ht="15.75" customHeight="1">
      <c r="A67" s="33"/>
      <c r="B67" s="33"/>
      <c r="C67" s="36"/>
      <c r="D67" s="31"/>
      <c r="E67" s="31"/>
      <c r="F67" s="31"/>
      <c r="G67" s="31"/>
      <c r="H67" s="31"/>
      <c r="I67" s="31"/>
      <c r="J67" s="31"/>
      <c r="K67" s="54"/>
      <c r="L67" s="54"/>
      <c r="M67" s="54"/>
      <c r="N67" s="54"/>
      <c r="O67" s="54"/>
      <c r="P67" s="54"/>
      <c r="Q67" s="1"/>
      <c r="R67" s="1"/>
      <c r="S67" s="1"/>
      <c r="T67" s="1"/>
      <c r="U67" s="1"/>
      <c r="V67" s="1"/>
    </row>
    <row r="68" spans="1:22" ht="15.75" customHeight="1">
      <c r="A68" s="33"/>
      <c r="B68" s="33"/>
      <c r="C68" s="36"/>
      <c r="D68" s="31"/>
      <c r="E68" s="31"/>
      <c r="F68" s="31"/>
      <c r="G68" s="31"/>
      <c r="H68" s="31"/>
      <c r="I68" s="31"/>
      <c r="J68" s="31"/>
      <c r="K68" s="54"/>
      <c r="L68" s="54"/>
      <c r="M68" s="54"/>
      <c r="N68" s="54"/>
      <c r="O68" s="54"/>
      <c r="P68" s="54"/>
      <c r="Q68" s="1"/>
      <c r="R68" s="1"/>
      <c r="S68" s="1"/>
      <c r="T68" s="1"/>
      <c r="U68" s="1"/>
      <c r="V68" s="1"/>
    </row>
    <row r="69" spans="1:22" ht="15.75" customHeight="1">
      <c r="A69" s="33"/>
      <c r="B69" s="33"/>
      <c r="C69" s="36"/>
      <c r="D69" s="31"/>
      <c r="E69" s="31"/>
      <c r="F69" s="31"/>
      <c r="G69" s="31"/>
      <c r="H69" s="31"/>
      <c r="I69" s="31"/>
      <c r="J69" s="31"/>
      <c r="K69" s="54"/>
      <c r="L69" s="54"/>
      <c r="M69" s="54"/>
      <c r="N69" s="54"/>
      <c r="O69" s="54"/>
      <c r="P69" s="54"/>
      <c r="Q69" s="1"/>
      <c r="R69" s="1"/>
      <c r="S69" s="1"/>
      <c r="T69" s="1"/>
      <c r="U69" s="1"/>
      <c r="V69" s="1"/>
    </row>
    <row r="70" spans="1:22" ht="15.75" customHeight="1">
      <c r="A70" s="33"/>
      <c r="B70" s="33"/>
      <c r="C70" s="36"/>
      <c r="D70" s="31"/>
      <c r="E70" s="31"/>
      <c r="F70" s="31"/>
      <c r="G70" s="31"/>
      <c r="H70" s="31"/>
      <c r="I70" s="31"/>
      <c r="J70" s="31"/>
      <c r="K70" s="54"/>
      <c r="L70" s="54"/>
      <c r="M70" s="54"/>
      <c r="N70" s="54"/>
      <c r="O70" s="54"/>
      <c r="P70" s="54"/>
      <c r="Q70" s="1"/>
      <c r="R70" s="1"/>
      <c r="S70" s="1"/>
      <c r="T70" s="1"/>
      <c r="U70" s="1"/>
      <c r="V70" s="1"/>
    </row>
    <row r="71" spans="1:16" ht="15.75" customHeight="1">
      <c r="A71" s="31"/>
      <c r="B71" s="33"/>
      <c r="C71" s="64"/>
      <c r="D71" s="31"/>
      <c r="E71" s="33"/>
      <c r="F71" s="50"/>
      <c r="G71" s="31"/>
      <c r="H71" s="31"/>
      <c r="I71" s="31"/>
      <c r="J71" s="31"/>
      <c r="K71" s="58"/>
      <c r="L71" s="58"/>
      <c r="M71" s="58"/>
      <c r="N71" s="58"/>
      <c r="O71" s="58"/>
      <c r="P71" s="58"/>
    </row>
    <row r="72" spans="1:16" ht="15.75" customHeight="1">
      <c r="A72" s="37"/>
      <c r="B72" s="32"/>
      <c r="C72" s="34"/>
      <c r="D72" s="32"/>
      <c r="E72" s="22"/>
      <c r="F72" s="22"/>
      <c r="G72" s="22"/>
      <c r="H72" s="22"/>
      <c r="I72" s="22"/>
      <c r="J72" s="22"/>
      <c r="K72" s="58"/>
      <c r="L72" s="58"/>
      <c r="M72" s="58"/>
      <c r="N72" s="58"/>
      <c r="O72" s="58"/>
      <c r="P72" s="58"/>
    </row>
    <row r="73" spans="1:16" ht="15.75" customHeight="1">
      <c r="A73" s="37"/>
      <c r="B73" s="32"/>
      <c r="C73" s="34"/>
      <c r="D73" s="32"/>
      <c r="E73" s="22"/>
      <c r="F73" s="22"/>
      <c r="G73" s="22"/>
      <c r="H73" s="22"/>
      <c r="I73" s="22"/>
      <c r="J73" s="22"/>
      <c r="K73" s="58"/>
      <c r="L73" s="58"/>
      <c r="M73" s="58"/>
      <c r="N73" s="58"/>
      <c r="O73" s="58"/>
      <c r="P73" s="58"/>
    </row>
    <row r="74" spans="1:16" ht="15.75" customHeight="1">
      <c r="A74" s="73"/>
      <c r="B74" s="32"/>
      <c r="C74" s="34"/>
      <c r="D74" s="32"/>
      <c r="E74" s="22"/>
      <c r="F74" s="22"/>
      <c r="G74" s="22"/>
      <c r="H74" s="22"/>
      <c r="I74" s="22"/>
      <c r="J74" s="22"/>
      <c r="K74" s="58"/>
      <c r="L74" s="58"/>
      <c r="M74" s="58"/>
      <c r="N74" s="58"/>
      <c r="O74" s="58"/>
      <c r="P74" s="58"/>
    </row>
    <row r="75" spans="1:16" ht="15.75" customHeight="1">
      <c r="A75" s="39"/>
      <c r="B75" s="39"/>
      <c r="C75" s="39"/>
      <c r="D75" s="28"/>
      <c r="E75" s="40"/>
      <c r="F75" s="22"/>
      <c r="G75" s="22"/>
      <c r="H75" s="22"/>
      <c r="I75" s="22"/>
      <c r="J75" s="75"/>
      <c r="K75" s="58"/>
      <c r="L75" s="58"/>
      <c r="M75" s="58"/>
      <c r="N75" s="58"/>
      <c r="O75" s="58"/>
      <c r="P75" s="58"/>
    </row>
    <row r="76" spans="1:16" ht="15.75" customHeight="1">
      <c r="A76" s="39"/>
      <c r="B76" s="39"/>
      <c r="C76" s="39"/>
      <c r="D76" s="28"/>
      <c r="E76" s="40"/>
      <c r="F76" s="22"/>
      <c r="G76" s="22"/>
      <c r="H76" s="22"/>
      <c r="I76" s="22"/>
      <c r="J76" s="75"/>
      <c r="K76" s="58"/>
      <c r="L76" s="58"/>
      <c r="M76" s="58"/>
      <c r="N76" s="58"/>
      <c r="O76" s="58"/>
      <c r="P76" s="58"/>
    </row>
    <row r="77" spans="1:16" ht="15.75" customHeight="1">
      <c r="A77" s="28"/>
      <c r="B77" s="41"/>
      <c r="C77" s="29"/>
      <c r="D77" s="42"/>
      <c r="E77" s="42"/>
      <c r="F77" s="22"/>
      <c r="G77" s="51"/>
      <c r="H77" s="22"/>
      <c r="I77" s="22"/>
      <c r="J77" s="22"/>
      <c r="K77" s="58"/>
      <c r="L77" s="58"/>
      <c r="M77" s="58"/>
      <c r="N77" s="58"/>
      <c r="O77" s="58"/>
      <c r="P77" s="58"/>
    </row>
    <row r="78" spans="1:16" ht="15.75" customHeight="1">
      <c r="A78" s="28"/>
      <c r="B78" s="52"/>
      <c r="C78" s="29"/>
      <c r="D78" s="32"/>
      <c r="E78" s="53"/>
      <c r="F78" s="52"/>
      <c r="G78" s="22"/>
      <c r="H78" s="22"/>
      <c r="I78" s="22"/>
      <c r="J78" s="22"/>
      <c r="K78" s="58"/>
      <c r="L78" s="58"/>
      <c r="M78" s="58"/>
      <c r="N78" s="58"/>
      <c r="O78" s="58"/>
      <c r="P78" s="58"/>
    </row>
    <row r="79" spans="1:16" ht="15.75" customHeight="1">
      <c r="A79" s="28"/>
      <c r="B79" s="52"/>
      <c r="C79" s="29"/>
      <c r="D79" s="32"/>
      <c r="E79" s="28"/>
      <c r="F79" s="52"/>
      <c r="G79" s="22"/>
      <c r="H79" s="22"/>
      <c r="I79" s="22"/>
      <c r="J79" s="22"/>
      <c r="K79" s="58"/>
      <c r="L79" s="58"/>
      <c r="M79" s="58"/>
      <c r="N79" s="58"/>
      <c r="O79" s="58"/>
      <c r="P79" s="58"/>
    </row>
    <row r="80" spans="1:16" ht="15.75" customHeight="1">
      <c r="A80" s="73"/>
      <c r="B80" s="52"/>
      <c r="C80" s="29"/>
      <c r="D80" s="32"/>
      <c r="E80" s="22"/>
      <c r="F80" s="22"/>
      <c r="G80" s="22"/>
      <c r="H80" s="22"/>
      <c r="I80" s="22"/>
      <c r="J80" s="22"/>
      <c r="K80" s="58"/>
      <c r="L80" s="58"/>
      <c r="M80" s="58"/>
      <c r="N80" s="58"/>
      <c r="O80" s="58"/>
      <c r="P80" s="58"/>
    </row>
    <row r="81" spans="1:16" ht="15.75" customHeight="1">
      <c r="A81" s="33"/>
      <c r="B81" s="36"/>
      <c r="C81" s="36"/>
      <c r="D81" s="31"/>
      <c r="E81" s="31"/>
      <c r="F81" s="33"/>
      <c r="G81" s="33"/>
      <c r="H81" s="35"/>
      <c r="I81" s="35"/>
      <c r="J81" s="35"/>
      <c r="K81" s="58"/>
      <c r="L81" s="58"/>
      <c r="M81" s="58"/>
      <c r="N81" s="58"/>
      <c r="O81" s="58"/>
      <c r="P81" s="58"/>
    </row>
    <row r="82" spans="1:20" ht="15.75" customHeight="1">
      <c r="A82" s="33"/>
      <c r="B82" s="36"/>
      <c r="C82" s="36"/>
      <c r="D82" s="31"/>
      <c r="E82" s="31"/>
      <c r="F82" s="31"/>
      <c r="G82" s="31"/>
      <c r="H82" s="31"/>
      <c r="I82" s="31"/>
      <c r="J82" s="31"/>
      <c r="K82" s="58"/>
      <c r="L82" s="58"/>
      <c r="M82" s="58"/>
      <c r="N82" s="58"/>
      <c r="O82" s="58"/>
      <c r="P82" s="58"/>
      <c r="Q82" s="58"/>
      <c r="R82" s="58"/>
      <c r="S82" s="58"/>
      <c r="T82" s="58"/>
    </row>
    <row r="83" spans="1:20" ht="15.75" customHeight="1">
      <c r="A83" s="166"/>
      <c r="B83" s="169"/>
      <c r="C83" s="31"/>
      <c r="D83" s="31"/>
      <c r="E83" s="22"/>
      <c r="F83" s="33"/>
      <c r="G83" s="31"/>
      <c r="H83" s="166"/>
      <c r="I83" s="166"/>
      <c r="J83" s="33"/>
      <c r="K83" s="58"/>
      <c r="L83" s="58"/>
      <c r="M83" s="58"/>
      <c r="N83" s="58"/>
      <c r="O83" s="58"/>
      <c r="P83" s="58"/>
      <c r="Q83" s="58"/>
      <c r="R83" s="58"/>
      <c r="S83" s="58"/>
      <c r="T83" s="58"/>
    </row>
    <row r="84" spans="1:20" ht="15.75" customHeight="1">
      <c r="A84" s="166"/>
      <c r="B84" s="169"/>
      <c r="C84" s="31"/>
      <c r="D84" s="31"/>
      <c r="E84" s="31"/>
      <c r="F84" s="36"/>
      <c r="G84" s="31"/>
      <c r="H84" s="166"/>
      <c r="I84" s="166"/>
      <c r="J84" s="33"/>
      <c r="K84" s="58"/>
      <c r="L84" s="33"/>
      <c r="M84" s="33"/>
      <c r="N84" s="55"/>
      <c r="O84" s="31"/>
      <c r="P84" s="56"/>
      <c r="Q84" s="56"/>
      <c r="R84" s="54"/>
      <c r="S84" s="31"/>
      <c r="T84" s="58"/>
    </row>
    <row r="85" spans="1:20" ht="15.75" customHeight="1">
      <c r="A85" s="33"/>
      <c r="B85" s="31"/>
      <c r="C85" s="31"/>
      <c r="D85" s="31"/>
      <c r="E85" s="31"/>
      <c r="F85" s="42"/>
      <c r="G85" s="37"/>
      <c r="H85" s="31"/>
      <c r="I85" s="31"/>
      <c r="J85" s="31"/>
      <c r="K85" s="58"/>
      <c r="L85" s="33"/>
      <c r="M85" s="33"/>
      <c r="N85" s="56"/>
      <c r="O85" s="31"/>
      <c r="P85" s="56"/>
      <c r="Q85" s="56"/>
      <c r="R85" s="54"/>
      <c r="S85" s="31"/>
      <c r="T85" s="58"/>
    </row>
    <row r="86" spans="1:20" ht="15.75" customHeight="1">
      <c r="A86" s="33"/>
      <c r="B86" s="33"/>
      <c r="C86" s="33"/>
      <c r="D86" s="31"/>
      <c r="E86" s="31"/>
      <c r="F86" s="159"/>
      <c r="G86" s="159"/>
      <c r="H86" s="51"/>
      <c r="I86" s="51"/>
      <c r="J86" s="51"/>
      <c r="K86" s="58"/>
      <c r="L86" s="33"/>
      <c r="M86" s="33"/>
      <c r="N86" s="56"/>
      <c r="O86" s="54"/>
      <c r="P86" s="56"/>
      <c r="Q86" s="56"/>
      <c r="R86" s="54"/>
      <c r="S86" s="31"/>
      <c r="T86" s="58"/>
    </row>
    <row r="87" spans="1:20" ht="15.75" customHeight="1">
      <c r="A87" s="33"/>
      <c r="B87" s="33"/>
      <c r="C87" s="33"/>
      <c r="D87" s="31"/>
      <c r="E87" s="31"/>
      <c r="F87" s="42"/>
      <c r="G87" s="37"/>
      <c r="H87" s="31"/>
      <c r="I87" s="31"/>
      <c r="J87" s="31"/>
      <c r="K87" s="58"/>
      <c r="L87" s="33"/>
      <c r="M87" s="33"/>
      <c r="N87" s="56"/>
      <c r="O87" s="31"/>
      <c r="P87" s="56"/>
      <c r="Q87" s="56"/>
      <c r="R87" s="54"/>
      <c r="S87" s="31"/>
      <c r="T87" s="58"/>
    </row>
    <row r="88" spans="1:20" ht="15.75" customHeight="1">
      <c r="A88" s="33"/>
      <c r="B88" s="36"/>
      <c r="C88" s="36"/>
      <c r="D88" s="31"/>
      <c r="E88" s="31"/>
      <c r="F88" s="31"/>
      <c r="G88" s="43"/>
      <c r="H88" s="31"/>
      <c r="I88" s="31"/>
      <c r="J88" s="31"/>
      <c r="K88" s="58"/>
      <c r="L88" s="33"/>
      <c r="M88" s="33"/>
      <c r="N88" s="56"/>
      <c r="O88" s="31"/>
      <c r="P88" s="56"/>
      <c r="Q88" s="56"/>
      <c r="R88" s="57"/>
      <c r="S88" s="31"/>
      <c r="T88" s="58"/>
    </row>
    <row r="89" spans="1:20" ht="15.75" customHeight="1">
      <c r="A89" s="33"/>
      <c r="B89" s="36"/>
      <c r="C89" s="36"/>
      <c r="D89" s="31"/>
      <c r="E89" s="31"/>
      <c r="F89" s="31"/>
      <c r="G89" s="31"/>
      <c r="H89" s="31"/>
      <c r="I89" s="31"/>
      <c r="J89" s="31"/>
      <c r="K89" s="58"/>
      <c r="L89" s="33"/>
      <c r="M89" s="33"/>
      <c r="N89" s="56"/>
      <c r="O89" s="31"/>
      <c r="P89" s="56"/>
      <c r="Q89" s="56"/>
      <c r="R89" s="54"/>
      <c r="S89" s="54"/>
      <c r="T89" s="58"/>
    </row>
    <row r="90" spans="1:20" ht="15.75" customHeight="1">
      <c r="A90" s="44"/>
      <c r="B90" s="36"/>
      <c r="C90" s="36"/>
      <c r="D90" s="31"/>
      <c r="E90" s="31"/>
      <c r="F90" s="31"/>
      <c r="G90" s="31"/>
      <c r="H90" s="31"/>
      <c r="I90" s="31"/>
      <c r="J90" s="31"/>
      <c r="K90" s="58"/>
      <c r="L90" s="33"/>
      <c r="M90" s="33"/>
      <c r="N90" s="56"/>
      <c r="O90" s="31"/>
      <c r="P90" s="33"/>
      <c r="Q90" s="33"/>
      <c r="R90" s="56"/>
      <c r="S90" s="31"/>
      <c r="T90" s="58"/>
    </row>
    <row r="91" spans="1:20" ht="15.75" customHeight="1">
      <c r="A91" s="44"/>
      <c r="B91" s="36"/>
      <c r="C91" s="36"/>
      <c r="D91" s="31"/>
      <c r="E91" s="31"/>
      <c r="F91" s="31"/>
      <c r="G91" s="31"/>
      <c r="H91" s="31"/>
      <c r="I91" s="31"/>
      <c r="J91" s="31"/>
      <c r="K91" s="58"/>
      <c r="L91" s="33"/>
      <c r="M91" s="33"/>
      <c r="N91" s="56"/>
      <c r="O91" s="31"/>
      <c r="P91" s="31"/>
      <c r="Q91" s="54"/>
      <c r="R91" s="54"/>
      <c r="S91" s="54"/>
      <c r="T91" s="58"/>
    </row>
    <row r="92" spans="1:20" ht="15.75" customHeight="1">
      <c r="A92" s="31"/>
      <c r="B92" s="31"/>
      <c r="C92" s="44"/>
      <c r="D92" s="33"/>
      <c r="E92" s="36"/>
      <c r="F92" s="31"/>
      <c r="G92" s="45"/>
      <c r="H92" s="31"/>
      <c r="I92" s="31"/>
      <c r="J92" s="75"/>
      <c r="K92" s="58"/>
      <c r="L92" s="33"/>
      <c r="M92" s="33"/>
      <c r="N92" s="33"/>
      <c r="O92" s="31"/>
      <c r="P92" s="33"/>
      <c r="Q92" s="33"/>
      <c r="R92" s="33"/>
      <c r="S92" s="31"/>
      <c r="T92" s="58"/>
    </row>
    <row r="93" spans="1:20" ht="15.75" customHeight="1">
      <c r="A93" s="33"/>
      <c r="B93" s="36"/>
      <c r="C93" s="36"/>
      <c r="D93" s="31"/>
      <c r="E93" s="31"/>
      <c r="F93" s="31"/>
      <c r="G93" s="31"/>
      <c r="H93" s="31"/>
      <c r="I93" s="31"/>
      <c r="J93" s="31"/>
      <c r="K93" s="58"/>
      <c r="L93" s="58"/>
      <c r="M93" s="58"/>
      <c r="N93" s="58"/>
      <c r="O93" s="58"/>
      <c r="P93" s="58"/>
      <c r="Q93" s="58"/>
      <c r="R93" s="58"/>
      <c r="S93" s="58"/>
      <c r="T93" s="58"/>
    </row>
    <row r="94" spans="1:20" ht="15.75" customHeight="1">
      <c r="A94" s="33"/>
      <c r="B94" s="36"/>
      <c r="C94" s="36"/>
      <c r="D94" s="31"/>
      <c r="E94" s="30"/>
      <c r="F94" s="30"/>
      <c r="G94" s="30"/>
      <c r="H94" s="31"/>
      <c r="I94" s="31"/>
      <c r="J94" s="31"/>
      <c r="K94" s="58"/>
      <c r="L94" s="58"/>
      <c r="M94" s="58"/>
      <c r="N94" s="58"/>
      <c r="O94" s="58"/>
      <c r="P94" s="58"/>
      <c r="Q94" s="58"/>
      <c r="R94" s="58"/>
      <c r="S94" s="58"/>
      <c r="T94" s="58"/>
    </row>
    <row r="95" spans="1:20" ht="15.75" customHeight="1">
      <c r="A95" s="33"/>
      <c r="B95" s="36"/>
      <c r="C95" s="36"/>
      <c r="D95" s="31"/>
      <c r="E95" s="31"/>
      <c r="F95" s="31"/>
      <c r="G95" s="31"/>
      <c r="H95" s="31"/>
      <c r="I95" s="31"/>
      <c r="J95" s="31"/>
      <c r="K95" s="58"/>
      <c r="L95" s="33"/>
      <c r="M95" s="33"/>
      <c r="N95" s="55"/>
      <c r="O95" s="31"/>
      <c r="P95" s="56"/>
      <c r="Q95" s="56"/>
      <c r="R95" s="54"/>
      <c r="S95" s="31"/>
      <c r="T95" s="58"/>
    </row>
    <row r="96" spans="1:20" ht="15.75" customHeight="1">
      <c r="A96" s="76"/>
      <c r="B96" s="31"/>
      <c r="C96" s="31"/>
      <c r="D96" s="31"/>
      <c r="E96" s="33"/>
      <c r="F96" s="36"/>
      <c r="G96" s="31"/>
      <c r="H96" s="46"/>
      <c r="I96" s="46"/>
      <c r="J96" s="46"/>
      <c r="K96" s="58"/>
      <c r="L96" s="33"/>
      <c r="M96" s="33"/>
      <c r="N96" s="56"/>
      <c r="O96" s="31"/>
      <c r="P96" s="56"/>
      <c r="Q96" s="56"/>
      <c r="R96" s="54"/>
      <c r="S96" s="31"/>
      <c r="T96" s="58"/>
    </row>
    <row r="97" spans="1:20" ht="15.75" customHeight="1">
      <c r="A97" s="31"/>
      <c r="B97" s="31"/>
      <c r="C97" s="31"/>
      <c r="D97" s="31"/>
      <c r="E97" s="33"/>
      <c r="F97" s="47"/>
      <c r="G97" s="36"/>
      <c r="H97" s="48"/>
      <c r="I97" s="49"/>
      <c r="J97" s="33"/>
      <c r="K97" s="58"/>
      <c r="L97" s="33"/>
      <c r="M97" s="33"/>
      <c r="N97" s="56"/>
      <c r="O97" s="54"/>
      <c r="P97" s="56"/>
      <c r="Q97" s="56"/>
      <c r="R97" s="54"/>
      <c r="S97" s="31"/>
      <c r="T97" s="58"/>
    </row>
    <row r="98" spans="1:20" ht="15.7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58"/>
      <c r="L98" s="33"/>
      <c r="M98" s="33"/>
      <c r="N98" s="56"/>
      <c r="O98" s="31"/>
      <c r="P98" s="56"/>
      <c r="Q98" s="56"/>
      <c r="R98" s="54"/>
      <c r="S98" s="31"/>
      <c r="T98" s="58"/>
    </row>
    <row r="99" spans="1:20" ht="15.7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L99" s="33"/>
      <c r="M99" s="33"/>
      <c r="N99" s="56"/>
      <c r="O99" s="31"/>
      <c r="P99" s="56"/>
      <c r="Q99" s="56"/>
      <c r="R99" s="57"/>
      <c r="S99" s="31"/>
      <c r="T99" s="58"/>
    </row>
    <row r="100" spans="12:20" ht="15.75" customHeight="1">
      <c r="L100" s="33"/>
      <c r="M100" s="33"/>
      <c r="N100" s="56"/>
      <c r="O100" s="31"/>
      <c r="P100" s="56"/>
      <c r="Q100" s="56"/>
      <c r="R100" s="54"/>
      <c r="S100" s="54"/>
      <c r="T100" s="58"/>
    </row>
    <row r="101" spans="12:20" ht="15.75" customHeight="1">
      <c r="L101" s="33"/>
      <c r="M101" s="33"/>
      <c r="N101" s="56"/>
      <c r="O101" s="31"/>
      <c r="P101" s="33"/>
      <c r="Q101" s="33"/>
      <c r="R101" s="56"/>
      <c r="S101" s="31"/>
      <c r="T101" s="58"/>
    </row>
    <row r="102" spans="12:20" ht="15.75" customHeight="1">
      <c r="L102" s="33"/>
      <c r="M102" s="33"/>
      <c r="N102" s="56"/>
      <c r="O102" s="31"/>
      <c r="P102" s="31"/>
      <c r="Q102" s="54"/>
      <c r="R102" s="54"/>
      <c r="S102" s="54"/>
      <c r="T102" s="58"/>
    </row>
    <row r="103" spans="12:20" ht="15.75" customHeight="1">
      <c r="L103" s="33"/>
      <c r="M103" s="33"/>
      <c r="N103" s="33"/>
      <c r="O103" s="31"/>
      <c r="P103" s="33"/>
      <c r="Q103" s="33"/>
      <c r="R103" s="33"/>
      <c r="S103" s="31"/>
      <c r="T103" s="58"/>
    </row>
    <row r="104" spans="12:20" ht="15.75" customHeight="1">
      <c r="L104" s="58"/>
      <c r="M104" s="58"/>
      <c r="N104" s="58"/>
      <c r="O104" s="58"/>
      <c r="P104" s="58"/>
      <c r="Q104" s="58"/>
      <c r="R104" s="58"/>
      <c r="S104" s="58"/>
      <c r="T104" s="58"/>
    </row>
    <row r="105" spans="12:20" ht="15.75" customHeight="1">
      <c r="L105" s="58"/>
      <c r="M105" s="58"/>
      <c r="N105" s="58"/>
      <c r="O105" s="58"/>
      <c r="P105" s="58"/>
      <c r="Q105" s="58"/>
      <c r="R105" s="58"/>
      <c r="S105" s="58"/>
      <c r="T105" s="58"/>
    </row>
    <row r="106" spans="12:20" ht="15.75" customHeight="1">
      <c r="L106" s="58"/>
      <c r="M106" s="58"/>
      <c r="N106" s="58"/>
      <c r="O106" s="58"/>
      <c r="P106" s="58"/>
      <c r="Q106" s="58"/>
      <c r="R106" s="58"/>
      <c r="S106" s="58"/>
      <c r="T106" s="58"/>
    </row>
    <row r="107" ht="15" customHeight="1"/>
    <row r="108" ht="15" customHeight="1"/>
    <row r="109" ht="15" customHeight="1"/>
    <row r="110" ht="15" customHeight="1"/>
  </sheetData>
  <mergeCells count="12">
    <mergeCell ref="A83:A84"/>
    <mergeCell ref="B83:B84"/>
    <mergeCell ref="A42:A43"/>
    <mergeCell ref="B42:B43"/>
    <mergeCell ref="H1:I2"/>
    <mergeCell ref="F86:G86"/>
    <mergeCell ref="D1:G1"/>
    <mergeCell ref="D2:G2"/>
    <mergeCell ref="H83:H84"/>
    <mergeCell ref="I83:I84"/>
    <mergeCell ref="H42:H43"/>
    <mergeCell ref="I42:I43"/>
  </mergeCells>
  <conditionalFormatting sqref="E33:E34 B35">
    <cfRule type="cellIs" priority="1" dxfId="0" operator="equal" stopIfTrue="1">
      <formula>"Compact"</formula>
    </cfRule>
    <cfRule type="cellIs" priority="2" dxfId="0" operator="equal" stopIfTrue="1">
      <formula>"Non compact"</formula>
    </cfRule>
    <cfRule type="cellIs" priority="3" dxfId="0" operator="equal" stopIfTrue="1">
      <formula>"Slender"</formula>
    </cfRule>
  </conditionalFormatting>
  <conditionalFormatting sqref="F50 I56">
    <cfRule type="cellIs" priority="4" dxfId="0" operator="equal" stopIfTrue="1">
      <formula>"SAFE"</formula>
    </cfRule>
    <cfRule type="cellIs" priority="5" dxfId="1" operator="notEqual" stopIfTrue="1">
      <formula>"Unsafe"</formula>
    </cfRule>
  </conditionalFormatting>
  <dataValidations count="3">
    <dataValidation type="list" allowBlank="1" showInputMessage="1" showErrorMessage="1" sqref="E8:E9">
      <formula1>$K$2:$K$3</formula1>
    </dataValidation>
    <dataValidation type="list" allowBlank="1" showInputMessage="1" showErrorMessage="1" sqref="H86 G77">
      <formula1>$K$17:$K$18</formula1>
    </dataValidation>
    <dataValidation type="list" allowBlank="1" showInputMessage="1" showErrorMessage="1" sqref="G6">
      <formula1>$K$13:$K$15</formula1>
    </dataValidation>
  </dataValidations>
  <printOptions horizontalCentered="1" verticalCentered="1"/>
  <pageMargins left="0" right="0" top="0.25" bottom="0.5" header="0.511811023622047" footer="0.511811023622047"/>
  <pageSetup horizontalDpi="300" verticalDpi="300" orientation="portrait" paperSize="9" scale="80" r:id="rId4"/>
  <colBreaks count="1" manualBreakCount="1">
    <brk id="10" max="65535" man="1"/>
  </colBreaks>
  <drawing r:id="rId3"/>
  <legacyDrawing r:id="rId2"/>
  <oleObjects>
    <oleObject progId="AutoCAD.Drawing.17" shapeId="18095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2009-06-25T07:55:18Z</cp:lastPrinted>
  <dcterms:created xsi:type="dcterms:W3CDTF">1997-10-17T07:03:38Z</dcterms:created>
  <dcterms:modified xsi:type="dcterms:W3CDTF">2010-07-05T11:06:35Z</dcterms:modified>
  <cp:category/>
  <cp:version/>
  <cp:contentType/>
  <cp:contentStatus/>
</cp:coreProperties>
</file>