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42" activeTab="0"/>
  </bookViews>
  <sheets>
    <sheet name="HSB Connection" sheetId="1" r:id="rId1"/>
  </sheets>
  <definedNames>
    <definedName name="_xlnm.Print_Area" localSheetId="0">'HSB Connection'!$A$1:$L$63</definedName>
    <definedName name="Z_B381FCE2_D8C1_4124_915B_856606DE7547_.wvu.PrintArea" localSheetId="0" hidden="1">'HSB Connection'!$A$1:$L$64</definedName>
  </definedNames>
  <calcPr fullCalcOnLoad="1"/>
</workbook>
</file>

<file path=xl/sharedStrings.xml><?xml version="1.0" encoding="utf-8"?>
<sst xmlns="http://schemas.openxmlformats.org/spreadsheetml/2006/main" count="208" uniqueCount="135">
  <si>
    <t>=</t>
  </si>
  <si>
    <t>t</t>
  </si>
  <si>
    <t>mm</t>
  </si>
  <si>
    <t>mt</t>
  </si>
  <si>
    <t>Q</t>
  </si>
  <si>
    <t>cm</t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</si>
  <si>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</si>
  <si>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</si>
  <si>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</si>
  <si>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</si>
  <si>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</si>
  <si>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</si>
  <si>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</si>
  <si>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</si>
  <si>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</si>
  <si>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</si>
  <si>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</si>
  <si>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</si>
  <si>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</si>
  <si>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</si>
  <si>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</si>
  <si>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M.Nour</t>
  </si>
  <si>
    <t>&lt;</t>
  </si>
  <si>
    <t>B</t>
  </si>
  <si>
    <t>T</t>
  </si>
  <si>
    <t>n</t>
  </si>
  <si>
    <t>CHECKING AND PACKING HALL</t>
  </si>
  <si>
    <t>CONNECTION ID :-</t>
  </si>
  <si>
    <t>( C-1 )</t>
  </si>
  <si>
    <t>referance</t>
  </si>
  <si>
    <t>1)- APPLIED FORCES :</t>
  </si>
  <si>
    <t>case a/b</t>
  </si>
  <si>
    <t>Dim (mm)</t>
  </si>
  <si>
    <t>As</t>
  </si>
  <si>
    <t>Ps I</t>
  </si>
  <si>
    <t>Ps II</t>
  </si>
  <si>
    <t>M</t>
  </si>
  <si>
    <t>2)- H.S.B USED ARE :</t>
  </si>
  <si>
    <t>3)- DIMS. OF HEAD PLATE USED ARE :</t>
  </si>
  <si>
    <t>H</t>
  </si>
  <si>
    <t>4)- NO. OF BOLTS REQUIRED :</t>
  </si>
  <si>
    <t>bolts</t>
  </si>
  <si>
    <t>tension side</t>
  </si>
  <si>
    <t>No of bolts ber col.</t>
  </si>
  <si>
    <t>total</t>
  </si>
  <si>
    <t>5)- ARRANGEMENT OF BOLTS :</t>
  </si>
  <si>
    <t>6)- CHECK FORCES ON BOLTS :</t>
  </si>
  <si>
    <t>t      &lt;</t>
  </si>
  <si>
    <t>I=</t>
  </si>
  <si>
    <t>P105</t>
  </si>
  <si>
    <t>eqn. 6.11</t>
  </si>
  <si>
    <t>7)- CHECK STRESS ON HEAD PLATE :</t>
  </si>
  <si>
    <t>M/Ix x (H/2) - T/(B X H) =</t>
  </si>
  <si>
    <t>8)- CHECK HEAD PLATE THICKNESS :</t>
  </si>
  <si>
    <t>e</t>
  </si>
  <si>
    <t>cmt</t>
  </si>
  <si>
    <t>P118</t>
  </si>
  <si>
    <t>eqn. 6.27</t>
  </si>
  <si>
    <r>
      <t>T</t>
    </r>
    <r>
      <rPr>
        <vertAlign val="subscript"/>
        <sz val="11"/>
        <rFont val="Times New Roman"/>
        <family val="1"/>
      </rPr>
      <t>ext</t>
    </r>
  </si>
  <si>
    <r>
      <t>A</t>
    </r>
    <r>
      <rPr>
        <vertAlign val="subscript"/>
        <sz val="11"/>
        <rFont val="Times New Roman"/>
        <family val="1"/>
      </rPr>
      <t>S</t>
    </r>
  </si>
  <si>
    <r>
      <t>P</t>
    </r>
    <r>
      <rPr>
        <vertAlign val="subscript"/>
        <sz val="11"/>
        <rFont val="Times New Roman"/>
        <family val="1"/>
      </rPr>
      <t>S</t>
    </r>
  </si>
  <si>
    <r>
      <t>t</t>
    </r>
    <r>
      <rPr>
        <vertAlign val="subscript"/>
        <sz val="11"/>
        <rFont val="Times New Roman"/>
        <family val="1"/>
      </rPr>
      <t>p</t>
    </r>
  </si>
  <si>
    <r>
      <t>Take  n</t>
    </r>
    <r>
      <rPr>
        <b/>
        <sz val="11"/>
        <rFont val="Times New Roman"/>
        <family val="1"/>
      </rPr>
      <t xml:space="preserve"> =</t>
    </r>
  </si>
  <si>
    <r>
      <t>Take  n</t>
    </r>
    <r>
      <rPr>
        <b/>
        <vertAlign val="subscript"/>
        <sz val="11"/>
        <rFont val="Times New Roman"/>
        <family val="1"/>
      </rPr>
      <t>tot</t>
    </r>
    <r>
      <rPr>
        <b/>
        <sz val="11"/>
        <rFont val="Times New Roman"/>
        <family val="1"/>
      </rPr>
      <t xml:space="preserve"> =</t>
    </r>
  </si>
  <si>
    <r>
      <t>y</t>
    </r>
    <r>
      <rPr>
        <vertAlign val="subscript"/>
        <sz val="11"/>
        <rFont val="Times New Roman"/>
        <family val="1"/>
      </rPr>
      <t>1</t>
    </r>
  </si>
  <si>
    <r>
      <t>y</t>
    </r>
    <r>
      <rPr>
        <vertAlign val="subscript"/>
        <sz val="11"/>
        <rFont val="Times New Roman"/>
        <family val="1"/>
      </rPr>
      <t>4</t>
    </r>
  </si>
  <si>
    <r>
      <t>y</t>
    </r>
    <r>
      <rPr>
        <vertAlign val="subscript"/>
        <sz val="11"/>
        <rFont val="Times New Roman"/>
        <family val="1"/>
      </rPr>
      <t>2</t>
    </r>
  </si>
  <si>
    <r>
      <t>y</t>
    </r>
    <r>
      <rPr>
        <vertAlign val="subscript"/>
        <sz val="11"/>
        <rFont val="Times New Roman"/>
        <family val="1"/>
      </rPr>
      <t>5</t>
    </r>
  </si>
  <si>
    <r>
      <t>y</t>
    </r>
    <r>
      <rPr>
        <vertAlign val="subscript"/>
        <sz val="11"/>
        <rFont val="Times New Roman"/>
        <family val="1"/>
      </rPr>
      <t>3</t>
    </r>
  </si>
  <si>
    <r>
      <t>y</t>
    </r>
    <r>
      <rPr>
        <vertAlign val="subscript"/>
        <sz val="11"/>
        <rFont val="Times New Roman"/>
        <family val="1"/>
      </rPr>
      <t>6</t>
    </r>
  </si>
  <si>
    <r>
      <t>T</t>
    </r>
    <r>
      <rPr>
        <vertAlign val="subscript"/>
        <sz val="11"/>
        <rFont val="Times New Roman"/>
        <family val="1"/>
      </rPr>
      <t>ext,b1,m</t>
    </r>
  </si>
  <si>
    <r>
      <t>T</t>
    </r>
    <r>
      <rPr>
        <vertAlign val="subscript"/>
        <sz val="11"/>
        <rFont val="Times New Roman"/>
        <family val="1"/>
      </rPr>
      <t>ext,b2,m</t>
    </r>
  </si>
  <si>
    <r>
      <t>T</t>
    </r>
    <r>
      <rPr>
        <vertAlign val="subscript"/>
        <sz val="11"/>
        <rFont val="Times New Roman"/>
        <family val="1"/>
      </rPr>
      <t>ext,b3,m</t>
    </r>
  </si>
  <si>
    <r>
      <t>T</t>
    </r>
    <r>
      <rPr>
        <vertAlign val="subscript"/>
        <sz val="11"/>
        <rFont val="Times New Roman"/>
        <family val="1"/>
      </rPr>
      <t>ext,b4,m</t>
    </r>
  </si>
  <si>
    <r>
      <t>T</t>
    </r>
    <r>
      <rPr>
        <vertAlign val="subscript"/>
        <sz val="11"/>
        <rFont val="Times New Roman"/>
        <family val="1"/>
      </rPr>
      <t>ext,b5,m</t>
    </r>
  </si>
  <si>
    <r>
      <t>T</t>
    </r>
    <r>
      <rPr>
        <vertAlign val="subscript"/>
        <sz val="11"/>
        <rFont val="Times New Roman"/>
        <family val="1"/>
      </rPr>
      <t>ext,b6,m</t>
    </r>
  </si>
  <si>
    <r>
      <t>T</t>
    </r>
    <r>
      <rPr>
        <vertAlign val="subscript"/>
        <sz val="11"/>
        <rFont val="Times New Roman"/>
        <family val="1"/>
      </rPr>
      <t>ext,b</t>
    </r>
  </si>
  <si>
    <r>
      <t>T</t>
    </r>
    <r>
      <rPr>
        <vertAlign val="subscript"/>
        <sz val="11"/>
        <rFont val="Times New Roman"/>
        <family val="1"/>
      </rPr>
      <t>ext</t>
    </r>
    <r>
      <rPr>
        <sz val="11"/>
        <rFont val="Times New Roman"/>
        <family val="1"/>
      </rPr>
      <t>/n</t>
    </r>
    <r>
      <rPr>
        <vertAlign val="subscript"/>
        <sz val="11"/>
        <rFont val="Times New Roman"/>
        <family val="1"/>
      </rPr>
      <t>tot</t>
    </r>
  </si>
  <si>
    <r>
      <t>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>) / 0.6T +  (T</t>
    </r>
    <r>
      <rPr>
        <vertAlign val="subscript"/>
        <sz val="11"/>
        <rFont val="Times New Roman"/>
        <family val="1"/>
      </rPr>
      <t>ext,b,m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 xml:space="preserve"> / 0.8T</t>
    </r>
  </si>
  <si>
    <r>
      <t>Q / n</t>
    </r>
    <r>
      <rPr>
        <vertAlign val="subscript"/>
        <sz val="11"/>
        <rFont val="Times New Roman"/>
        <family val="1"/>
      </rPr>
      <t>tot</t>
    </r>
  </si>
  <si>
    <r>
      <t>Ps ( 1 - 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) / T )</t>
    </r>
  </si>
  <si>
    <r>
      <t>f</t>
    </r>
    <r>
      <rPr>
        <vertAlign val="subscript"/>
        <sz val="11"/>
        <rFont val="Times New Roman"/>
        <family val="1"/>
      </rPr>
      <t>c</t>
    </r>
  </si>
  <si>
    <r>
      <t>t/cm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&lt;</t>
    </r>
  </si>
  <si>
    <r>
      <t>M</t>
    </r>
    <r>
      <rPr>
        <vertAlign val="subscript"/>
        <sz val="11"/>
        <rFont val="Times New Roman"/>
        <family val="1"/>
      </rPr>
      <t xml:space="preserve">plate </t>
    </r>
  </si>
  <si>
    <r>
      <t>T</t>
    </r>
    <r>
      <rPr>
        <vertAlign val="subscript"/>
        <sz val="11"/>
        <rFont val="Times New Roman"/>
        <family val="1"/>
      </rPr>
      <t xml:space="preserve">ext,b,m </t>
    </r>
    <r>
      <rPr>
        <sz val="11"/>
        <rFont val="Times New Roman"/>
        <family val="1"/>
      </rPr>
      <t>x e =</t>
    </r>
  </si>
  <si>
    <r>
      <t>√</t>
    </r>
    <r>
      <rPr>
        <sz val="11"/>
        <rFont val="Times New Roman"/>
        <family val="1"/>
      </rPr>
      <t>(6M</t>
    </r>
    <r>
      <rPr>
        <vertAlign val="subscript"/>
        <sz val="11"/>
        <rFont val="Times New Roman"/>
        <family val="1"/>
      </rPr>
      <t>plate</t>
    </r>
    <r>
      <rPr>
        <sz val="11"/>
        <rFont val="Times New Roman"/>
        <family val="1"/>
      </rPr>
      <t>/(FbX2Xw)) =</t>
    </r>
  </si>
  <si>
    <r>
      <t>y</t>
    </r>
    <r>
      <rPr>
        <vertAlign val="subscript"/>
        <sz val="11"/>
        <rFont val="Times New Roman"/>
        <family val="1"/>
      </rPr>
      <t>7</t>
    </r>
  </si>
  <si>
    <r>
      <t>y</t>
    </r>
    <r>
      <rPr>
        <vertAlign val="subscript"/>
        <sz val="11"/>
        <rFont val="Times New Roman"/>
        <family val="1"/>
      </rPr>
      <t>8</t>
    </r>
  </si>
  <si>
    <r>
      <t>y</t>
    </r>
    <r>
      <rPr>
        <vertAlign val="subscript"/>
        <sz val="11"/>
        <rFont val="Times New Roman"/>
        <family val="1"/>
      </rPr>
      <t>9</t>
    </r>
  </si>
  <si>
    <r>
      <t>y</t>
    </r>
    <r>
      <rPr>
        <vertAlign val="subscript"/>
        <sz val="11"/>
        <rFont val="Times New Roman"/>
        <family val="1"/>
      </rPr>
      <t>10</t>
    </r>
  </si>
  <si>
    <t>F1=</t>
  </si>
  <si>
    <t>DY1=</t>
  </si>
  <si>
    <t>DY2=</t>
  </si>
  <si>
    <t>DY3=</t>
  </si>
  <si>
    <t>DY4=</t>
  </si>
  <si>
    <t>DY5=</t>
  </si>
  <si>
    <t>DY6=</t>
  </si>
  <si>
    <t>DY7=</t>
  </si>
  <si>
    <t>DY8=</t>
  </si>
  <si>
    <t>DY9=</t>
  </si>
  <si>
    <t>DY10=</t>
  </si>
  <si>
    <t>H1=</t>
  </si>
  <si>
    <t>H2=</t>
  </si>
  <si>
    <t>H3=</t>
  </si>
  <si>
    <t>H4=</t>
  </si>
  <si>
    <t>H5=</t>
  </si>
  <si>
    <t>H6=</t>
  </si>
  <si>
    <t>H7=</t>
  </si>
  <si>
    <t>H8=</t>
  </si>
  <si>
    <t>H9=</t>
  </si>
  <si>
    <t>F2=</t>
  </si>
  <si>
    <t>F3=</t>
  </si>
  <si>
    <t>F4=</t>
  </si>
  <si>
    <t>F5=</t>
  </si>
  <si>
    <t>F6=</t>
  </si>
  <si>
    <t>F7=</t>
  </si>
  <si>
    <t>F8=</t>
  </si>
  <si>
    <t>F9=</t>
  </si>
  <si>
    <r>
      <t>T</t>
    </r>
    <r>
      <rPr>
        <vertAlign val="subscript"/>
        <sz val="11"/>
        <rFont val="Times New Roman"/>
        <family val="1"/>
      </rPr>
      <t>ext,b7,m</t>
    </r>
  </si>
  <si>
    <r>
      <t>T</t>
    </r>
    <r>
      <rPr>
        <vertAlign val="subscript"/>
        <sz val="11"/>
        <rFont val="Times New Roman"/>
        <family val="1"/>
      </rPr>
      <t>ext,b8,m</t>
    </r>
  </si>
  <si>
    <r>
      <t>T</t>
    </r>
    <r>
      <rPr>
        <vertAlign val="subscript"/>
        <sz val="11"/>
        <rFont val="Times New Roman"/>
        <family val="1"/>
      </rPr>
      <t>ext,b9,m</t>
    </r>
  </si>
  <si>
    <r>
      <t>T</t>
    </r>
    <r>
      <rPr>
        <vertAlign val="subscript"/>
        <sz val="11"/>
        <rFont val="Times New Roman"/>
        <family val="1"/>
      </rPr>
      <t>ext,b10,m</t>
    </r>
  </si>
  <si>
    <t>if</t>
  </si>
  <si>
    <t>is a comp. But it with -ve sign</t>
  </si>
  <si>
    <t>X1=</t>
  </si>
  <si>
    <t>X2=</t>
  </si>
  <si>
    <t>X3=</t>
  </si>
  <si>
    <t>X4=</t>
  </si>
  <si>
    <t>X5=</t>
  </si>
  <si>
    <t>X6=</t>
  </si>
  <si>
    <t>X7=</t>
  </si>
  <si>
    <t>X8=</t>
  </si>
  <si>
    <t>X9=</t>
  </si>
  <si>
    <t>X10=</t>
  </si>
  <si>
    <t>Take it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</si>
</sst>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vertAlign val="subscript"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1">
    <xf numFmtId="201" fontId="0" fillId="0" borderId="0" xfId="0" applyAlignment="1">
      <alignment/>
    </xf>
    <xf numFmtId="201" fontId="29" fillId="0" borderId="10" xfId="0" applyFont="1" applyFill="1" applyBorder="1" applyAlignment="1" applyProtection="1">
      <alignment horizontal="left"/>
      <protection hidden="1"/>
    </xf>
    <xf numFmtId="201" fontId="30" fillId="0" borderId="11" xfId="0" applyFont="1" applyFill="1" applyBorder="1" applyAlignment="1" applyProtection="1">
      <alignment horizontal="left"/>
      <protection hidden="1"/>
    </xf>
    <xf numFmtId="201" fontId="31" fillId="0" borderId="11" xfId="0" applyFont="1" applyFill="1" applyBorder="1" applyAlignment="1" applyProtection="1">
      <alignment horizontal="left"/>
      <protection hidden="1"/>
    </xf>
    <xf numFmtId="201" fontId="31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33" fillId="0" borderId="0" xfId="0" applyFont="1" applyAlignment="1">
      <alignment/>
    </xf>
    <xf numFmtId="201" fontId="10" fillId="0" borderId="0" xfId="0" applyFont="1" applyFill="1" applyBorder="1" applyAlignment="1">
      <alignment horizontal="center"/>
    </xf>
    <xf numFmtId="201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01" fontId="6" fillId="0" borderId="0" xfId="0" applyFont="1" applyAlignment="1">
      <alignment horizontal="center"/>
    </xf>
    <xf numFmtId="201" fontId="45" fillId="0" borderId="0" xfId="0" applyFont="1" applyAlignment="1">
      <alignment/>
    </xf>
    <xf numFmtId="201" fontId="6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6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2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35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hidden="1"/>
    </xf>
    <xf numFmtId="201" fontId="0" fillId="0" borderId="26" xfId="0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6" fillId="0" borderId="11" xfId="0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/>
      <protection hidden="1"/>
    </xf>
    <xf numFmtId="201" fontId="37" fillId="0" borderId="10" xfId="0" applyFont="1" applyBorder="1" applyAlignment="1" applyProtection="1">
      <alignment/>
      <protection hidden="1"/>
    </xf>
    <xf numFmtId="201" fontId="38" fillId="0" borderId="20" xfId="0" applyFont="1" applyBorder="1" applyAlignment="1" applyProtection="1">
      <alignment horizontal="center"/>
      <protection hidden="1"/>
    </xf>
    <xf numFmtId="201" fontId="5" fillId="0" borderId="20" xfId="0" applyFont="1" applyFill="1" applyBorder="1" applyAlignment="1" applyProtection="1">
      <alignment/>
      <protection hidden="1"/>
    </xf>
    <xf numFmtId="201" fontId="39" fillId="0" borderId="20" xfId="0" applyFont="1" applyFill="1" applyBorder="1" applyAlignment="1" applyProtection="1">
      <alignment/>
      <protection hidden="1"/>
    </xf>
    <xf numFmtId="201" fontId="40" fillId="0" borderId="20" xfId="0" applyFont="1" applyFill="1" applyBorder="1" applyAlignment="1" applyProtection="1">
      <alignment/>
      <protection hidden="1"/>
    </xf>
    <xf numFmtId="201" fontId="6" fillId="0" borderId="20" xfId="0" applyFont="1" applyFill="1" applyBorder="1" applyAlignment="1" applyProtection="1">
      <alignment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/>
      <protection hidden="1"/>
    </xf>
    <xf numFmtId="201" fontId="33" fillId="0" borderId="0" xfId="0" applyFont="1" applyBorder="1" applyAlignment="1" applyProtection="1">
      <alignment horizontal="center"/>
      <protection hidden="1"/>
    </xf>
    <xf numFmtId="201" fontId="33" fillId="0" borderId="27" xfId="0" applyFont="1" applyBorder="1" applyAlignment="1" applyProtection="1">
      <alignment horizontal="center"/>
      <protection hidden="1"/>
    </xf>
    <xf numFmtId="201" fontId="4" fillId="0" borderId="11" xfId="0" applyFont="1" applyFill="1" applyBorder="1" applyAlignment="1" applyProtection="1">
      <alignment/>
      <protection hidden="1"/>
    </xf>
    <xf numFmtId="201" fontId="33" fillId="0" borderId="27" xfId="0" applyFont="1" applyBorder="1" applyAlignment="1" applyProtection="1">
      <alignment/>
      <protection hidden="1"/>
    </xf>
    <xf numFmtId="201" fontId="6" fillId="0" borderId="0" xfId="0" applyFont="1" applyFill="1" applyBorder="1" applyAlignment="1" applyProtection="1">
      <alignment horizontal="center"/>
      <protection hidden="1"/>
    </xf>
    <xf numFmtId="201" fontId="33" fillId="0" borderId="0" xfId="0" applyFont="1" applyBorder="1" applyAlignment="1" applyProtection="1">
      <alignment/>
      <protection hidden="1"/>
    </xf>
    <xf numFmtId="201" fontId="33" fillId="0" borderId="0" xfId="0" applyFont="1" applyBorder="1" applyAlignment="1" applyProtection="1">
      <alignment horizontal="left"/>
      <protection hidden="1"/>
    </xf>
    <xf numFmtId="201" fontId="6" fillId="0" borderId="11" xfId="0" applyFont="1" applyFill="1" applyBorder="1" applyAlignment="1" applyProtection="1">
      <alignment horizontal="right"/>
      <protection hidden="1"/>
    </xf>
    <xf numFmtId="201" fontId="6" fillId="0" borderId="0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07" fontId="6" fillId="0" borderId="0" xfId="0" applyNumberFormat="1" applyFont="1" applyFill="1" applyBorder="1" applyAlignment="1" applyProtection="1">
      <alignment horizontal="center"/>
      <protection hidden="1"/>
    </xf>
    <xf numFmtId="201" fontId="5" fillId="0" borderId="28" xfId="0" applyFont="1" applyFill="1" applyBorder="1" applyAlignment="1" applyProtection="1">
      <alignment horizontal="left"/>
      <protection hidden="1"/>
    </xf>
    <xf numFmtId="1" fontId="6" fillId="0" borderId="29" xfId="0" applyNumberFormat="1" applyFont="1" applyFill="1" applyBorder="1" applyAlignment="1" applyProtection="1">
      <alignment horizontal="center"/>
      <protection hidden="1"/>
    </xf>
    <xf numFmtId="201" fontId="5" fillId="0" borderId="30" xfId="0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10" fillId="0" borderId="0" xfId="0" applyFont="1" applyFill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/>
      <protection hidden="1"/>
    </xf>
    <xf numFmtId="201" fontId="45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6" fillId="0" borderId="12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/>
      <protection hidden="1"/>
    </xf>
    <xf numFmtId="201" fontId="33" fillId="0" borderId="31" xfId="0" applyFont="1" applyBorder="1" applyAlignment="1" applyProtection="1">
      <alignment/>
      <protection hidden="1"/>
    </xf>
    <xf numFmtId="201" fontId="33" fillId="0" borderId="0" xfId="0" applyFont="1" applyAlignment="1" applyProtection="1">
      <alignment/>
      <protection hidden="1"/>
    </xf>
    <xf numFmtId="208" fontId="33" fillId="0" borderId="0" xfId="0" applyNumberFormat="1" applyFont="1" applyAlignment="1" applyProtection="1">
      <alignment/>
      <protection hidden="1"/>
    </xf>
    <xf numFmtId="2" fontId="33" fillId="0" borderId="0" xfId="0" applyNumberFormat="1" applyFont="1" applyAlignment="1" applyProtection="1">
      <alignment horizontal="center"/>
      <protection hidden="1"/>
    </xf>
    <xf numFmtId="201" fontId="41" fillId="0" borderId="0" xfId="0" applyFont="1" applyAlignment="1" applyProtection="1">
      <alignment horizontal="center"/>
      <protection hidden="1"/>
    </xf>
    <xf numFmtId="204" fontId="33" fillId="0" borderId="0" xfId="0" applyNumberFormat="1" applyFont="1" applyAlignment="1" applyProtection="1">
      <alignment horizontal="center"/>
      <protection hidden="1"/>
    </xf>
    <xf numFmtId="1" fontId="33" fillId="0" borderId="0" xfId="0" applyNumberFormat="1" applyFont="1" applyAlignment="1" applyProtection="1">
      <alignment horizontal="center"/>
      <protection hidden="1"/>
    </xf>
    <xf numFmtId="201" fontId="42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04" fontId="43" fillId="0" borderId="0" xfId="0" applyNumberFormat="1" applyFont="1" applyFill="1" applyBorder="1" applyAlignment="1" applyProtection="1">
      <alignment horizontal="left"/>
      <protection locked="0"/>
    </xf>
    <xf numFmtId="1" fontId="43" fillId="0" borderId="0" xfId="0" applyNumberFormat="1" applyFont="1" applyFill="1" applyBorder="1" applyAlignment="1" applyProtection="1">
      <alignment horizontal="left"/>
      <protection locked="0"/>
    </xf>
    <xf numFmtId="1" fontId="44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29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201" fontId="6" fillId="0" borderId="0" xfId="0" applyFont="1" applyAlignment="1" applyProtection="1">
      <alignment/>
      <protection hidden="1"/>
    </xf>
    <xf numFmtId="201" fontId="0" fillId="0" borderId="21" xfId="0" applyBorder="1" applyAlignment="1" applyProtection="1">
      <alignment/>
      <protection locked="0"/>
    </xf>
    <xf numFmtId="201" fontId="0" fillId="0" borderId="22" xfId="0" applyBorder="1" applyAlignment="1" applyProtection="1">
      <alignment/>
      <protection locked="0"/>
    </xf>
    <xf numFmtId="201" fontId="0" fillId="0" borderId="26" xfId="0" applyBorder="1" applyAlignment="1" applyProtection="1">
      <alignment/>
      <protection locked="0"/>
    </xf>
    <xf numFmtId="201" fontId="6" fillId="0" borderId="0" xfId="0" applyFont="1" applyAlignment="1" applyProtection="1">
      <alignment horizontal="center"/>
      <protection hidden="1"/>
    </xf>
    <xf numFmtId="201" fontId="0" fillId="0" borderId="12" xfId="0" applyBorder="1" applyAlignment="1" applyProtection="1">
      <alignment/>
      <protection locked="0"/>
    </xf>
    <xf numFmtId="201" fontId="0" fillId="0" borderId="11" xfId="0" applyBorder="1" applyAlignment="1" applyProtection="1">
      <alignment/>
      <protection locked="0"/>
    </xf>
    <xf numFmtId="201" fontId="0" fillId="0" borderId="10" xfId="0" applyBorder="1" applyAlignment="1" applyProtection="1">
      <alignment/>
      <protection locked="0"/>
    </xf>
    <xf numFmtId="201" fontId="38" fillId="0" borderId="20" xfId="0" applyFont="1" applyBorder="1" applyAlignment="1" applyProtection="1">
      <alignment horizontal="center"/>
      <protection locked="0"/>
    </xf>
    <xf numFmtId="201" fontId="0" fillId="0" borderId="0" xfId="0" applyBorder="1" applyAlignment="1" applyProtection="1">
      <alignment horizontal="center"/>
      <protection hidden="1"/>
    </xf>
    <xf numFmtId="201" fontId="45" fillId="0" borderId="25" xfId="0" applyFont="1" applyBorder="1" applyAlignment="1" applyProtection="1">
      <alignment/>
      <protection hidden="1"/>
    </xf>
    <xf numFmtId="2" fontId="6" fillId="0" borderId="25" xfId="0" applyNumberFormat="1" applyFont="1" applyBorder="1" applyAlignment="1" applyProtection="1">
      <alignment horizontal="center"/>
      <protection hidden="1"/>
    </xf>
    <xf numFmtId="201" fontId="10" fillId="0" borderId="25" xfId="0" applyFont="1" applyFill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 horizontal="center"/>
      <protection hidden="1"/>
    </xf>
    <xf numFmtId="201" fontId="6" fillId="0" borderId="20" xfId="0" applyFont="1" applyFill="1" applyBorder="1" applyAlignment="1" applyProtection="1">
      <alignment horizontal="left"/>
      <protection hidden="1"/>
    </xf>
    <xf numFmtId="201" fontId="6" fillId="0" borderId="20" xfId="0" applyFont="1" applyBorder="1" applyAlignment="1" applyProtection="1">
      <alignment/>
      <protection hidden="1"/>
    </xf>
    <xf numFmtId="201" fontId="33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Alignment="1" applyProtection="1">
      <alignment horizontal="right"/>
      <protection hidden="1"/>
    </xf>
    <xf numFmtId="201" fontId="6" fillId="0" borderId="0" xfId="0" applyFont="1" applyBorder="1" applyAlignment="1" applyProtection="1">
      <alignment horizontal="right"/>
      <protection hidden="1"/>
    </xf>
    <xf numFmtId="201" fontId="33" fillId="0" borderId="0" xfId="0" applyFont="1" applyAlignment="1" applyProtection="1">
      <alignment horizontal="left"/>
      <protection hidden="1"/>
    </xf>
    <xf numFmtId="201" fontId="33" fillId="0" borderId="0" xfId="0" applyFont="1" applyAlignment="1" applyProtection="1">
      <alignment horizontal="right"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2" fontId="6" fillId="0" borderId="0" xfId="0" applyNumberFormat="1" applyFont="1" applyBorder="1" applyAlignment="1" applyProtection="1">
      <alignment horizontal="right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0" fontId="36" fillId="0" borderId="12" xfId="57" applyFont="1" applyBorder="1" applyAlignment="1" applyProtection="1">
      <alignment horizontal="center"/>
      <protection locked="0"/>
    </xf>
    <xf numFmtId="0" fontId="35" fillId="0" borderId="25" xfId="57" applyFont="1" applyBorder="1" applyAlignment="1" applyProtection="1">
      <alignment horizontal="center"/>
      <protection locked="0"/>
    </xf>
    <xf numFmtId="0" fontId="35" fillId="0" borderId="26" xfId="57" applyFont="1" applyBorder="1" applyAlignment="1" applyProtection="1">
      <alignment horizontal="center"/>
      <protection locked="0"/>
    </xf>
    <xf numFmtId="201" fontId="30" fillId="0" borderId="10" xfId="0" applyFont="1" applyBorder="1" applyAlignment="1" applyProtection="1">
      <alignment horizontal="center" vertical="center"/>
      <protection hidden="1"/>
    </xf>
    <xf numFmtId="201" fontId="30" fillId="0" borderId="21" xfId="0" applyFont="1" applyBorder="1" applyAlignment="1" applyProtection="1">
      <alignment horizontal="center" vertical="center"/>
      <protection hidden="1"/>
    </xf>
    <xf numFmtId="201" fontId="30" fillId="0" borderId="12" xfId="0" applyFont="1" applyBorder="1" applyAlignment="1" applyProtection="1">
      <alignment horizontal="center" vertical="center"/>
      <protection hidden="1"/>
    </xf>
    <xf numFmtId="201" fontId="30" fillId="0" borderId="26" xfId="0" applyFont="1" applyBorder="1" applyAlignment="1" applyProtection="1">
      <alignment horizontal="center" vertic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6" fillId="0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304800</xdr:colOff>
      <xdr:row>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05375" y="14478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19050</xdr:rowOff>
    </xdr:from>
    <xdr:to>
      <xdr:col>3</xdr:col>
      <xdr:colOff>590550</xdr:colOff>
      <xdr:row>59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323975" y="124491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161"/>
  <sheetViews>
    <sheetView showGridLines="0" tabSelected="1" view="pageBreakPreview" zoomScaleSheetLayoutView="100" workbookViewId="0" topLeftCell="A4">
      <selection activeCell="M13" sqref="M13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9.7109375" style="0" customWidth="1"/>
    <col min="4" max="4" width="13.28125" style="0" customWidth="1"/>
    <col min="5" max="5" width="11.7109375" style="0" customWidth="1"/>
    <col min="6" max="6" width="9.7109375" style="0" customWidth="1"/>
    <col min="7" max="7" width="10.7109375" style="0" customWidth="1"/>
    <col min="8" max="9" width="9.7109375" style="0" customWidth="1"/>
    <col min="15" max="15" width="14.28125" style="0" bestFit="1" customWidth="1"/>
    <col min="19" max="19" width="17.28125" style="0" bestFit="1" customWidth="1"/>
    <col min="20" max="20" width="10.421875" style="0" customWidth="1"/>
    <col min="24" max="24" width="11.7109375" style="0" customWidth="1"/>
  </cols>
  <sheetData>
    <row r="1" spans="1:25" ht="19.5" customHeight="1">
      <c r="A1" s="1" t="s">
        <v>10</v>
      </c>
      <c r="B1" s="19"/>
      <c r="C1" s="19"/>
      <c r="D1" s="20"/>
      <c r="E1" s="119" t="s">
        <v>16</v>
      </c>
      <c r="F1" s="120"/>
      <c r="G1" s="120"/>
      <c r="H1" s="121"/>
      <c r="I1" s="125" t="s">
        <v>17</v>
      </c>
      <c r="J1" s="126"/>
      <c r="K1" s="101"/>
      <c r="L1" s="95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9.5" customHeight="1" thickBot="1">
      <c r="A2" s="2" t="s">
        <v>11</v>
      </c>
      <c r="B2" s="21"/>
      <c r="C2" s="21"/>
      <c r="D2" s="22"/>
      <c r="E2" s="122" t="s">
        <v>26</v>
      </c>
      <c r="F2" s="123"/>
      <c r="G2" s="123"/>
      <c r="H2" s="124"/>
      <c r="I2" s="127"/>
      <c r="J2" s="128"/>
      <c r="K2" s="100"/>
      <c r="L2" s="96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9.5" customHeight="1">
      <c r="A3" s="3" t="s">
        <v>12</v>
      </c>
      <c r="B3" s="21"/>
      <c r="C3" s="21"/>
      <c r="D3" s="22"/>
      <c r="E3" s="23" t="s">
        <v>9</v>
      </c>
      <c r="F3" s="24" t="s">
        <v>14</v>
      </c>
      <c r="G3" s="25" t="s">
        <v>15</v>
      </c>
      <c r="H3" s="26" t="s">
        <v>14</v>
      </c>
      <c r="I3" s="5" t="s">
        <v>18</v>
      </c>
      <c r="J3" s="18"/>
      <c r="K3" s="100"/>
      <c r="L3" s="9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9.5" customHeight="1" thickBot="1">
      <c r="A4" s="4" t="s">
        <v>13</v>
      </c>
      <c r="B4" s="27"/>
      <c r="C4" s="27"/>
      <c r="D4" s="28"/>
      <c r="E4" s="13" t="s">
        <v>21</v>
      </c>
      <c r="F4" s="14"/>
      <c r="G4" s="15"/>
      <c r="H4" s="16"/>
      <c r="I4" s="6" t="s">
        <v>19</v>
      </c>
      <c r="J4" s="17"/>
      <c r="K4" s="99"/>
      <c r="L4" s="9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0.25">
      <c r="A5" s="43" t="s">
        <v>27</v>
      </c>
      <c r="B5" s="44"/>
      <c r="C5" s="45"/>
      <c r="D5" s="102" t="s">
        <v>28</v>
      </c>
      <c r="E5" s="46"/>
      <c r="F5" s="46"/>
      <c r="G5" s="47"/>
      <c r="H5" s="48"/>
      <c r="I5" s="48"/>
      <c r="J5" s="48"/>
      <c r="K5" s="35"/>
      <c r="L5" s="49" t="s">
        <v>29</v>
      </c>
      <c r="M5" s="38"/>
      <c r="N5" s="83" t="s">
        <v>6</v>
      </c>
      <c r="O5" s="84">
        <v>8.8</v>
      </c>
      <c r="P5" s="80">
        <f>IF(E8="a",1,1.2)</f>
        <v>1</v>
      </c>
      <c r="Q5" s="80"/>
      <c r="R5" s="80"/>
      <c r="S5" s="80"/>
      <c r="T5" s="80"/>
      <c r="U5" s="80"/>
      <c r="V5" s="38"/>
      <c r="W5" s="38"/>
      <c r="X5" s="38"/>
      <c r="Y5" s="38"/>
    </row>
    <row r="6" spans="1:25" ht="15.75">
      <c r="A6" s="50"/>
      <c r="B6" s="42"/>
      <c r="C6" s="42"/>
      <c r="D6" s="42"/>
      <c r="E6" s="51"/>
      <c r="F6" s="51"/>
      <c r="G6" s="51"/>
      <c r="H6" s="51"/>
      <c r="I6" s="51"/>
      <c r="J6" s="42"/>
      <c r="K6" s="29"/>
      <c r="L6" s="52" t="s">
        <v>20</v>
      </c>
      <c r="M6" s="38"/>
      <c r="N6" s="83" t="s">
        <v>7</v>
      </c>
      <c r="O6" s="84">
        <v>10.9</v>
      </c>
      <c r="P6" s="80"/>
      <c r="Q6" s="80"/>
      <c r="R6" s="80"/>
      <c r="S6" s="80"/>
      <c r="T6" s="80"/>
      <c r="U6" s="80"/>
      <c r="V6" s="38"/>
      <c r="W6" s="38"/>
      <c r="X6" s="38"/>
      <c r="Y6" s="38"/>
    </row>
    <row r="7" spans="1:25" ht="15.75">
      <c r="A7" s="53" t="s">
        <v>30</v>
      </c>
      <c r="B7" s="42"/>
      <c r="C7" s="42"/>
      <c r="D7" s="42"/>
      <c r="E7" s="51" t="s">
        <v>31</v>
      </c>
      <c r="F7" s="51"/>
      <c r="G7" s="51"/>
      <c r="H7" s="51"/>
      <c r="I7" s="51"/>
      <c r="J7" s="21"/>
      <c r="K7" s="29"/>
      <c r="L7" s="54"/>
      <c r="M7" s="80"/>
      <c r="N7" s="39" t="s">
        <v>32</v>
      </c>
      <c r="O7" s="39" t="s">
        <v>33</v>
      </c>
      <c r="P7" s="39" t="s">
        <v>34</v>
      </c>
      <c r="Q7" s="39" t="s">
        <v>35</v>
      </c>
      <c r="R7" s="39" t="s">
        <v>24</v>
      </c>
      <c r="S7" s="80"/>
      <c r="T7" s="80"/>
      <c r="U7" s="80"/>
      <c r="V7" s="38"/>
      <c r="W7" s="38"/>
      <c r="X7" s="38"/>
      <c r="Y7" s="38"/>
    </row>
    <row r="8" spans="1:25" ht="15.75">
      <c r="A8" s="41" t="s">
        <v>36</v>
      </c>
      <c r="B8" s="55" t="s">
        <v>0</v>
      </c>
      <c r="C8" s="87">
        <v>19.5</v>
      </c>
      <c r="D8" s="42" t="s">
        <v>3</v>
      </c>
      <c r="E8" s="86" t="s">
        <v>6</v>
      </c>
      <c r="F8" s="21"/>
      <c r="G8" s="21"/>
      <c r="H8" s="21"/>
      <c r="I8" s="51"/>
      <c r="J8" s="21"/>
      <c r="K8" s="29"/>
      <c r="L8" s="54"/>
      <c r="M8" s="80"/>
      <c r="N8" s="85">
        <v>16</v>
      </c>
      <c r="O8" s="82">
        <v>1.57</v>
      </c>
      <c r="P8" s="82">
        <v>3.16</v>
      </c>
      <c r="Q8" s="82">
        <v>3.37</v>
      </c>
      <c r="R8" s="82">
        <v>9.89</v>
      </c>
      <c r="S8" s="80"/>
      <c r="T8" s="80"/>
      <c r="U8" s="80"/>
      <c r="V8" s="38"/>
      <c r="W8" s="38"/>
      <c r="X8" s="38"/>
      <c r="Y8" s="38"/>
    </row>
    <row r="9" spans="1:25" ht="15.75">
      <c r="A9" s="41" t="s">
        <v>4</v>
      </c>
      <c r="B9" s="55" t="s">
        <v>0</v>
      </c>
      <c r="C9" s="87">
        <v>6.2</v>
      </c>
      <c r="D9" s="42" t="s">
        <v>1</v>
      </c>
      <c r="E9" s="56"/>
      <c r="F9" s="51"/>
      <c r="G9" s="57"/>
      <c r="H9" s="51"/>
      <c r="I9" s="51"/>
      <c r="J9" s="21"/>
      <c r="K9" s="29"/>
      <c r="L9" s="54"/>
      <c r="M9" s="80"/>
      <c r="N9" s="85">
        <v>20</v>
      </c>
      <c r="O9" s="82">
        <v>2.45</v>
      </c>
      <c r="P9" s="82">
        <v>4.93</v>
      </c>
      <c r="Q9" s="82">
        <v>5.9</v>
      </c>
      <c r="R9" s="82">
        <v>15.43</v>
      </c>
      <c r="S9" s="80"/>
      <c r="T9" s="80"/>
      <c r="U9" s="80"/>
      <c r="V9" s="38"/>
      <c r="W9" s="38"/>
      <c r="X9" s="38"/>
      <c r="Y9" s="38"/>
    </row>
    <row r="10" spans="1:25" ht="16.5">
      <c r="A10" s="41" t="s">
        <v>58</v>
      </c>
      <c r="B10" s="55" t="s">
        <v>0</v>
      </c>
      <c r="C10" s="87">
        <v>0</v>
      </c>
      <c r="D10" s="42" t="s">
        <v>1</v>
      </c>
      <c r="E10" s="57"/>
      <c r="F10" s="51"/>
      <c r="G10" s="51"/>
      <c r="H10" s="51"/>
      <c r="I10" s="51"/>
      <c r="J10" s="21"/>
      <c r="K10" s="29"/>
      <c r="L10" s="54"/>
      <c r="M10" s="80"/>
      <c r="N10" s="85">
        <v>22</v>
      </c>
      <c r="O10" s="82">
        <v>3.03</v>
      </c>
      <c r="P10" s="82">
        <v>6.1</v>
      </c>
      <c r="Q10" s="82">
        <v>7.27</v>
      </c>
      <c r="R10" s="82">
        <v>19.08</v>
      </c>
      <c r="S10" s="80"/>
      <c r="T10" s="80"/>
      <c r="U10" s="80"/>
      <c r="V10" s="38"/>
      <c r="W10" s="38"/>
      <c r="X10" s="38"/>
      <c r="Y10" s="38"/>
    </row>
    <row r="11" spans="1:25" ht="16.5">
      <c r="A11" s="58" t="s">
        <v>122</v>
      </c>
      <c r="B11" s="55" t="s">
        <v>58</v>
      </c>
      <c r="C11" s="42" t="s">
        <v>123</v>
      </c>
      <c r="D11" s="42"/>
      <c r="E11" s="57"/>
      <c r="F11" s="21"/>
      <c r="G11" s="21"/>
      <c r="H11" s="51"/>
      <c r="I11" s="51"/>
      <c r="J11" s="21"/>
      <c r="K11" s="29"/>
      <c r="L11" s="54"/>
      <c r="M11" s="80"/>
      <c r="N11" s="85">
        <v>24</v>
      </c>
      <c r="O11" s="82">
        <v>3.53</v>
      </c>
      <c r="P11" s="82">
        <v>7.11</v>
      </c>
      <c r="Q11" s="82">
        <v>8.45</v>
      </c>
      <c r="R11" s="82">
        <v>22.23</v>
      </c>
      <c r="S11" s="80"/>
      <c r="T11" s="80"/>
      <c r="U11" s="80"/>
      <c r="V11" s="38"/>
      <c r="W11" s="38"/>
      <c r="X11" s="38"/>
      <c r="Y11" s="38"/>
    </row>
    <row r="12" spans="1:25" ht="15.75">
      <c r="A12" s="53" t="s">
        <v>37</v>
      </c>
      <c r="B12" s="42"/>
      <c r="C12" s="42"/>
      <c r="D12" s="42"/>
      <c r="E12" s="57"/>
      <c r="F12" s="51"/>
      <c r="G12" s="57"/>
      <c r="H12" s="51"/>
      <c r="I12" s="51"/>
      <c r="J12" s="21"/>
      <c r="K12" s="29"/>
      <c r="L12" s="54"/>
      <c r="M12" s="80"/>
      <c r="N12" s="85">
        <v>27</v>
      </c>
      <c r="O12" s="82">
        <v>4.59</v>
      </c>
      <c r="P12" s="82">
        <v>9.25</v>
      </c>
      <c r="Q12" s="82">
        <v>11.03</v>
      </c>
      <c r="R12" s="82">
        <v>28.91</v>
      </c>
      <c r="S12" s="80"/>
      <c r="T12" s="80"/>
      <c r="U12" s="80"/>
      <c r="V12" s="38"/>
      <c r="W12" s="38"/>
      <c r="X12" s="38"/>
      <c r="Y12" s="38"/>
    </row>
    <row r="13" spans="1:25" ht="20.25">
      <c r="A13" s="58" t="s">
        <v>36</v>
      </c>
      <c r="B13" s="89">
        <v>24</v>
      </c>
      <c r="C13" s="59" t="s">
        <v>4</v>
      </c>
      <c r="D13" s="88">
        <v>10.9</v>
      </c>
      <c r="E13" s="57"/>
      <c r="F13" s="51"/>
      <c r="G13" s="51"/>
      <c r="H13" s="51"/>
      <c r="I13" s="51"/>
      <c r="J13" s="21"/>
      <c r="K13" s="29"/>
      <c r="L13" s="54"/>
      <c r="M13" s="80"/>
      <c r="N13" s="85">
        <v>30</v>
      </c>
      <c r="O13" s="82">
        <v>5.61</v>
      </c>
      <c r="P13" s="82">
        <v>11.3</v>
      </c>
      <c r="Q13" s="82">
        <v>13.48</v>
      </c>
      <c r="R13" s="82">
        <v>35.34</v>
      </c>
      <c r="S13" s="80"/>
      <c r="T13" s="80"/>
      <c r="U13" s="80"/>
      <c r="V13" s="38"/>
      <c r="W13" s="38"/>
      <c r="X13" s="38"/>
      <c r="Y13" s="38"/>
    </row>
    <row r="14" spans="1:25" ht="18">
      <c r="A14" s="41" t="s">
        <v>59</v>
      </c>
      <c r="B14" s="55" t="s">
        <v>0</v>
      </c>
      <c r="C14" s="60">
        <f>IF(D13=10.9,VLOOKUP(B13,N8:R13,2,FALSE),(VLOOKUP(B13,N8:R13,2,FALSE))*0.7)</f>
        <v>3.53</v>
      </c>
      <c r="D14" s="42" t="s">
        <v>8</v>
      </c>
      <c r="E14" s="57"/>
      <c r="F14" s="51"/>
      <c r="G14" s="51"/>
      <c r="H14" s="51"/>
      <c r="I14" s="51"/>
      <c r="J14" s="21"/>
      <c r="K14" s="29"/>
      <c r="L14" s="54"/>
      <c r="M14" s="80"/>
      <c r="N14" s="85">
        <v>2</v>
      </c>
      <c r="O14" s="80"/>
      <c r="P14" s="80"/>
      <c r="Q14" s="80"/>
      <c r="R14" s="80"/>
      <c r="S14" s="80"/>
      <c r="T14" s="80"/>
      <c r="U14" s="80"/>
      <c r="V14" s="38"/>
      <c r="W14" s="38"/>
      <c r="X14" s="38"/>
      <c r="Y14" s="38"/>
    </row>
    <row r="15" spans="1:25" ht="16.5">
      <c r="A15" s="41" t="s">
        <v>60</v>
      </c>
      <c r="B15" s="55" t="s">
        <v>0</v>
      </c>
      <c r="C15" s="60">
        <f>IF(D13=10.9,VLOOKUP(B13,N8:R13,3,FALSE),(VLOOKUP(B13,N8:R13,3,FALSE))*0.7)</f>
        <v>7.11</v>
      </c>
      <c r="D15" s="42" t="s">
        <v>1</v>
      </c>
      <c r="E15" s="57"/>
      <c r="F15" s="51"/>
      <c r="G15" s="51"/>
      <c r="H15" s="51"/>
      <c r="I15" s="51"/>
      <c r="J15" s="21"/>
      <c r="K15" s="29"/>
      <c r="L15" s="54"/>
      <c r="M15" s="80"/>
      <c r="N15" s="85">
        <v>4</v>
      </c>
      <c r="O15" s="80"/>
      <c r="P15" s="80"/>
      <c r="Q15" s="80"/>
      <c r="R15" s="80"/>
      <c r="S15" s="80"/>
      <c r="T15" s="80"/>
      <c r="U15" s="80"/>
      <c r="V15" s="38"/>
      <c r="W15" s="38"/>
      <c r="X15" s="38"/>
      <c r="Y15" s="38"/>
    </row>
    <row r="16" spans="1:25" ht="15.75">
      <c r="A16" s="41" t="s">
        <v>24</v>
      </c>
      <c r="B16" s="55" t="s">
        <v>0</v>
      </c>
      <c r="C16" s="60">
        <f>IF(D13=10.9,VLOOKUP(B13,N8:R13,5,FALSE),(VLOOKUP(B13,N8:R13,5,FALSE))*0.7)</f>
        <v>22.23</v>
      </c>
      <c r="D16" s="42" t="s">
        <v>1</v>
      </c>
      <c r="E16" s="57"/>
      <c r="F16" s="57"/>
      <c r="G16" s="51"/>
      <c r="H16" s="51"/>
      <c r="I16" s="51"/>
      <c r="J16" s="21"/>
      <c r="K16" s="29"/>
      <c r="L16" s="54"/>
      <c r="M16" s="80"/>
      <c r="N16" s="85">
        <v>6</v>
      </c>
      <c r="O16" s="80"/>
      <c r="P16" s="80"/>
      <c r="Q16" s="80"/>
      <c r="R16" s="80"/>
      <c r="S16" s="80"/>
      <c r="T16" s="80"/>
      <c r="U16" s="80"/>
      <c r="V16" s="38"/>
      <c r="W16" s="38"/>
      <c r="X16" s="38"/>
      <c r="Y16" s="38"/>
    </row>
    <row r="17" spans="1:28" ht="15.75">
      <c r="A17" s="50"/>
      <c r="B17" s="42"/>
      <c r="C17" s="42"/>
      <c r="D17" s="42"/>
      <c r="E17" s="51"/>
      <c r="F17" s="51"/>
      <c r="G17" s="51"/>
      <c r="H17" s="51"/>
      <c r="I17" s="51"/>
      <c r="J17" s="21"/>
      <c r="K17" s="29"/>
      <c r="L17" s="54"/>
      <c r="M17" s="80"/>
      <c r="N17" s="80"/>
      <c r="O17" s="80"/>
      <c r="P17" s="80"/>
      <c r="Q17" s="80"/>
      <c r="R17" s="80"/>
      <c r="S17" s="80"/>
      <c r="T17" s="80"/>
      <c r="U17" s="80"/>
      <c r="V17" s="38"/>
      <c r="W17" s="38"/>
      <c r="X17" s="38"/>
      <c r="Y17" s="38"/>
      <c r="Z17" s="38"/>
      <c r="AA17" s="38"/>
      <c r="AB17" s="38"/>
    </row>
    <row r="18" spans="1:28" ht="15.75">
      <c r="A18" s="53" t="s">
        <v>38</v>
      </c>
      <c r="B18" s="42"/>
      <c r="C18" s="42"/>
      <c r="D18" s="42"/>
      <c r="E18" s="21"/>
      <c r="F18" s="21"/>
      <c r="G18" s="21"/>
      <c r="H18" s="21"/>
      <c r="I18" s="21"/>
      <c r="J18" s="21"/>
      <c r="K18" s="29"/>
      <c r="L18" s="54"/>
      <c r="M18" s="80"/>
      <c r="N18" s="116" t="s">
        <v>48</v>
      </c>
      <c r="O18" s="115">
        <f>C19^3*C20/12</f>
        <v>889056</v>
      </c>
      <c r="P18" s="80"/>
      <c r="Q18" s="116" t="s">
        <v>90</v>
      </c>
      <c r="R18" s="115">
        <f>(C8*100*C19)/(2*O18)</f>
        <v>0.09212018140589569</v>
      </c>
      <c r="S18" s="80"/>
      <c r="T18" s="80"/>
      <c r="U18" s="80"/>
      <c r="V18" s="38"/>
      <c r="W18" s="38"/>
      <c r="X18" s="38"/>
      <c r="Y18" s="38"/>
      <c r="Z18" s="38"/>
      <c r="AA18" s="38"/>
      <c r="AB18" s="38"/>
    </row>
    <row r="19" spans="1:28" ht="15.75">
      <c r="A19" s="41" t="s">
        <v>39</v>
      </c>
      <c r="B19" s="55" t="s">
        <v>0</v>
      </c>
      <c r="C19" s="90">
        <v>84</v>
      </c>
      <c r="D19" s="42" t="s">
        <v>5</v>
      </c>
      <c r="E19" s="21"/>
      <c r="F19" s="51"/>
      <c r="G19" s="51"/>
      <c r="H19" s="51"/>
      <c r="I19" s="21"/>
      <c r="J19" s="21"/>
      <c r="K19" s="29"/>
      <c r="L19" s="54"/>
      <c r="M19" s="80"/>
      <c r="N19" s="116" t="s">
        <v>91</v>
      </c>
      <c r="O19" s="115">
        <f>IF(C28=0,0,IF(C29=0,C28-C19/2,C28-C29))</f>
        <v>8</v>
      </c>
      <c r="P19" s="80"/>
      <c r="Q19" s="116" t="s">
        <v>96</v>
      </c>
      <c r="R19" s="115">
        <f>IF(G28=0,0,IF(G29=0,G28-C19/2,G28-G29))</f>
        <v>0</v>
      </c>
      <c r="S19" s="80"/>
      <c r="T19" s="80"/>
      <c r="U19" s="80"/>
      <c r="V19" s="38"/>
      <c r="W19" s="38"/>
      <c r="X19" s="38"/>
      <c r="Y19" s="38"/>
      <c r="Z19" s="38"/>
      <c r="AA19" s="38"/>
      <c r="AB19" s="38"/>
    </row>
    <row r="20" spans="1:28" ht="15.75">
      <c r="A20" s="41" t="s">
        <v>23</v>
      </c>
      <c r="B20" s="55" t="s">
        <v>0</v>
      </c>
      <c r="C20" s="90">
        <v>18</v>
      </c>
      <c r="D20" s="42" t="s">
        <v>5</v>
      </c>
      <c r="E20" s="42"/>
      <c r="F20" s="42"/>
      <c r="G20" s="42"/>
      <c r="H20" s="42"/>
      <c r="I20" s="42"/>
      <c r="J20" s="21"/>
      <c r="K20" s="29"/>
      <c r="L20" s="54"/>
      <c r="M20" s="80"/>
      <c r="N20" s="116" t="s">
        <v>92</v>
      </c>
      <c r="O20" s="115">
        <f>IF(C29=0,0,IF(C30=0,C29-C19/2,C29-C30))</f>
        <v>26.650000000000006</v>
      </c>
      <c r="P20" s="80"/>
      <c r="Q20" s="116" t="s">
        <v>97</v>
      </c>
      <c r="R20" s="115">
        <f>IF(G29=0,0,IF(G30=0,G29-C19/2,G29-G30))</f>
        <v>0</v>
      </c>
      <c r="S20" s="80"/>
      <c r="T20" s="80"/>
      <c r="U20" s="80"/>
      <c r="V20" s="81"/>
      <c r="W20" s="80"/>
      <c r="X20" s="38"/>
      <c r="Y20" s="38"/>
      <c r="Z20" s="38"/>
      <c r="AA20" s="38"/>
      <c r="AB20" s="38"/>
    </row>
    <row r="21" spans="1:28" ht="15.75">
      <c r="A21" s="32"/>
      <c r="B21" s="55"/>
      <c r="C21" s="90"/>
      <c r="D21" s="42"/>
      <c r="E21" s="42"/>
      <c r="F21" s="42"/>
      <c r="G21" s="42"/>
      <c r="H21" s="42"/>
      <c r="I21" s="42"/>
      <c r="J21" s="21"/>
      <c r="K21" s="29"/>
      <c r="L21" s="54"/>
      <c r="M21" s="80"/>
      <c r="N21" s="116" t="s">
        <v>93</v>
      </c>
      <c r="O21" s="115">
        <f>IF(C30=0,0,IF(C31=0,C30-C19/2,C30-C31))</f>
        <v>0</v>
      </c>
      <c r="P21" s="80"/>
      <c r="Q21" s="116" t="s">
        <v>98</v>
      </c>
      <c r="R21" s="115">
        <f>IF(G30=0,0,IF(G31=0,G30-C19/2,G30-G31))</f>
        <v>0</v>
      </c>
      <c r="S21" s="80"/>
      <c r="T21" s="80"/>
      <c r="U21" s="80"/>
      <c r="V21" s="81"/>
      <c r="W21" s="80"/>
      <c r="X21" s="38"/>
      <c r="Y21" s="38"/>
      <c r="Z21" s="38"/>
      <c r="AA21" s="38"/>
      <c r="AB21" s="38"/>
    </row>
    <row r="22" spans="1:28" ht="15.75">
      <c r="A22" s="50"/>
      <c r="B22" s="42"/>
      <c r="C22" s="42"/>
      <c r="D22" s="42"/>
      <c r="E22" s="55"/>
      <c r="F22" s="42"/>
      <c r="G22" s="42"/>
      <c r="H22" s="42"/>
      <c r="I22" s="42"/>
      <c r="J22" s="42"/>
      <c r="K22" s="29"/>
      <c r="L22" s="54"/>
      <c r="M22" s="80"/>
      <c r="N22" s="116" t="s">
        <v>94</v>
      </c>
      <c r="O22" s="115">
        <f>IF(C31=0,0,IF(C32=0,C31-C19/2,C31-C32))</f>
        <v>0</v>
      </c>
      <c r="P22" s="80"/>
      <c r="Q22" s="116" t="s">
        <v>99</v>
      </c>
      <c r="R22" s="115">
        <f>IF(G31=0,0,IF(G32=0,G31-C19/2,G31-G32))</f>
        <v>0</v>
      </c>
      <c r="S22" s="80"/>
      <c r="T22" s="80"/>
      <c r="U22" s="80"/>
      <c r="V22" s="81"/>
      <c r="W22" s="80"/>
      <c r="X22" s="38"/>
      <c r="Y22" s="38"/>
      <c r="Z22" s="38"/>
      <c r="AA22" s="38"/>
      <c r="AB22" s="38"/>
    </row>
    <row r="23" spans="1:28" ht="15.75">
      <c r="A23" s="53" t="s">
        <v>40</v>
      </c>
      <c r="B23" s="42"/>
      <c r="C23" s="42"/>
      <c r="D23" s="42"/>
      <c r="E23" s="42"/>
      <c r="F23" s="42"/>
      <c r="G23" s="42"/>
      <c r="H23" s="42"/>
      <c r="I23" s="42"/>
      <c r="J23" s="42"/>
      <c r="K23" s="29"/>
      <c r="L23" s="54"/>
      <c r="M23" s="80"/>
      <c r="N23" s="116" t="s">
        <v>95</v>
      </c>
      <c r="O23" s="115">
        <f>IF(C32=0,0,IF(G28=0,C32-C19/2,C32-G28))</f>
        <v>0</v>
      </c>
      <c r="P23" s="80"/>
      <c r="Q23" s="116" t="s">
        <v>100</v>
      </c>
      <c r="R23" s="115">
        <f>IF(G32=0,0,G32-C19/2)</f>
        <v>0</v>
      </c>
      <c r="S23" s="80"/>
      <c r="T23" s="80"/>
      <c r="U23" s="80"/>
      <c r="V23" s="80"/>
      <c r="W23" s="80"/>
      <c r="X23" s="38"/>
      <c r="Y23" s="38"/>
      <c r="Z23" s="38"/>
      <c r="AA23" s="38"/>
      <c r="AB23" s="38"/>
    </row>
    <row r="24" spans="1:28" ht="16.5" thickBot="1">
      <c r="A24" s="41"/>
      <c r="B24" s="55"/>
      <c r="C24" s="61"/>
      <c r="D24" s="55"/>
      <c r="E24" s="55"/>
      <c r="F24" s="42"/>
      <c r="G24" s="42"/>
      <c r="H24" s="42"/>
      <c r="I24" s="42"/>
      <c r="J24" s="42"/>
      <c r="K24" s="29"/>
      <c r="L24" s="54"/>
      <c r="M24" s="80"/>
      <c r="N24" s="116" t="s">
        <v>101</v>
      </c>
      <c r="O24" s="115">
        <f>IF(C29=0,0,SUM(R19:R23)+SUM(O20:O23)+O19/2)</f>
        <v>30.650000000000006</v>
      </c>
      <c r="P24" s="80"/>
      <c r="Q24" s="116" t="s">
        <v>106</v>
      </c>
      <c r="R24" s="115">
        <f>IF(G29=0,0,SUM(R20:R23)+R19/2)</f>
        <v>0</v>
      </c>
      <c r="S24" s="80"/>
      <c r="T24" s="80"/>
      <c r="U24" s="80"/>
      <c r="V24" s="38"/>
      <c r="W24" s="38"/>
      <c r="X24" s="38"/>
      <c r="Y24" s="38"/>
      <c r="Z24" s="38"/>
      <c r="AA24" s="38"/>
      <c r="AB24" s="38"/>
    </row>
    <row r="25" spans="1:28" ht="16.5" thickBot="1">
      <c r="A25" s="41" t="s">
        <v>25</v>
      </c>
      <c r="B25" s="55" t="s">
        <v>0</v>
      </c>
      <c r="C25" s="55">
        <f>(C8*100/(0.8*C19)+C10)/(0.6*C16)</f>
        <v>2.1755778334725706</v>
      </c>
      <c r="D25" s="42" t="s">
        <v>41</v>
      </c>
      <c r="E25" s="62" t="s">
        <v>62</v>
      </c>
      <c r="F25" s="63">
        <f>CEILING(C25,2)</f>
        <v>4</v>
      </c>
      <c r="G25" s="64" t="s">
        <v>41</v>
      </c>
      <c r="H25" s="42"/>
      <c r="I25" s="42" t="s">
        <v>42</v>
      </c>
      <c r="J25" s="42"/>
      <c r="K25" s="29"/>
      <c r="L25" s="54"/>
      <c r="M25" s="80"/>
      <c r="N25" s="116" t="s">
        <v>102</v>
      </c>
      <c r="O25" s="115">
        <f>IF(C30=0,0,SUM(R19:R23)+SUM(O21:O23)+O20/2)</f>
        <v>0</v>
      </c>
      <c r="P25" s="80"/>
      <c r="Q25" s="116" t="s">
        <v>107</v>
      </c>
      <c r="R25" s="115">
        <f>IF(G30=0,0,SUM(R21:R23)+R20/2)</f>
        <v>0</v>
      </c>
      <c r="S25" s="80"/>
      <c r="T25" s="80"/>
      <c r="U25" s="80"/>
      <c r="V25" s="80"/>
      <c r="W25" s="80"/>
      <c r="X25" s="80"/>
      <c r="Y25" s="38"/>
      <c r="Z25" s="38"/>
      <c r="AA25" s="80"/>
      <c r="AB25" s="38"/>
    </row>
    <row r="26" spans="1:28" ht="18" thickBot="1">
      <c r="A26" s="50" t="s">
        <v>43</v>
      </c>
      <c r="B26" s="42"/>
      <c r="C26" s="91">
        <v>2</v>
      </c>
      <c r="D26" s="42"/>
      <c r="E26" s="62" t="s">
        <v>63</v>
      </c>
      <c r="F26" s="92">
        <v>6</v>
      </c>
      <c r="G26" s="64" t="s">
        <v>41</v>
      </c>
      <c r="H26" s="42"/>
      <c r="I26" s="42" t="s">
        <v>44</v>
      </c>
      <c r="J26" s="42"/>
      <c r="K26" s="29"/>
      <c r="L26" s="54"/>
      <c r="M26" s="80"/>
      <c r="N26" s="116" t="s">
        <v>103</v>
      </c>
      <c r="O26" s="115">
        <f>IF(C31=0,0,SUM(R19:R23)+SUM(O22:O23)+O21/2)</f>
        <v>0</v>
      </c>
      <c r="P26" s="80"/>
      <c r="Q26" s="116" t="s">
        <v>108</v>
      </c>
      <c r="R26" s="115">
        <f>IF(G31=0,0,SUM(R22:R23)+R21/2)</f>
        <v>0</v>
      </c>
      <c r="S26" s="80"/>
      <c r="T26" s="80"/>
      <c r="U26" s="80"/>
      <c r="V26" s="80"/>
      <c r="W26" s="80"/>
      <c r="X26" s="80"/>
      <c r="Y26" s="38"/>
      <c r="Z26" s="38"/>
      <c r="AA26" s="38"/>
      <c r="AB26" s="38"/>
    </row>
    <row r="27" spans="1:28" ht="15.75">
      <c r="A27" s="53" t="s">
        <v>45</v>
      </c>
      <c r="B27" s="42"/>
      <c r="C27" s="42"/>
      <c r="D27" s="42"/>
      <c r="E27" s="42"/>
      <c r="F27" s="42"/>
      <c r="G27" s="42"/>
      <c r="H27" s="42"/>
      <c r="I27" s="42"/>
      <c r="J27" s="42"/>
      <c r="K27" s="29"/>
      <c r="L27" s="54"/>
      <c r="M27" s="80"/>
      <c r="N27" s="116" t="s">
        <v>104</v>
      </c>
      <c r="O27" s="115">
        <f>IF(C32=0,0,SUM(R19:R23)+O23+O22/2)</f>
        <v>0</v>
      </c>
      <c r="P27" s="80"/>
      <c r="Q27" s="116" t="s">
        <v>109</v>
      </c>
      <c r="R27" s="115">
        <f>IF(G32=0,0,R23+R22/2)</f>
        <v>0</v>
      </c>
      <c r="S27" s="80"/>
      <c r="T27" s="80"/>
      <c r="U27" s="80"/>
      <c r="V27" s="80"/>
      <c r="W27" s="80"/>
      <c r="X27" s="80"/>
      <c r="Y27" s="38"/>
      <c r="Z27" s="38"/>
      <c r="AA27" s="38"/>
      <c r="AB27" s="38"/>
    </row>
    <row r="28" spans="1:28" ht="16.5">
      <c r="A28" s="41" t="s">
        <v>64</v>
      </c>
      <c r="B28" s="55" t="s">
        <v>0</v>
      </c>
      <c r="C28" s="87">
        <v>76.65</v>
      </c>
      <c r="D28" s="42" t="s">
        <v>5</v>
      </c>
      <c r="E28" s="55" t="s">
        <v>69</v>
      </c>
      <c r="F28" s="55" t="s">
        <v>0</v>
      </c>
      <c r="G28" s="87">
        <v>0</v>
      </c>
      <c r="H28" s="42" t="s">
        <v>5</v>
      </c>
      <c r="I28" s="42"/>
      <c r="J28" s="42"/>
      <c r="K28" s="29"/>
      <c r="L28" s="54"/>
      <c r="M28" s="80"/>
      <c r="N28" s="116" t="s">
        <v>105</v>
      </c>
      <c r="O28" s="115">
        <f>IF(G28=0,0,SUM(R19:R23)+O23/2)</f>
        <v>0</v>
      </c>
      <c r="P28" s="80"/>
      <c r="Q28" s="116"/>
      <c r="R28" s="115"/>
      <c r="S28" s="80"/>
      <c r="T28" s="80"/>
      <c r="U28" s="80"/>
      <c r="V28" s="38"/>
      <c r="W28" s="38"/>
      <c r="X28" s="38"/>
      <c r="Y28" s="38"/>
      <c r="Z28" s="38"/>
      <c r="AA28" s="38"/>
      <c r="AB28" s="38"/>
    </row>
    <row r="29" spans="1:28" ht="16.5">
      <c r="A29" s="41" t="s">
        <v>66</v>
      </c>
      <c r="B29" s="55" t="s">
        <v>0</v>
      </c>
      <c r="C29" s="87">
        <v>68.65</v>
      </c>
      <c r="D29" s="42" t="s">
        <v>5</v>
      </c>
      <c r="E29" s="55" t="s">
        <v>86</v>
      </c>
      <c r="F29" s="55" t="s">
        <v>0</v>
      </c>
      <c r="G29" s="87">
        <v>0</v>
      </c>
      <c r="H29" s="42" t="s">
        <v>5</v>
      </c>
      <c r="I29" s="42"/>
      <c r="J29" s="42"/>
      <c r="K29" s="29"/>
      <c r="L29" s="54"/>
      <c r="M29" s="80"/>
      <c r="N29" s="116" t="s">
        <v>90</v>
      </c>
      <c r="O29" s="115">
        <f>$C$8*100*O24/$O$18</f>
        <v>0.06722579904977866</v>
      </c>
      <c r="P29" s="80"/>
      <c r="Q29" s="116" t="s">
        <v>114</v>
      </c>
      <c r="R29" s="115">
        <f>$C$8*100*R24/$O$18</f>
        <v>0</v>
      </c>
      <c r="S29" s="80"/>
      <c r="T29" s="80"/>
      <c r="U29" s="80"/>
      <c r="V29" s="80"/>
      <c r="W29" s="80"/>
      <c r="X29" s="38"/>
      <c r="Y29" s="38"/>
      <c r="Z29" s="38"/>
      <c r="AA29" s="38"/>
      <c r="AB29" s="38"/>
    </row>
    <row r="30" spans="1:28" ht="16.5">
      <c r="A30" s="41" t="s">
        <v>68</v>
      </c>
      <c r="B30" s="55" t="s">
        <v>0</v>
      </c>
      <c r="C30" s="87">
        <v>0</v>
      </c>
      <c r="D30" s="42" t="s">
        <v>5</v>
      </c>
      <c r="E30" s="55" t="s">
        <v>87</v>
      </c>
      <c r="F30" s="55" t="s">
        <v>0</v>
      </c>
      <c r="G30" s="87">
        <v>0</v>
      </c>
      <c r="H30" s="42" t="s">
        <v>5</v>
      </c>
      <c r="I30" s="42"/>
      <c r="J30" s="42"/>
      <c r="K30" s="29"/>
      <c r="L30" s="54"/>
      <c r="M30" s="80"/>
      <c r="N30" s="116" t="s">
        <v>110</v>
      </c>
      <c r="O30" s="115">
        <f>$C$8*100*O25/$O$18</f>
        <v>0</v>
      </c>
      <c r="P30" s="80"/>
      <c r="Q30" s="116" t="s">
        <v>115</v>
      </c>
      <c r="R30" s="115">
        <f>$C$8*100*R25/$O$18</f>
        <v>0</v>
      </c>
      <c r="S30" s="80"/>
      <c r="T30" s="80"/>
      <c r="U30" s="80"/>
      <c r="V30" s="80"/>
      <c r="W30" s="80"/>
      <c r="X30" s="38"/>
      <c r="Y30" s="38"/>
      <c r="Z30" s="38"/>
      <c r="AA30" s="38"/>
      <c r="AB30" s="38"/>
    </row>
    <row r="31" spans="1:28" ht="16.5">
      <c r="A31" s="41" t="s">
        <v>65</v>
      </c>
      <c r="B31" s="55" t="s">
        <v>0</v>
      </c>
      <c r="C31" s="87">
        <v>0</v>
      </c>
      <c r="D31" s="42" t="s">
        <v>5</v>
      </c>
      <c r="E31" s="55" t="s">
        <v>88</v>
      </c>
      <c r="F31" s="55" t="s">
        <v>0</v>
      </c>
      <c r="G31" s="87">
        <v>0</v>
      </c>
      <c r="H31" s="42" t="s">
        <v>5</v>
      </c>
      <c r="I31" s="42"/>
      <c r="J31" s="42"/>
      <c r="K31" s="29"/>
      <c r="L31" s="54"/>
      <c r="M31" s="80"/>
      <c r="N31" s="116" t="s">
        <v>111</v>
      </c>
      <c r="O31" s="115">
        <f>$C$8*100*O26/$O$18</f>
        <v>0</v>
      </c>
      <c r="P31" s="80"/>
      <c r="Q31" s="116" t="s">
        <v>116</v>
      </c>
      <c r="R31" s="115">
        <f>$C$8*100*R26/$O$18</f>
        <v>0</v>
      </c>
      <c r="S31" s="80"/>
      <c r="T31" s="80"/>
      <c r="U31" s="80"/>
      <c r="V31" s="80"/>
      <c r="W31" s="80"/>
      <c r="X31" s="38"/>
      <c r="Y31" s="38"/>
      <c r="Z31" s="38"/>
      <c r="AA31" s="38"/>
      <c r="AB31" s="38"/>
    </row>
    <row r="32" spans="1:28" ht="16.5">
      <c r="A32" s="41" t="s">
        <v>67</v>
      </c>
      <c r="B32" s="55" t="s">
        <v>0</v>
      </c>
      <c r="C32" s="87">
        <v>0</v>
      </c>
      <c r="D32" s="42" t="s">
        <v>5</v>
      </c>
      <c r="E32" s="55" t="s">
        <v>89</v>
      </c>
      <c r="F32" s="55" t="s">
        <v>0</v>
      </c>
      <c r="G32" s="87">
        <v>0</v>
      </c>
      <c r="H32" s="42" t="s">
        <v>5</v>
      </c>
      <c r="I32" s="42"/>
      <c r="J32" s="42"/>
      <c r="K32" s="29"/>
      <c r="L32" s="54"/>
      <c r="M32" s="80"/>
      <c r="N32" s="116" t="s">
        <v>112</v>
      </c>
      <c r="O32" s="115">
        <f>$C$8*100*O27/$O$18</f>
        <v>0</v>
      </c>
      <c r="P32" s="80"/>
      <c r="Q32" s="116" t="s">
        <v>117</v>
      </c>
      <c r="R32" s="115">
        <f>$C$8*100*R27/$O$18</f>
        <v>0</v>
      </c>
      <c r="S32" s="80"/>
      <c r="T32" s="80"/>
      <c r="U32" s="80"/>
      <c r="V32" s="80"/>
      <c r="W32" s="80"/>
      <c r="X32" s="38"/>
      <c r="Y32" s="38"/>
      <c r="Z32" s="38"/>
      <c r="AA32" s="38"/>
      <c r="AB32" s="38"/>
    </row>
    <row r="33" spans="1:28" ht="15.75">
      <c r="A33" s="40"/>
      <c r="B33" s="21"/>
      <c r="C33" s="65"/>
      <c r="D33" s="21"/>
      <c r="E33" s="42"/>
      <c r="F33" s="42"/>
      <c r="G33" s="42"/>
      <c r="H33" s="42"/>
      <c r="I33" s="42"/>
      <c r="J33" s="42"/>
      <c r="K33" s="29"/>
      <c r="L33" s="54"/>
      <c r="M33" s="80"/>
      <c r="N33" s="116" t="s">
        <v>113</v>
      </c>
      <c r="O33" s="115">
        <f>$C$8*100*O28/$O$18</f>
        <v>0</v>
      </c>
      <c r="P33" s="80"/>
      <c r="Q33" s="116"/>
      <c r="R33" s="115"/>
      <c r="S33" s="80"/>
      <c r="T33" s="80"/>
      <c r="U33" s="80"/>
      <c r="V33" s="80"/>
      <c r="W33" s="80"/>
      <c r="X33" s="38"/>
      <c r="Y33" s="38"/>
      <c r="Z33" s="38"/>
      <c r="AA33" s="38"/>
      <c r="AB33" s="38"/>
    </row>
    <row r="34" spans="1:28" ht="15.75">
      <c r="A34" s="53" t="s">
        <v>46</v>
      </c>
      <c r="B34" s="42"/>
      <c r="C34" s="42"/>
      <c r="D34" s="42"/>
      <c r="E34" s="42"/>
      <c r="F34" s="42"/>
      <c r="G34" s="42"/>
      <c r="H34" s="42"/>
      <c r="I34" s="42"/>
      <c r="J34" s="42"/>
      <c r="K34" s="30"/>
      <c r="L34" s="34"/>
      <c r="M34" s="37"/>
      <c r="N34" s="113" t="s">
        <v>124</v>
      </c>
      <c r="O34" s="111">
        <f>C19-C29-O19/2</f>
        <v>11.349999999999994</v>
      </c>
      <c r="P34" s="36"/>
      <c r="Q34" s="113" t="s">
        <v>129</v>
      </c>
      <c r="R34" s="115">
        <f>O28-R24</f>
        <v>0</v>
      </c>
      <c r="S34" s="80"/>
      <c r="T34" s="80"/>
      <c r="U34" s="80"/>
      <c r="V34" s="80"/>
      <c r="W34" s="80"/>
      <c r="X34" s="38"/>
      <c r="Y34" s="38"/>
      <c r="Z34" s="38"/>
      <c r="AA34" s="38"/>
      <c r="AB34" s="38"/>
    </row>
    <row r="35" spans="1:28" ht="16.5">
      <c r="A35" s="41" t="s">
        <v>70</v>
      </c>
      <c r="B35" s="55" t="s">
        <v>0</v>
      </c>
      <c r="C35" s="129" t="str">
        <f>IF(C26=2,"(Ft + F1)x B x (X1)/4 =",IF(C26=4,"(Ft + F1)x B x (X1)/8 =","(Ft + F1)x B x (X1)/12 ="))</f>
        <v>(Ft + F1)x B x (X1)/4 =</v>
      </c>
      <c r="D35" s="129"/>
      <c r="E35" s="129"/>
      <c r="F35" s="55">
        <f>IF($C$26=2,(R18+O29)*$C$20*O34/4,IF($C$26=4,(R18+O29)*$C$20*O34/8,(R18+O29)*$C$20*O34/12))</f>
        <v>8.138595951773562</v>
      </c>
      <c r="G35" s="42" t="s">
        <v>47</v>
      </c>
      <c r="H35" s="42" t="str">
        <f>IF(E8="a","0.8T","0.8T*1.2")</f>
        <v>0.8T</v>
      </c>
      <c r="I35" s="67" t="str">
        <f>IF(AND(F35&lt;$P$5*0.8*$C$16),"SAFE","UNSAFE")</f>
        <v>SAFE</v>
      </c>
      <c r="J35" s="42"/>
      <c r="K35" s="30"/>
      <c r="L35" s="34"/>
      <c r="M35" s="37"/>
      <c r="N35" s="113" t="s">
        <v>125</v>
      </c>
      <c r="O35" s="111">
        <f>O24-O25</f>
        <v>30.650000000000006</v>
      </c>
      <c r="P35" s="36"/>
      <c r="Q35" s="113" t="s">
        <v>130</v>
      </c>
      <c r="R35" s="115">
        <f>R24-R25</f>
        <v>0</v>
      </c>
      <c r="S35" s="82"/>
      <c r="T35" s="80"/>
      <c r="U35" s="80"/>
      <c r="V35" s="38"/>
      <c r="W35" s="38"/>
      <c r="X35" s="38"/>
      <c r="Y35" s="38"/>
      <c r="Z35" s="38"/>
      <c r="AA35" s="38"/>
      <c r="AB35" s="38"/>
    </row>
    <row r="36" spans="1:28" ht="16.5">
      <c r="A36" s="41" t="s">
        <v>71</v>
      </c>
      <c r="B36" s="55" t="s">
        <v>0</v>
      </c>
      <c r="C36" s="129" t="str">
        <f>IF(C26=2,"(F1 + F2)x B x (X2)/4 =",IF(C26=4,"(F1 + F2)x B x (X2)/8 =","(F1 + F2)x B x (X2)/12 ="))</f>
        <v>(F1 + F2)x B x (X2)/4 =</v>
      </c>
      <c r="D36" s="129"/>
      <c r="E36" s="129"/>
      <c r="F36" s="55">
        <f>IF($C$26=2,(O29+O30)*$C$20*O35/4,IF($C$26=4,(O29+O30)*$C$20*O35/8,(O29+O30)*$C$20*O35/12))</f>
        <v>9.272118333940723</v>
      </c>
      <c r="G36" s="42" t="s">
        <v>47</v>
      </c>
      <c r="H36" s="42" t="str">
        <f>IF(E8="a","0.8T","0.8T*1.2")</f>
        <v>0.8T</v>
      </c>
      <c r="I36" s="67" t="str">
        <f aca="true" t="shared" si="0" ref="I36:I44">IF(AND(F36&lt;$P$5*0.8*$C$16),"SAFE","UNSAFE")</f>
        <v>SAFE</v>
      </c>
      <c r="J36" s="21"/>
      <c r="K36" s="30"/>
      <c r="L36" s="34"/>
      <c r="M36" s="30"/>
      <c r="N36" s="113" t="s">
        <v>126</v>
      </c>
      <c r="O36" s="111">
        <f>O25-O26</f>
        <v>0</v>
      </c>
      <c r="P36" s="36"/>
      <c r="Q36" s="113" t="s">
        <v>131</v>
      </c>
      <c r="R36" s="115">
        <f>R25-R26</f>
        <v>0</v>
      </c>
      <c r="S36" s="80"/>
      <c r="T36" s="80"/>
      <c r="U36" s="80"/>
      <c r="V36" s="38"/>
      <c r="W36" s="38"/>
      <c r="X36" s="38"/>
      <c r="Y36" s="38"/>
      <c r="Z36" s="38"/>
      <c r="AA36" s="38"/>
      <c r="AB36" s="38"/>
    </row>
    <row r="37" spans="1:28" ht="16.5">
      <c r="A37" s="41" t="s">
        <v>72</v>
      </c>
      <c r="B37" s="55" t="s">
        <v>0</v>
      </c>
      <c r="C37" s="129" t="str">
        <f>IF(C26=2,"(F2 + F3)x B x (X3)/4 =",IF(C26=4,"(F2 + F3)x B x (X3)/8 =","(F2 + F3)x B x (X3)/12 ="))</f>
        <v>(F2 + F3)x B x (X3)/4 =</v>
      </c>
      <c r="D37" s="129"/>
      <c r="E37" s="129"/>
      <c r="F37" s="55">
        <f>IF($C$26=2,(O30+O31)*$C$20*O36/4,IF($C$26=4,(O30+O31)*$C$20*O36/8,(O30+O31)*$C$20*O36/12))</f>
        <v>0</v>
      </c>
      <c r="G37" s="42" t="s">
        <v>47</v>
      </c>
      <c r="H37" s="42" t="str">
        <f>IF(E8="a","0.8T","0.8T*1.2")</f>
        <v>0.8T</v>
      </c>
      <c r="I37" s="67" t="str">
        <f t="shared" si="0"/>
        <v>SAFE</v>
      </c>
      <c r="J37" s="21"/>
      <c r="K37" s="29"/>
      <c r="L37" s="34"/>
      <c r="M37" s="30"/>
      <c r="N37" s="113" t="s">
        <v>127</v>
      </c>
      <c r="O37" s="111">
        <f>O26-O27</f>
        <v>0</v>
      </c>
      <c r="P37" s="36"/>
      <c r="Q37" s="113" t="s">
        <v>132</v>
      </c>
      <c r="R37" s="115">
        <f>R26-R27</f>
        <v>0</v>
      </c>
      <c r="S37" s="80"/>
      <c r="T37" s="80"/>
      <c r="U37" s="80"/>
      <c r="V37" s="38"/>
      <c r="W37" s="38"/>
      <c r="X37" s="38"/>
      <c r="Y37" s="38"/>
      <c r="Z37" s="38"/>
      <c r="AA37" s="38"/>
      <c r="AB37" s="38"/>
    </row>
    <row r="38" spans="1:28" ht="16.5">
      <c r="A38" s="41" t="s">
        <v>73</v>
      </c>
      <c r="B38" s="55" t="s">
        <v>0</v>
      </c>
      <c r="C38" s="129" t="str">
        <f>IF(C26=2,"(F3+ F4)x B x (X4)/4 =",IF(C26=4,"(F3+ F4)x B x (X4)/8 =","(F3+ F4)x B x (X4)/12 ="))</f>
        <v>(F3+ F4)x B x (X4)/4 =</v>
      </c>
      <c r="D38" s="129"/>
      <c r="E38" s="129"/>
      <c r="F38" s="55">
        <f>IF($C$26=2,(O31+O32)*$C$20*O37/4,IF($C$26=4,(O31+O32)*$C$20*O37/8,(O31+O32)*$C$20*O37/12))</f>
        <v>0</v>
      </c>
      <c r="G38" s="42" t="s">
        <v>47</v>
      </c>
      <c r="H38" s="42" t="str">
        <f>IF(E8="a","0.8T","0.8T*1.2")</f>
        <v>0.8T</v>
      </c>
      <c r="I38" s="67" t="str">
        <f t="shared" si="0"/>
        <v>SAFE</v>
      </c>
      <c r="J38" s="21"/>
      <c r="K38" s="29"/>
      <c r="L38" s="34"/>
      <c r="M38" s="30"/>
      <c r="N38" s="113" t="s">
        <v>128</v>
      </c>
      <c r="O38" s="111">
        <f>O27-O28</f>
        <v>0</v>
      </c>
      <c r="P38" s="36"/>
      <c r="Q38" s="113" t="s">
        <v>133</v>
      </c>
      <c r="R38" s="115">
        <f>R27</f>
        <v>0</v>
      </c>
      <c r="S38" s="80"/>
      <c r="T38" s="80"/>
      <c r="U38" s="80"/>
      <c r="V38" s="38"/>
      <c r="W38" s="38"/>
      <c r="X38" s="38"/>
      <c r="Y38" s="38"/>
      <c r="Z38" s="38"/>
      <c r="AA38" s="38"/>
      <c r="AB38" s="38"/>
    </row>
    <row r="39" spans="1:28" ht="16.5">
      <c r="A39" s="41" t="s">
        <v>74</v>
      </c>
      <c r="B39" s="55" t="s">
        <v>0</v>
      </c>
      <c r="C39" s="129" t="str">
        <f>IF(C26=2,"(F4 + F5)x B x (X5)/4 =",IF(C26=4,"(F4 + F5)x B x (X5)/8 =","(F4 + F5)x B x (X5)/12 ="))</f>
        <v>(F4 + F5)x B x (X5)/4 =</v>
      </c>
      <c r="D39" s="129"/>
      <c r="E39" s="129"/>
      <c r="F39" s="55">
        <f>IF($C$26=2,(O32+O33)*$C$20*O38/4,IF($C$26=4,(O32+O33)*$C$20*O38/8,(O32+O33)*$C$20*O38/12))</f>
        <v>0</v>
      </c>
      <c r="G39" s="42" t="s">
        <v>47</v>
      </c>
      <c r="H39" s="42" t="str">
        <f>IF(E8="a","0.8T","0.8T*1.2")</f>
        <v>0.8T</v>
      </c>
      <c r="I39" s="67" t="str">
        <f t="shared" si="0"/>
        <v>SAFE</v>
      </c>
      <c r="J39" s="21"/>
      <c r="K39" s="29"/>
      <c r="L39" s="31"/>
      <c r="M39" s="29"/>
      <c r="N39" s="112"/>
      <c r="O39" s="114"/>
      <c r="P39" s="36"/>
      <c r="Q39" s="111"/>
      <c r="R39" s="115"/>
      <c r="S39" s="80"/>
      <c r="T39" s="80"/>
      <c r="U39" s="80"/>
      <c r="V39" s="38"/>
      <c r="W39" s="38"/>
      <c r="X39" s="38"/>
      <c r="Y39" s="38"/>
      <c r="Z39" s="38"/>
      <c r="AA39" s="38"/>
      <c r="AB39" s="38"/>
    </row>
    <row r="40" spans="1:28" ht="16.5">
      <c r="A40" s="41" t="s">
        <v>75</v>
      </c>
      <c r="B40" s="55" t="s">
        <v>0</v>
      </c>
      <c r="C40" s="129" t="str">
        <f>IF(C26=2,"(F5 + F6)x B x (X6)/4 =",IF(C26=4,"(F5 + F6)x B x (X6)/8 =","(F5 + F6)x B x (X6)/12 ="))</f>
        <v>(F5 + F6)x B x (X6)/4 =</v>
      </c>
      <c r="D40" s="129"/>
      <c r="E40" s="129"/>
      <c r="F40" s="55">
        <f>IF(C26=2,(O33+R29)*C20*R34/4,IF(C26=4,(O33+R29)*C20*R34/8,(O33+R29)*C20*R34/12))</f>
        <v>0</v>
      </c>
      <c r="G40" s="42" t="s">
        <v>47</v>
      </c>
      <c r="H40" s="42" t="str">
        <f>IF(E8="a","0.8T","0.8T*1.2")</f>
        <v>0.8T</v>
      </c>
      <c r="I40" s="67" t="str">
        <f t="shared" si="0"/>
        <v>SAFE</v>
      </c>
      <c r="J40" s="21"/>
      <c r="K40" s="29"/>
      <c r="L40" s="31"/>
      <c r="M40" s="29"/>
      <c r="N40" s="112"/>
      <c r="O40" s="114"/>
      <c r="P40" s="36"/>
      <c r="Q40" s="111"/>
      <c r="R40" s="116"/>
      <c r="S40" s="80"/>
      <c r="T40" s="80"/>
      <c r="U40" s="80"/>
      <c r="V40" s="38"/>
      <c r="W40" s="38"/>
      <c r="X40" s="38"/>
      <c r="Y40" s="38"/>
      <c r="Z40" s="38"/>
      <c r="AA40" s="38"/>
      <c r="AB40" s="38"/>
    </row>
    <row r="41" spans="1:28" ht="16.5">
      <c r="A41" s="41" t="s">
        <v>118</v>
      </c>
      <c r="B41" s="55" t="s">
        <v>0</v>
      </c>
      <c r="C41" s="129" t="str">
        <f>IF(C26=2,"(F6 + F7)x B x (X7)/4 =",IF(C26=4,"(F6 + F7)x B x (X7)/8 =","(F6 + F7)x B x (X7)/12 ="))</f>
        <v>(F6 + F7)x B x (X7)/4 =</v>
      </c>
      <c r="D41" s="129"/>
      <c r="E41" s="129"/>
      <c r="F41" s="55">
        <f>IF($C$26=2,(R29+R30)*$C$20*R35/4,IF(C26=4,(R29+R30)*$C$20*R35/8,(R29+R30)*$C$20*R35/12))</f>
        <v>0</v>
      </c>
      <c r="G41" s="42" t="s">
        <v>47</v>
      </c>
      <c r="H41" s="42" t="str">
        <f>IF(E8="a","0.8T","0.8T*1.2")</f>
        <v>0.8T</v>
      </c>
      <c r="I41" s="67" t="str">
        <f t="shared" si="0"/>
        <v>SAFE</v>
      </c>
      <c r="J41" s="21"/>
      <c r="K41" s="29"/>
      <c r="L41" s="31"/>
      <c r="M41" s="29"/>
      <c r="N41" s="112"/>
      <c r="O41" s="114"/>
      <c r="P41" s="36"/>
      <c r="Q41" s="36"/>
      <c r="R41" s="80"/>
      <c r="S41" s="80"/>
      <c r="T41" s="80"/>
      <c r="U41" s="80"/>
      <c r="V41" s="38"/>
      <c r="W41" s="38"/>
      <c r="X41" s="38"/>
      <c r="Y41" s="38"/>
      <c r="Z41" s="38"/>
      <c r="AA41" s="38"/>
      <c r="AB41" s="38"/>
    </row>
    <row r="42" spans="1:28" ht="16.5">
      <c r="A42" s="41" t="s">
        <v>119</v>
      </c>
      <c r="B42" s="55" t="s">
        <v>0</v>
      </c>
      <c r="C42" s="129" t="str">
        <f>IF(C26=2,"(F7 + F8)x B x (X8)/4 =",IF(C26=4,"(F7 + F8)x B x (X8)/8 =","(F7 + F8)x B x (X8)/12 ="))</f>
        <v>(F7 + F8)x B x (X8)/4 =</v>
      </c>
      <c r="D42" s="129"/>
      <c r="E42" s="129"/>
      <c r="F42" s="55">
        <f>IF($C$26=2,(R30+R31)*$C$20*R36/4,IF(C27=4,(R30+R31)*$C$20*R36/8,(R30+R31)*$C$20*R36/12))</f>
        <v>0</v>
      </c>
      <c r="G42" s="42" t="s">
        <v>47</v>
      </c>
      <c r="H42" s="42" t="str">
        <f>IF(E8="a","0.8T","0.8T*1.2")</f>
        <v>0.8T</v>
      </c>
      <c r="I42" s="67" t="str">
        <f t="shared" si="0"/>
        <v>SAFE</v>
      </c>
      <c r="J42" s="21"/>
      <c r="K42" s="29"/>
      <c r="L42" s="31"/>
      <c r="M42" s="29"/>
      <c r="N42" s="112"/>
      <c r="O42" s="114"/>
      <c r="P42" s="36"/>
      <c r="Q42" s="36"/>
      <c r="R42" s="80"/>
      <c r="S42" s="80"/>
      <c r="T42" s="80"/>
      <c r="U42" s="80"/>
      <c r="V42" s="38"/>
      <c r="W42" s="38"/>
      <c r="X42" s="38"/>
      <c r="Y42" s="38"/>
      <c r="Z42" s="38"/>
      <c r="AA42" s="38"/>
      <c r="AB42" s="38"/>
    </row>
    <row r="43" spans="1:28" ht="16.5">
      <c r="A43" s="41" t="s">
        <v>120</v>
      </c>
      <c r="B43" s="55" t="s">
        <v>0</v>
      </c>
      <c r="C43" s="129" t="str">
        <f>IF(C26=2,"(F8 + F9)x B x (X9)/4 =",IF(C26=4,"(F8 + F9)x B x (X9)/8 =","(F8 + F9)x B x (X9)/12 ="))</f>
        <v>(F8 + F9)x B x (X9)/4 =</v>
      </c>
      <c r="D43" s="129"/>
      <c r="E43" s="129"/>
      <c r="F43" s="55">
        <f>IF($C$26=2,(R31+R32)*$C$20*R37/4,IF(C28=4,(R31+R32)*$C$20*R37/8,(R31+R32)*$C$20*R37/12))</f>
        <v>0</v>
      </c>
      <c r="G43" s="42" t="s">
        <v>47</v>
      </c>
      <c r="H43" s="42" t="str">
        <f>IF(E8="a","0.8T","0.8T*1.2")</f>
        <v>0.8T</v>
      </c>
      <c r="I43" s="67" t="str">
        <f t="shared" si="0"/>
        <v>SAFE</v>
      </c>
      <c r="J43" s="21"/>
      <c r="K43" s="29"/>
      <c r="L43" s="31"/>
      <c r="M43" s="29"/>
      <c r="N43" s="112"/>
      <c r="O43" s="114"/>
      <c r="P43" s="36"/>
      <c r="Q43" s="36"/>
      <c r="R43" s="80"/>
      <c r="S43" s="80"/>
      <c r="T43" s="80"/>
      <c r="U43" s="80"/>
      <c r="V43" s="38"/>
      <c r="W43" s="38"/>
      <c r="X43" s="38"/>
      <c r="Y43" s="38"/>
      <c r="Z43" s="38"/>
      <c r="AA43" s="38"/>
      <c r="AB43" s="38"/>
    </row>
    <row r="44" spans="1:28" ht="16.5">
      <c r="A44" s="41" t="s">
        <v>121</v>
      </c>
      <c r="B44" s="55" t="s">
        <v>0</v>
      </c>
      <c r="C44" s="129" t="str">
        <f>IF(C26=2,"( F9 )x B x (X10)/4     =",IF(C26=4,"( F9 )x B x (X10)/8     =","( F9 )x B x (X10)/12     ="))</f>
        <v>( F9 )x B x (X10)/4     =</v>
      </c>
      <c r="D44" s="129"/>
      <c r="E44" s="129"/>
      <c r="F44" s="55">
        <f>IF($C$26=2,(R32+R33)*$C$20*R38/4,IF(C29=4,(R32+R33)*$C$20*R38/8,(R32+R33)*$C$20*R38/12))</f>
        <v>0</v>
      </c>
      <c r="G44" s="42" t="s">
        <v>47</v>
      </c>
      <c r="H44" s="42" t="str">
        <f>IF(E8="a","0.8T","0.8T*1.2")</f>
        <v>0.8T</v>
      </c>
      <c r="I44" s="67" t="str">
        <f t="shared" si="0"/>
        <v>SAFE</v>
      </c>
      <c r="J44" s="21"/>
      <c r="K44" s="29"/>
      <c r="L44" s="31"/>
      <c r="M44" s="29"/>
      <c r="N44" s="112"/>
      <c r="O44" s="114"/>
      <c r="P44" s="36"/>
      <c r="Q44" s="36"/>
      <c r="R44" s="80"/>
      <c r="S44" s="80"/>
      <c r="T44" s="80"/>
      <c r="U44" s="80"/>
      <c r="V44" s="38"/>
      <c r="W44" s="38"/>
      <c r="X44" s="38"/>
      <c r="Y44" s="38"/>
      <c r="Z44" s="38"/>
      <c r="AA44" s="38"/>
      <c r="AB44" s="38"/>
    </row>
    <row r="45" spans="1:25" ht="16.5">
      <c r="A45" s="41" t="s">
        <v>76</v>
      </c>
      <c r="B45" s="55" t="s">
        <v>0</v>
      </c>
      <c r="C45" s="42" t="s">
        <v>77</v>
      </c>
      <c r="D45" s="130" t="s">
        <v>0</v>
      </c>
      <c r="E45" s="130"/>
      <c r="F45" s="55">
        <f>IF(C10&lt;0,0,C10/F26)</f>
        <v>0</v>
      </c>
      <c r="G45" s="42" t="s">
        <v>47</v>
      </c>
      <c r="H45" s="42" t="str">
        <f>IF(E8="a","0.6T","0.6T*1.2")</f>
        <v>0.6T</v>
      </c>
      <c r="I45" s="67" t="str">
        <f>IF(AND(F45&lt;P5*0.6*C16),"SAFE","UNSAFE")</f>
        <v>SAFE</v>
      </c>
      <c r="J45" s="21"/>
      <c r="K45" s="29"/>
      <c r="L45" s="49" t="s">
        <v>49</v>
      </c>
      <c r="M45" s="36"/>
      <c r="N45" s="111"/>
      <c r="O45" s="36"/>
      <c r="P45" s="36"/>
      <c r="Q45" s="36"/>
      <c r="R45" s="80"/>
      <c r="S45" s="80"/>
      <c r="T45" s="80"/>
      <c r="U45" s="80"/>
      <c r="V45" s="38"/>
      <c r="W45" s="38"/>
      <c r="X45" s="38"/>
      <c r="Y45" s="38"/>
    </row>
    <row r="46" spans="1:25" ht="15.75">
      <c r="A46" s="41"/>
      <c r="B46" s="55"/>
      <c r="C46" s="42"/>
      <c r="D46" s="42"/>
      <c r="E46" s="42"/>
      <c r="F46" s="55"/>
      <c r="G46" s="42"/>
      <c r="H46" s="42"/>
      <c r="I46" s="67"/>
      <c r="J46" s="21"/>
      <c r="K46" s="29"/>
      <c r="L46" s="49" t="s">
        <v>50</v>
      </c>
      <c r="M46" s="36"/>
      <c r="N46" s="36"/>
      <c r="O46" s="36"/>
      <c r="P46" s="36"/>
      <c r="Q46" s="36"/>
      <c r="R46" s="80"/>
      <c r="S46" s="80"/>
      <c r="T46" s="80"/>
      <c r="U46" s="80"/>
      <c r="V46" s="38"/>
      <c r="W46" s="38"/>
      <c r="X46" s="38"/>
      <c r="Y46" s="38"/>
    </row>
    <row r="47" spans="1:25" ht="16.5">
      <c r="A47" s="68" t="s">
        <v>78</v>
      </c>
      <c r="B47" s="55"/>
      <c r="C47" s="42"/>
      <c r="D47" s="55" t="s">
        <v>0</v>
      </c>
      <c r="E47" s="55">
        <f>F45/(0.6*C16)+(MAX(F35:F44))/(0.8*C16)</f>
        <v>0.5213741753228026</v>
      </c>
      <c r="F47" s="55" t="s">
        <v>22</v>
      </c>
      <c r="G47" s="69">
        <f>P5</f>
        <v>1</v>
      </c>
      <c r="H47" s="67"/>
      <c r="I47" s="67" t="str">
        <f>IF(AND(E47&lt;G47),"SAFE","UNSAFE")</f>
        <v>SAFE</v>
      </c>
      <c r="J47" s="21"/>
      <c r="K47" s="29"/>
      <c r="L47" s="31"/>
      <c r="M47" s="36"/>
      <c r="N47" s="36"/>
      <c r="O47" s="36"/>
      <c r="P47" s="36"/>
      <c r="Q47" s="36"/>
      <c r="R47" s="80"/>
      <c r="S47" s="80"/>
      <c r="T47" s="80"/>
      <c r="U47" s="80"/>
      <c r="V47" s="38"/>
      <c r="W47" s="38"/>
      <c r="X47" s="38"/>
      <c r="Y47" s="38"/>
    </row>
    <row r="48" spans="1:25" ht="15.75">
      <c r="A48" s="41"/>
      <c r="B48" s="55"/>
      <c r="C48" s="42"/>
      <c r="D48" s="55"/>
      <c r="E48" s="55"/>
      <c r="F48" s="42"/>
      <c r="G48" s="69"/>
      <c r="H48" s="67"/>
      <c r="I48" s="67"/>
      <c r="J48" s="21"/>
      <c r="K48" s="29"/>
      <c r="L48" s="31"/>
      <c r="M48" s="36"/>
      <c r="N48" s="36"/>
      <c r="O48" s="36"/>
      <c r="P48" s="36"/>
      <c r="Q48" s="36"/>
      <c r="R48" s="80"/>
      <c r="S48" s="80"/>
      <c r="T48" s="80"/>
      <c r="U48" s="80"/>
      <c r="V48" s="38"/>
      <c r="W48" s="38"/>
      <c r="X48" s="38"/>
      <c r="Y48" s="38"/>
    </row>
    <row r="49" spans="1:25" ht="16.5">
      <c r="A49" s="41" t="s">
        <v>79</v>
      </c>
      <c r="B49" s="55" t="s">
        <v>0</v>
      </c>
      <c r="C49" s="55">
        <f>C9/(F26)</f>
        <v>1.0333333333333334</v>
      </c>
      <c r="D49" s="55" t="s">
        <v>22</v>
      </c>
      <c r="E49" s="42" t="s">
        <v>80</v>
      </c>
      <c r="F49" s="42"/>
      <c r="G49" s="55" t="s">
        <v>0</v>
      </c>
      <c r="H49" s="55">
        <f>C15*P5*(1-(F45/C16))</f>
        <v>7.11</v>
      </c>
      <c r="I49" s="67" t="str">
        <f>IF(AND(C49&lt;H49),"SAFE","UNSAFE")</f>
        <v>SAFE</v>
      </c>
      <c r="J49" s="21"/>
      <c r="K49" s="29"/>
      <c r="L49" s="31"/>
      <c r="M49" s="36"/>
      <c r="N49" s="36"/>
      <c r="O49" s="36"/>
      <c r="P49" s="36"/>
      <c r="Q49" s="36"/>
      <c r="R49" s="80"/>
      <c r="S49" s="80"/>
      <c r="T49" s="80"/>
      <c r="U49" s="80"/>
      <c r="V49" s="38"/>
      <c r="W49" s="38"/>
      <c r="X49" s="38"/>
      <c r="Y49" s="38"/>
    </row>
    <row r="50" spans="1:25" ht="15.75">
      <c r="A50" s="40"/>
      <c r="B50" s="21"/>
      <c r="C50" s="21"/>
      <c r="D50" s="21"/>
      <c r="E50" s="21"/>
      <c r="F50" s="21"/>
      <c r="G50" s="21"/>
      <c r="H50" s="21"/>
      <c r="I50" s="21"/>
      <c r="J50" s="21"/>
      <c r="K50" s="29"/>
      <c r="L50" s="54"/>
      <c r="M50" s="80"/>
      <c r="N50" s="80"/>
      <c r="O50" s="80"/>
      <c r="P50" s="80"/>
      <c r="Q50" s="80"/>
      <c r="R50" s="80"/>
      <c r="S50" s="80"/>
      <c r="T50" s="80"/>
      <c r="U50" s="80"/>
      <c r="V50" s="38"/>
      <c r="W50" s="38"/>
      <c r="X50" s="38"/>
      <c r="Y50" s="38"/>
    </row>
    <row r="51" spans="1:25" ht="15.75">
      <c r="A51" s="53" t="s">
        <v>51</v>
      </c>
      <c r="B51" s="38"/>
      <c r="C51" s="38"/>
      <c r="D51" s="38"/>
      <c r="E51" s="38"/>
      <c r="F51" s="38"/>
      <c r="G51" s="38"/>
      <c r="H51" s="38"/>
      <c r="I51" s="38"/>
      <c r="J51" s="21"/>
      <c r="K51" s="29"/>
      <c r="L51" s="54"/>
      <c r="M51" s="80"/>
      <c r="N51" s="80"/>
      <c r="O51" s="80"/>
      <c r="P51" s="80"/>
      <c r="Q51" s="80"/>
      <c r="R51" s="80"/>
      <c r="S51" s="80"/>
      <c r="T51" s="80"/>
      <c r="U51" s="80"/>
      <c r="V51" s="38"/>
      <c r="W51" s="38"/>
      <c r="X51" s="38"/>
      <c r="Y51" s="38"/>
    </row>
    <row r="52" spans="1:25" ht="15.75">
      <c r="A52" s="53"/>
      <c r="B52" s="21"/>
      <c r="C52" s="21"/>
      <c r="D52" s="21"/>
      <c r="E52" s="21"/>
      <c r="F52" s="21"/>
      <c r="G52" s="21"/>
      <c r="H52" s="21"/>
      <c r="I52" s="21"/>
      <c r="J52" s="21"/>
      <c r="K52" s="29"/>
      <c r="L52" s="54"/>
      <c r="M52" s="80"/>
      <c r="N52" s="80"/>
      <c r="O52" s="80"/>
      <c r="P52" s="80"/>
      <c r="Q52" s="80"/>
      <c r="R52" s="80"/>
      <c r="S52" s="80"/>
      <c r="T52" s="80"/>
      <c r="U52" s="80"/>
      <c r="V52" s="38"/>
      <c r="W52" s="38"/>
      <c r="X52" s="38"/>
      <c r="Y52" s="38"/>
    </row>
    <row r="53" spans="1:25" ht="18.75">
      <c r="A53" s="41" t="s">
        <v>81</v>
      </c>
      <c r="B53" s="55" t="s">
        <v>0</v>
      </c>
      <c r="C53" s="70" t="s">
        <v>52</v>
      </c>
      <c r="D53" s="71"/>
      <c r="E53" s="21"/>
      <c r="F53" s="103">
        <f>C8*100*C19/(O18*2)-C10/(C19*C20)</f>
        <v>0.09212018140589569</v>
      </c>
      <c r="G53" s="42" t="s">
        <v>82</v>
      </c>
      <c r="H53" s="21" t="str">
        <f>IF(E8="a","0.58Fy","0.58Fy*1.2")</f>
        <v>0.58Fy</v>
      </c>
      <c r="I53" s="67" t="str">
        <f>IF(AND(F53&lt;0.58*2.4*P5),"SAFE","UNSAFE")</f>
        <v>SAFE</v>
      </c>
      <c r="J53" s="21"/>
      <c r="K53" s="29"/>
      <c r="L53" s="54"/>
      <c r="M53" s="80"/>
      <c r="N53" s="80"/>
      <c r="O53" s="80"/>
      <c r="P53" s="80"/>
      <c r="Q53" s="80"/>
      <c r="R53" s="80"/>
      <c r="S53" s="80"/>
      <c r="T53" s="80"/>
      <c r="U53" s="80"/>
      <c r="V53" s="38"/>
      <c r="W53" s="38"/>
      <c r="X53" s="38"/>
      <c r="Y53" s="38"/>
    </row>
    <row r="54" spans="1:25" ht="15.75">
      <c r="A54" s="32"/>
      <c r="B54" s="33"/>
      <c r="C54" s="129"/>
      <c r="D54" s="129"/>
      <c r="E54" s="33"/>
      <c r="F54" s="72"/>
      <c r="G54" s="72"/>
      <c r="H54" s="72"/>
      <c r="I54" s="72"/>
      <c r="J54" s="21"/>
      <c r="K54" s="29"/>
      <c r="L54" s="54"/>
      <c r="M54" s="80"/>
      <c r="N54" s="80"/>
      <c r="O54" s="80"/>
      <c r="P54" s="80"/>
      <c r="Q54" s="80"/>
      <c r="R54" s="80"/>
      <c r="S54" s="80"/>
      <c r="T54" s="80"/>
      <c r="U54" s="80"/>
      <c r="V54" s="38"/>
      <c r="W54" s="38"/>
      <c r="X54" s="38"/>
      <c r="Y54" s="38"/>
    </row>
    <row r="55" spans="1:25" ht="15.75">
      <c r="A55" s="53" t="s">
        <v>53</v>
      </c>
      <c r="B55" s="38"/>
      <c r="C55" s="38"/>
      <c r="D55" s="38"/>
      <c r="E55" s="38"/>
      <c r="F55" s="38"/>
      <c r="G55" s="38"/>
      <c r="H55" s="38"/>
      <c r="I55" s="38"/>
      <c r="J55" s="21"/>
      <c r="K55" s="29"/>
      <c r="L55" s="54"/>
      <c r="M55" s="80"/>
      <c r="N55" s="80"/>
      <c r="O55" s="80"/>
      <c r="P55" s="80"/>
      <c r="Q55" s="80"/>
      <c r="R55" s="80"/>
      <c r="S55" s="80"/>
      <c r="T55" s="80"/>
      <c r="U55" s="80"/>
      <c r="V55" s="38"/>
      <c r="W55" s="38"/>
      <c r="X55" s="38"/>
      <c r="Y55" s="38"/>
    </row>
    <row r="56" spans="1:25" ht="15.75">
      <c r="A56" s="53"/>
      <c r="B56" s="21"/>
      <c r="C56" s="21"/>
      <c r="D56" s="21"/>
      <c r="E56" s="21"/>
      <c r="F56" s="21"/>
      <c r="G56" s="21"/>
      <c r="H56" s="21"/>
      <c r="I56" s="21"/>
      <c r="J56" s="21"/>
      <c r="K56" s="29"/>
      <c r="L56" s="54"/>
      <c r="M56" s="80"/>
      <c r="N56" s="80"/>
      <c r="O56" s="80"/>
      <c r="P56" s="80"/>
      <c r="Q56" s="80"/>
      <c r="R56" s="80"/>
      <c r="S56" s="80"/>
      <c r="T56" s="80"/>
      <c r="U56" s="80"/>
      <c r="V56" s="38"/>
      <c r="W56" s="38"/>
      <c r="X56" s="38"/>
      <c r="Y56" s="38"/>
    </row>
    <row r="57" spans="1:25" ht="15.75">
      <c r="A57" s="32" t="s">
        <v>54</v>
      </c>
      <c r="B57" s="33" t="s">
        <v>0</v>
      </c>
      <c r="C57" s="93">
        <v>45</v>
      </c>
      <c r="D57" s="71" t="s">
        <v>2</v>
      </c>
      <c r="E57" s="21"/>
      <c r="F57" s="21"/>
      <c r="G57" s="21"/>
      <c r="H57" s="21"/>
      <c r="I57" s="21"/>
      <c r="J57" s="21"/>
      <c r="K57" s="29"/>
      <c r="L57" s="54"/>
      <c r="M57" s="80"/>
      <c r="N57" s="80"/>
      <c r="O57" s="80"/>
      <c r="P57" s="80"/>
      <c r="Q57" s="80"/>
      <c r="R57" s="80"/>
      <c r="S57" s="80"/>
      <c r="T57" s="80"/>
      <c r="U57" s="80"/>
      <c r="V57" s="38"/>
      <c r="W57" s="38"/>
      <c r="X57" s="38"/>
      <c r="Y57" s="38"/>
    </row>
    <row r="58" spans="1:25" ht="16.5">
      <c r="A58" s="32" t="s">
        <v>83</v>
      </c>
      <c r="B58" s="33" t="s">
        <v>0</v>
      </c>
      <c r="C58" s="129" t="s">
        <v>84</v>
      </c>
      <c r="D58" s="129"/>
      <c r="E58" s="33">
        <f>F35*C57/10</f>
        <v>36.62368178298102</v>
      </c>
      <c r="F58" s="72" t="s">
        <v>55</v>
      </c>
      <c r="G58" s="72"/>
      <c r="H58" s="72"/>
      <c r="I58" s="72"/>
      <c r="J58" s="21"/>
      <c r="K58" s="29"/>
      <c r="L58" s="54"/>
      <c r="M58" s="80"/>
      <c r="N58" s="80"/>
      <c r="O58" s="80"/>
      <c r="P58" s="80"/>
      <c r="Q58" s="80"/>
      <c r="R58" s="80"/>
      <c r="S58" s="80"/>
      <c r="T58" s="80"/>
      <c r="U58" s="80"/>
      <c r="V58" s="38"/>
      <c r="W58" s="38"/>
      <c r="X58" s="38"/>
      <c r="Y58" s="38"/>
    </row>
    <row r="59" spans="1:25" ht="15.75">
      <c r="A59" s="73"/>
      <c r="B59" s="72"/>
      <c r="C59" s="72"/>
      <c r="D59" s="72"/>
      <c r="E59" s="72"/>
      <c r="F59" s="72"/>
      <c r="G59" s="72"/>
      <c r="H59" s="72"/>
      <c r="I59" s="72"/>
      <c r="J59" s="21"/>
      <c r="K59" s="29"/>
      <c r="L59" s="49" t="s">
        <v>56</v>
      </c>
      <c r="M59" s="80"/>
      <c r="N59" s="80"/>
      <c r="O59" s="80"/>
      <c r="P59" s="80"/>
      <c r="Q59" s="80"/>
      <c r="R59" s="80"/>
      <c r="S59" s="80"/>
      <c r="T59" s="80"/>
      <c r="U59" s="80"/>
      <c r="V59" s="38"/>
      <c r="W59" s="38"/>
      <c r="X59" s="38"/>
      <c r="Y59" s="38"/>
    </row>
    <row r="60" spans="1:25" ht="16.5">
      <c r="A60" s="32" t="s">
        <v>61</v>
      </c>
      <c r="B60" s="33" t="s">
        <v>0</v>
      </c>
      <c r="C60" s="74" t="s">
        <v>85</v>
      </c>
      <c r="D60" s="72"/>
      <c r="E60" s="33">
        <f>((6*E58)/(0.72*2.4*P5*C20*2))^0.5</f>
        <v>1.8794618153023213</v>
      </c>
      <c r="F60" s="72" t="s">
        <v>5</v>
      </c>
      <c r="G60" s="118" t="s">
        <v>134</v>
      </c>
      <c r="H60" s="75">
        <f>MAX((CEILING((E60*10),5)),20)</f>
        <v>20</v>
      </c>
      <c r="I60" s="117" t="s">
        <v>2</v>
      </c>
      <c r="J60" s="21"/>
      <c r="K60" s="29"/>
      <c r="L60" s="49" t="s">
        <v>57</v>
      </c>
      <c r="M60" s="80"/>
      <c r="N60" s="80"/>
      <c r="O60" s="80"/>
      <c r="P60" s="80"/>
      <c r="Q60" s="80"/>
      <c r="R60" s="80"/>
      <c r="S60" s="80"/>
      <c r="T60" s="80"/>
      <c r="U60" s="80"/>
      <c r="V60" s="38"/>
      <c r="W60" s="38"/>
      <c r="X60" s="38"/>
      <c r="Y60" s="38"/>
    </row>
    <row r="61" spans="1:25" ht="15.75">
      <c r="A61" s="32"/>
      <c r="B61" s="33"/>
      <c r="C61" s="129"/>
      <c r="D61" s="129"/>
      <c r="E61" s="33"/>
      <c r="F61" s="72"/>
      <c r="G61" s="72"/>
      <c r="H61" s="72"/>
      <c r="I61" s="75"/>
      <c r="J61" s="21"/>
      <c r="K61" s="29"/>
      <c r="L61" s="54"/>
      <c r="M61" s="80"/>
      <c r="N61" s="80"/>
      <c r="O61" s="80"/>
      <c r="P61" s="80"/>
      <c r="Q61" s="80"/>
      <c r="R61" s="80"/>
      <c r="S61" s="80"/>
      <c r="T61" s="80"/>
      <c r="U61" s="80"/>
      <c r="V61" s="38"/>
      <c r="W61" s="38"/>
      <c r="X61" s="38"/>
      <c r="Y61" s="38"/>
    </row>
    <row r="62" spans="1:25" ht="15.75">
      <c r="A62" s="73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54"/>
      <c r="M62" s="80"/>
      <c r="N62" s="80"/>
      <c r="O62" s="80"/>
      <c r="P62" s="80"/>
      <c r="Q62" s="80"/>
      <c r="R62" s="80"/>
      <c r="S62" s="80"/>
      <c r="T62" s="80"/>
      <c r="U62" s="80"/>
      <c r="V62" s="38"/>
      <c r="W62" s="38"/>
      <c r="X62" s="38"/>
      <c r="Y62" s="38"/>
    </row>
    <row r="63" spans="1:25" ht="16.5" thickBot="1">
      <c r="A63" s="76"/>
      <c r="B63" s="77"/>
      <c r="C63" s="104"/>
      <c r="D63" s="78"/>
      <c r="E63" s="77"/>
      <c r="F63" s="78"/>
      <c r="G63" s="105"/>
      <c r="H63" s="78"/>
      <c r="I63" s="106"/>
      <c r="J63" s="78"/>
      <c r="K63" s="78"/>
      <c r="L63" s="79"/>
      <c r="M63" s="80"/>
      <c r="N63" s="80"/>
      <c r="O63" s="80"/>
      <c r="P63" s="80"/>
      <c r="Q63" s="80"/>
      <c r="R63" s="80"/>
      <c r="S63" s="80"/>
      <c r="T63" s="80"/>
      <c r="U63" s="80"/>
      <c r="V63" s="38"/>
      <c r="W63" s="38"/>
      <c r="X63" s="38"/>
      <c r="Y63" s="38"/>
    </row>
    <row r="64" spans="1:25" ht="15.75">
      <c r="A64" s="107"/>
      <c r="B64" s="107"/>
      <c r="C64" s="108"/>
      <c r="D64" s="108"/>
      <c r="E64" s="107"/>
      <c r="F64" s="109"/>
      <c r="G64" s="109"/>
      <c r="H64" s="109"/>
      <c r="I64" s="109"/>
      <c r="J64" s="109"/>
      <c r="K64" s="109"/>
      <c r="L64" s="110"/>
      <c r="M64" s="80"/>
      <c r="N64" s="80"/>
      <c r="O64" s="80"/>
      <c r="P64" s="80"/>
      <c r="Q64" s="80"/>
      <c r="R64" s="80"/>
      <c r="S64" s="80"/>
      <c r="T64" s="80"/>
      <c r="U64" s="80"/>
      <c r="V64" s="38"/>
      <c r="W64" s="38"/>
      <c r="X64" s="38"/>
      <c r="Y64" s="38"/>
    </row>
    <row r="65" spans="1:25" ht="15.75">
      <c r="A65" s="98"/>
      <c r="B65" s="98"/>
      <c r="C65" s="66"/>
      <c r="D65" s="66"/>
      <c r="E65" s="98"/>
      <c r="F65" s="94"/>
      <c r="G65" s="94"/>
      <c r="H65" s="94"/>
      <c r="I65" s="94"/>
      <c r="J65" s="94"/>
      <c r="K65" s="94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38"/>
      <c r="W65" s="38"/>
      <c r="X65" s="38"/>
      <c r="Y65" s="38"/>
    </row>
    <row r="66" spans="1:21" ht="15.75">
      <c r="A66" s="11"/>
      <c r="B66" s="11"/>
      <c r="C66" s="12"/>
      <c r="D66" s="9"/>
      <c r="E66" s="11"/>
      <c r="F66" s="9"/>
      <c r="G66" s="10"/>
      <c r="H66" s="9"/>
      <c r="I66" s="8"/>
      <c r="J66" s="9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</sheetData>
  <mergeCells count="17">
    <mergeCell ref="C61:D61"/>
    <mergeCell ref="C58:D58"/>
    <mergeCell ref="C35:E35"/>
    <mergeCell ref="C36:E36"/>
    <mergeCell ref="C37:E37"/>
    <mergeCell ref="C38:E38"/>
    <mergeCell ref="C41:E41"/>
    <mergeCell ref="C42:E42"/>
    <mergeCell ref="C43:E43"/>
    <mergeCell ref="C44:E44"/>
    <mergeCell ref="E1:H1"/>
    <mergeCell ref="E2:H2"/>
    <mergeCell ref="I1:J2"/>
    <mergeCell ref="C54:D54"/>
    <mergeCell ref="C39:E39"/>
    <mergeCell ref="C40:E40"/>
    <mergeCell ref="D45:E45"/>
  </mergeCells>
  <dataValidations count="4">
    <dataValidation type="list" allowBlank="1" showInputMessage="1" showErrorMessage="1" sqref="E8">
      <formula1>$N$5:$N$6</formula1>
    </dataValidation>
    <dataValidation type="list" allowBlank="1" showInputMessage="1" showErrorMessage="1" sqref="D13">
      <formula1>$O$5:$O$6</formula1>
    </dataValidation>
    <dataValidation type="list" allowBlank="1" showInputMessage="1" showErrorMessage="1" sqref="B13">
      <formula1>$N$8:$N$13</formula1>
    </dataValidation>
    <dataValidation type="list" allowBlank="1" showInputMessage="1" showErrorMessage="1" sqref="C26">
      <formula1>$N$14:$N$16</formula1>
    </dataValidation>
  </dataValidations>
  <printOptions horizontalCentered="1" verticalCentered="1"/>
  <pageMargins left="0" right="0" top="0" bottom="0" header="0.5" footer="0.5"/>
  <pageSetup horizontalDpi="600" verticalDpi="600" orientation="portrait" paperSize="9" scale="80" r:id="rId4"/>
  <drawing r:id="rId3"/>
  <legacyDrawing r:id="rId2"/>
  <oleObjects>
    <oleObject progId="AutoCAD.Drawing.17" shapeId="15510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2009-02-23T13:43:14Z</cp:lastPrinted>
  <dcterms:created xsi:type="dcterms:W3CDTF">1997-10-17T07:03:38Z</dcterms:created>
  <dcterms:modified xsi:type="dcterms:W3CDTF">2009-07-16T10:58:45Z</dcterms:modified>
  <cp:category/>
  <cp:version/>
  <cp:contentType/>
  <cp:contentStatus/>
</cp:coreProperties>
</file>