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0" yWindow="105" windowWidth="4920" windowHeight="4905" tabRatio="757" activeTab="1"/>
  </bookViews>
  <sheets>
    <sheet name="CERTIFICATE" sheetId="1" r:id="rId1"/>
    <sheet name="Prestress I.40(1232)" sheetId="2" r:id="rId2"/>
    <sheet name="dwg.-I40" sheetId="3" r:id="rId3"/>
  </sheets>
  <definedNames>
    <definedName name="_xlnm.Print_Area" localSheetId="1">'Prestress I.40(1232)'!$A$4:$K$185</definedName>
    <definedName name="Print_Area_MI">#REF!</definedName>
  </definedNames>
  <calcPr fullCalcOnLoad="1"/>
</workbook>
</file>

<file path=xl/sharedStrings.xml><?xml version="1.0" encoding="utf-8"?>
<sst xmlns="http://schemas.openxmlformats.org/spreadsheetml/2006/main" count="742" uniqueCount="438">
  <si>
    <t xml:space="preserve">          FORE DAM</t>
  </si>
  <si>
    <r>
      <t xml:space="preserve">8 </t>
    </r>
    <r>
      <rPr>
        <b/>
        <sz val="10"/>
        <rFont val="Symbol"/>
        <family val="1"/>
      </rPr>
      <t>Æ</t>
    </r>
    <r>
      <rPr>
        <b/>
        <sz val="16"/>
        <rFont val="AngsanaUPC"/>
        <family val="1"/>
      </rPr>
      <t xml:space="preserve"> 3/8" (270K) </t>
    </r>
  </si>
  <si>
    <t xml:space="preserve">    Working moment</t>
  </si>
  <si>
    <t xml:space="preserve">    Working shear</t>
  </si>
  <si>
    <r>
      <t xml:space="preserve">6 </t>
    </r>
    <r>
      <rPr>
        <b/>
        <sz val="10"/>
        <rFont val="Symbol"/>
        <family val="1"/>
      </rPr>
      <t>Æ</t>
    </r>
    <r>
      <rPr>
        <b/>
        <sz val="16"/>
        <rFont val="AngsanaUPC"/>
        <family val="1"/>
      </rPr>
      <t xml:space="preserve"> 3/8" (270K) </t>
    </r>
  </si>
  <si>
    <t>Æ</t>
  </si>
  <si>
    <t>GRADE</t>
  </si>
  <si>
    <t xml:space="preserve"> PC strand </t>
  </si>
  <si>
    <t>9.3 mm. (3/8")</t>
  </si>
  <si>
    <t>9.5 mm. (3/8")</t>
  </si>
  <si>
    <t>12.4 mm. (1/2")</t>
  </si>
  <si>
    <t>12.7 mm. (1/2")</t>
  </si>
  <si>
    <t>PROJECT</t>
  </si>
  <si>
    <t xml:space="preserve"> SCALE</t>
  </si>
  <si>
    <t>cm</t>
  </si>
  <si>
    <t>DWG. No.</t>
  </si>
  <si>
    <t>RB.3 mm.</t>
  </si>
  <si>
    <t>RB.4 mm.</t>
  </si>
  <si>
    <t>RB.6 mm.</t>
  </si>
  <si>
    <t>RB.9 mm.</t>
  </si>
  <si>
    <t>DB.10 mm.</t>
  </si>
  <si>
    <t>DB.12 mm.</t>
  </si>
  <si>
    <t>DB.16 mm.</t>
  </si>
  <si>
    <t>DB.20 mm.</t>
  </si>
  <si>
    <t>DB.25 mm.</t>
  </si>
  <si>
    <t>DB.28 mm.</t>
  </si>
  <si>
    <t>ksc.***</t>
  </si>
  <si>
    <t>mm. (cold drawn steel) Double Stirrup</t>
  </si>
  <si>
    <r>
      <t xml:space="preserve">20-2 </t>
    </r>
    <r>
      <rPr>
        <sz val="10"/>
        <rFont val="Symbol"/>
        <family val="1"/>
      </rPr>
      <t xml:space="preserve">Æ </t>
    </r>
    <r>
      <rPr>
        <sz val="18"/>
        <rFont val="AngsanaUPC"/>
        <family val="1"/>
      </rPr>
      <t>4.5mm.@ 5</t>
    </r>
  </si>
  <si>
    <r>
      <t xml:space="preserve"> 10-2 </t>
    </r>
    <r>
      <rPr>
        <sz val="10"/>
        <rFont val="Symbol"/>
        <family val="1"/>
      </rPr>
      <t xml:space="preserve">Æ </t>
    </r>
    <r>
      <rPr>
        <sz val="18"/>
        <rFont val="AngsanaUPC"/>
        <family val="1"/>
      </rPr>
      <t>4.5mm.@ 10</t>
    </r>
  </si>
  <si>
    <r>
      <t xml:space="preserve"> 29-2 </t>
    </r>
    <r>
      <rPr>
        <sz val="10"/>
        <rFont val="Symbol"/>
        <family val="1"/>
      </rPr>
      <t xml:space="preserve">Æ </t>
    </r>
    <r>
      <rPr>
        <sz val="18"/>
        <rFont val="AngsanaUPC"/>
        <family val="1"/>
      </rPr>
      <t>4.5mm.@ 16</t>
    </r>
  </si>
  <si>
    <r>
      <t xml:space="preserve"> -2  </t>
    </r>
    <r>
      <rPr>
        <sz val="10"/>
        <rFont val="Symbol"/>
        <family val="1"/>
      </rPr>
      <t xml:space="preserve">Æ  </t>
    </r>
    <r>
      <rPr>
        <sz val="18"/>
        <rFont val="AngsanaUPC"/>
        <family val="1"/>
      </rPr>
      <t>4.5mm.@16    STIRRUP</t>
    </r>
  </si>
  <si>
    <t>&gt;</t>
  </si>
  <si>
    <t>kg</t>
  </si>
  <si>
    <t>I. 0.40x0.40 (1232) x 18.00 m.</t>
  </si>
  <si>
    <t>LENGTH = L ( M )</t>
  </si>
  <si>
    <t>0.207 L - LIFTING  PT.</t>
  </si>
  <si>
    <t xml:space="preserve">0.207 L - LIFTING  PT. </t>
  </si>
  <si>
    <t xml:space="preserve"> PROJECT.</t>
  </si>
  <si>
    <t>LENGTH  L  ( M )</t>
  </si>
  <si>
    <t>NO.  AND  TYPE OF REINFORCEMENT</t>
  </si>
  <si>
    <t>S. PHICHIT</t>
  </si>
  <si>
    <t xml:space="preserve"> DATE</t>
  </si>
  <si>
    <r>
      <t xml:space="preserve">  4-2 </t>
    </r>
    <r>
      <rPr>
        <sz val="10"/>
        <rFont val="Symbol"/>
        <family val="1"/>
      </rPr>
      <t xml:space="preserve">Æ </t>
    </r>
    <r>
      <rPr>
        <sz val="18"/>
        <rFont val="AngsanaUPC"/>
        <family val="1"/>
      </rPr>
      <t>9mm.@ 10</t>
    </r>
  </si>
  <si>
    <r>
      <t xml:space="preserve">20 </t>
    </r>
    <r>
      <rPr>
        <sz val="10"/>
        <rFont val="Symbol"/>
        <family val="1"/>
      </rPr>
      <t xml:space="preserve">Æ </t>
    </r>
    <r>
      <rPr>
        <sz val="18"/>
        <rFont val="AngsanaUPC"/>
        <family val="1"/>
      </rPr>
      <t>4.5mm.@ 5</t>
    </r>
  </si>
  <si>
    <t>2 RB.9 mm.</t>
  </si>
  <si>
    <t xml:space="preserve">     ultimate force</t>
  </si>
  <si>
    <t xml:space="preserve">     ultimate tensile strength of pc.steel</t>
  </si>
  <si>
    <t>ALLOWABLE STRESSES IN PC. STEEL</t>
  </si>
  <si>
    <t>d</t>
  </si>
  <si>
    <t>a</t>
  </si>
  <si>
    <t>c</t>
  </si>
  <si>
    <t>DIMENSION (cm)</t>
  </si>
  <si>
    <t>A1</t>
  </si>
  <si>
    <t>A2</t>
  </si>
  <si>
    <t>A3</t>
  </si>
  <si>
    <t>B1</t>
  </si>
  <si>
    <t>B2</t>
  </si>
  <si>
    <t>B3</t>
  </si>
  <si>
    <t>B4</t>
  </si>
  <si>
    <t>kg-m</t>
  </si>
  <si>
    <t>2. DESIGN CRITERIA</t>
  </si>
  <si>
    <t>Allowable Stress at Transfer</t>
  </si>
  <si>
    <t>:Compressive Stress</t>
  </si>
  <si>
    <t>:Tensile Stress</t>
  </si>
  <si>
    <t xml:space="preserve">Allowable Stress at Service Load after all loss </t>
  </si>
  <si>
    <t>Allowable axial Compressive Stress at Design Load</t>
  </si>
  <si>
    <t>Modulus of Elasticity of Prestressed Steel</t>
  </si>
  <si>
    <t>Type of Strand</t>
  </si>
  <si>
    <t>Cross Section</t>
  </si>
  <si>
    <t>Tensile Strength</t>
  </si>
  <si>
    <t>: Eccentric of Strand or wire</t>
  </si>
  <si>
    <t>Qty. Tendon</t>
  </si>
  <si>
    <t>Initial Force</t>
  </si>
  <si>
    <t>Initial</t>
  </si>
  <si>
    <t>Steel Area</t>
  </si>
  <si>
    <t>Distance (cm)</t>
  </si>
  <si>
    <t>Top</t>
  </si>
  <si>
    <t>Bottom</t>
  </si>
  <si>
    <t>/Tendon</t>
  </si>
  <si>
    <t>Force</t>
  </si>
  <si>
    <t>(ksc)</t>
  </si>
  <si>
    <t>(cm)</t>
  </si>
  <si>
    <t>ksc</t>
  </si>
  <si>
    <t>3. DESIGN FOR BENDING MOMENT</t>
  </si>
  <si>
    <t>T.L.   =  Total Loss</t>
  </si>
  <si>
    <t>ES + CR + SH + RE</t>
  </si>
  <si>
    <t>for pretensioned member</t>
  </si>
  <si>
    <t xml:space="preserve">ES   =   Elastic Shorttening loss  </t>
  </si>
  <si>
    <t xml:space="preserve">CR   =   Creep Loss      </t>
  </si>
  <si>
    <t xml:space="preserve">SH   =   Shrinkage Loss  </t>
  </si>
  <si>
    <t>1200 - 11RH</t>
  </si>
  <si>
    <t>RE   =   Steel Relexation Loss</t>
  </si>
  <si>
    <t>1410 - 0.4ES - 0.2(SH + CR)</t>
  </si>
  <si>
    <t>Discripstion</t>
  </si>
  <si>
    <t>ES</t>
  </si>
  <si>
    <t>CR</t>
  </si>
  <si>
    <t>SH</t>
  </si>
  <si>
    <t>RE</t>
  </si>
  <si>
    <t>Total Loss ; T.L.</t>
  </si>
  <si>
    <t>DETERMINE MOMENT</t>
  </si>
  <si>
    <t xml:space="preserve">Initial Prestress Force ; </t>
  </si>
  <si>
    <t>P - ES</t>
  </si>
  <si>
    <t>Force at Prestress after Total Loss ;</t>
  </si>
  <si>
    <t>P - Total Loss</t>
  </si>
  <si>
    <t>Moment Due to Dead Load (at 0.207L) ;</t>
  </si>
  <si>
    <t>Moment Due to 50% Impact Load ;</t>
  </si>
  <si>
    <t>1.5M</t>
  </si>
  <si>
    <t>Working Moment ; (Service Moment)</t>
  </si>
  <si>
    <t>Appiled Factored Moment at Section ;</t>
  </si>
  <si>
    <t>DETERMINE FIBER STRESS</t>
  </si>
  <si>
    <t>STRESSES</t>
  </si>
  <si>
    <t>Handing at Transfer</t>
  </si>
  <si>
    <t>Handing at Design Load</t>
  </si>
  <si>
    <t>For Design Load</t>
  </si>
  <si>
    <t>M / S</t>
  </si>
  <si>
    <t>FAIL</t>
  </si>
  <si>
    <t>4. DESIGN FOR SHEAR</t>
  </si>
  <si>
    <t>: Area of Shear Reinforcement</t>
  </si>
  <si>
    <t>: Web Width</t>
  </si>
  <si>
    <t>: Distance from Extreme Compression Fiber to Centriod Prestressed Reinforcement in Tension zone</t>
  </si>
  <si>
    <t>s</t>
  </si>
  <si>
    <t>: Stirrup Spacing</t>
  </si>
  <si>
    <t>: Compressive Stress in Concrete due to Effective Prestress Force Only (After Allowance for All Prestress Losses)</t>
  </si>
  <si>
    <t>: ksc</t>
  </si>
  <si>
    <t>: Ultimate Strength of Prestressing Steel</t>
  </si>
  <si>
    <t>: Non-Prastressed Reinforcement</t>
  </si>
  <si>
    <t>: Norminal Shear Strength of Concrete</t>
  </si>
  <si>
    <t>: kg</t>
  </si>
  <si>
    <t>: Norminal Shear Strength</t>
  </si>
  <si>
    <t>: Norminal Shear Strength of Reinforcement</t>
  </si>
  <si>
    <t>: Working Shear</t>
  </si>
  <si>
    <t>: Factored Shear Force</t>
  </si>
  <si>
    <t xml:space="preserve">ksc  (not over </t>
  </si>
  <si>
    <t>used   :</t>
  </si>
  <si>
    <t>Maximum Values Stirrup Spacing</t>
  </si>
  <si>
    <t>1)   s</t>
  </si>
  <si>
    <t>4)      0.75h</t>
  </si>
  <si>
    <t>used  Stirrup @</t>
  </si>
  <si>
    <t>: Non Prestressed inTension zone</t>
  </si>
  <si>
    <t>: Non Prestressed in Compression zone</t>
  </si>
  <si>
    <t>: Distance from Extreme Compression Fiber to Neutral Axis</t>
  </si>
  <si>
    <t>: Modulus of Elasticity of Prestressing Steel</t>
  </si>
  <si>
    <t>: Specific Yeild Strength of Prestressing Steel</t>
  </si>
  <si>
    <t>: Factored for Depth of Stress Block</t>
  </si>
  <si>
    <t>&gt;=</t>
  </si>
  <si>
    <t>6. CHECK CRACKING MOMENT</t>
  </si>
  <si>
    <t>: Distance from Bottom Fiber to C.G. of Section</t>
  </si>
  <si>
    <t>r</t>
  </si>
  <si>
    <t>: Radius of Gyration</t>
  </si>
  <si>
    <t>sqrt ( l / A )</t>
  </si>
  <si>
    <t>Modulus of Rupture of Concrete ;</t>
  </si>
  <si>
    <t>Cracking Moment ;</t>
  </si>
  <si>
    <t>7. CHECK CAMBER ; DEFLECTION</t>
  </si>
  <si>
    <t>Allowable Deflection</t>
  </si>
  <si>
    <t>L / 360</t>
  </si>
  <si>
    <t>Initial Prestress Force</t>
  </si>
  <si>
    <t>CASE : two Lifting Point</t>
  </si>
  <si>
    <t>Net. Deflection at L/2</t>
  </si>
  <si>
    <r>
      <t>cm</t>
    </r>
    <r>
      <rPr>
        <vertAlign val="superscript"/>
        <sz val="14"/>
        <rFont val="Cordia New"/>
        <family val="2"/>
      </rPr>
      <t>2</t>
    </r>
  </si>
  <si>
    <r>
      <t>E</t>
    </r>
    <r>
      <rPr>
        <vertAlign val="subscript"/>
        <sz val="14"/>
        <rFont val="Cordia New"/>
        <family val="2"/>
      </rPr>
      <t>c</t>
    </r>
    <r>
      <rPr>
        <sz val="14"/>
        <rFont val="Cordia New"/>
        <family val="2"/>
      </rPr>
      <t>= 15200 sqrt(f'</t>
    </r>
    <r>
      <rPr>
        <vertAlign val="subscript"/>
        <sz val="14"/>
        <rFont val="Cordia New"/>
        <family val="2"/>
      </rPr>
      <t>c</t>
    </r>
    <r>
      <rPr>
        <sz val="14"/>
        <rFont val="Cordia New"/>
        <family val="2"/>
      </rPr>
      <t>)</t>
    </r>
  </si>
  <si>
    <r>
      <t>E</t>
    </r>
    <r>
      <rPr>
        <vertAlign val="subscript"/>
        <sz val="14"/>
        <rFont val="Cordia New"/>
        <family val="2"/>
      </rPr>
      <t>ci</t>
    </r>
    <r>
      <rPr>
        <sz val="14"/>
        <rFont val="Cordia New"/>
        <family val="2"/>
      </rPr>
      <t>= 15200 sqrt(f'</t>
    </r>
    <r>
      <rPr>
        <vertAlign val="subscript"/>
        <sz val="14"/>
        <rFont val="Cordia New"/>
        <family val="2"/>
      </rPr>
      <t>ci</t>
    </r>
    <r>
      <rPr>
        <sz val="14"/>
        <rFont val="Cordia New"/>
        <family val="2"/>
      </rPr>
      <t>)</t>
    </r>
  </si>
  <si>
    <r>
      <t>=      f</t>
    </r>
    <r>
      <rPr>
        <vertAlign val="subscript"/>
        <sz val="14"/>
        <rFont val="Cordia New"/>
        <family val="2"/>
      </rPr>
      <t>ci</t>
    </r>
  </si>
  <si>
    <r>
      <t>=   0.6f'</t>
    </r>
    <r>
      <rPr>
        <vertAlign val="subscript"/>
        <sz val="14"/>
        <rFont val="Cordia New"/>
        <family val="2"/>
      </rPr>
      <t>ci</t>
    </r>
  </si>
  <si>
    <r>
      <t>=      f</t>
    </r>
    <r>
      <rPr>
        <vertAlign val="subscript"/>
        <sz val="14"/>
        <rFont val="Cordia New"/>
        <family val="2"/>
      </rPr>
      <t>ti</t>
    </r>
  </si>
  <si>
    <r>
      <t>=      f</t>
    </r>
    <r>
      <rPr>
        <vertAlign val="subscript"/>
        <sz val="14"/>
        <rFont val="Cordia New"/>
        <family val="2"/>
      </rPr>
      <t>ca1</t>
    </r>
  </si>
  <si>
    <r>
      <t>=   0.45f'</t>
    </r>
    <r>
      <rPr>
        <vertAlign val="subscript"/>
        <sz val="14"/>
        <rFont val="Cordia New"/>
        <family val="2"/>
      </rPr>
      <t>c</t>
    </r>
  </si>
  <si>
    <r>
      <t>=      f</t>
    </r>
    <r>
      <rPr>
        <vertAlign val="subscript"/>
        <sz val="14"/>
        <rFont val="Cordia New"/>
        <family val="2"/>
      </rPr>
      <t>ta</t>
    </r>
  </si>
  <si>
    <r>
      <t>=      f</t>
    </r>
    <r>
      <rPr>
        <vertAlign val="subscript"/>
        <sz val="14"/>
        <rFont val="Cordia New"/>
        <family val="2"/>
      </rPr>
      <t>ca2</t>
    </r>
  </si>
  <si>
    <r>
      <t>=   0.33f'</t>
    </r>
    <r>
      <rPr>
        <vertAlign val="subscript"/>
        <sz val="14"/>
        <rFont val="Cordia New"/>
        <family val="2"/>
      </rPr>
      <t>c</t>
    </r>
  </si>
  <si>
    <r>
      <t>E</t>
    </r>
    <r>
      <rPr>
        <vertAlign val="subscript"/>
        <sz val="14"/>
        <rFont val="Cordia New"/>
        <family val="2"/>
      </rPr>
      <t>ps</t>
    </r>
  </si>
  <si>
    <r>
      <t>A'</t>
    </r>
    <r>
      <rPr>
        <vertAlign val="subscript"/>
        <sz val="14"/>
        <rFont val="Cordia New"/>
        <family val="2"/>
      </rPr>
      <t>ps</t>
    </r>
  </si>
  <si>
    <r>
      <t>cm</t>
    </r>
    <r>
      <rPr>
        <vertAlign val="superscript"/>
        <sz val="12"/>
        <rFont val="Cordia New"/>
        <family val="2"/>
      </rPr>
      <t>2</t>
    </r>
  </si>
  <si>
    <r>
      <t>A</t>
    </r>
    <r>
      <rPr>
        <vertAlign val="subscript"/>
        <sz val="14"/>
        <rFont val="Cordia New"/>
        <family val="2"/>
      </rPr>
      <t>ps</t>
    </r>
  </si>
  <si>
    <t xml:space="preserve">Pile Length </t>
  </si>
  <si>
    <t xml:space="preserve">Cross Section Area </t>
  </si>
  <si>
    <t xml:space="preserve">Unit Weight </t>
  </si>
  <si>
    <t xml:space="preserve">Moment of Inertia </t>
  </si>
  <si>
    <t xml:space="preserve">Working shear </t>
  </si>
  <si>
    <r>
      <t>f'</t>
    </r>
    <r>
      <rPr>
        <vertAlign val="subscript"/>
        <sz val="14"/>
        <rFont val="Cordia New"/>
        <family val="2"/>
      </rPr>
      <t>c</t>
    </r>
  </si>
  <si>
    <r>
      <t>f'</t>
    </r>
    <r>
      <rPr>
        <vertAlign val="subscript"/>
        <sz val="14"/>
        <rFont val="Cordia New"/>
        <family val="2"/>
      </rPr>
      <t>ci</t>
    </r>
  </si>
  <si>
    <t>Specified Compressive Strength of Prestressed Concrete (at 28 days)</t>
  </si>
  <si>
    <t>Modulus of Elasticity of Concrete</t>
  </si>
  <si>
    <t>1. PROPERTY OF SECTION</t>
  </si>
  <si>
    <t>Compressive Strength of concrete at Time of Initial prestress</t>
  </si>
  <si>
    <t>Modulus</t>
  </si>
  <si>
    <t>of elasticity</t>
  </si>
  <si>
    <t>3/8" 250K</t>
  </si>
  <si>
    <t>3/8" 270K</t>
  </si>
  <si>
    <t>Select Tensile Strength</t>
  </si>
  <si>
    <t>1/2" 250K</t>
  </si>
  <si>
    <t>Select Distance of Tendon</t>
  </si>
  <si>
    <t>1/2" 270K</t>
  </si>
  <si>
    <t>Area of Prestressed Reinforcement in Compression Zone</t>
  </si>
  <si>
    <t>Area of Prestressed Reinforcement in Tension Zone</t>
  </si>
  <si>
    <t>Total Prestressed Steel Area</t>
  </si>
  <si>
    <t>Total initial Force</t>
  </si>
  <si>
    <t>P =</t>
  </si>
  <si>
    <t>Distance of Prestress Force from Top Fiber</t>
  </si>
  <si>
    <t>e =</t>
  </si>
  <si>
    <t>RH        =</t>
  </si>
  <si>
    <t xml:space="preserve">       Loss Stress ; ksc</t>
  </si>
  <si>
    <t xml:space="preserve">       Force ;     kg</t>
  </si>
  <si>
    <t xml:space="preserve">       Percent %</t>
  </si>
  <si>
    <t xml:space="preserve">       Total Stress</t>
  </si>
  <si>
    <t xml:space="preserve">       Allowable Stress</t>
  </si>
  <si>
    <t xml:space="preserve">       Total Stress &lt; Allow. Stress</t>
  </si>
  <si>
    <t>ขนาดลวด</t>
  </si>
  <si>
    <t>STIRRUP</t>
  </si>
  <si>
    <t>used Stirrup dia.      =</t>
  </si>
  <si>
    <t>: Distance from Extreme Compression Fiber to Centroid Non-prestressed</t>
  </si>
  <si>
    <t xml:space="preserve">  Reinforcement in Tension zone</t>
  </si>
  <si>
    <t>d'</t>
  </si>
  <si>
    <t xml:space="preserve">  Reinforcement in Compression zone</t>
  </si>
  <si>
    <t>0.1%Proof</t>
  </si>
  <si>
    <t>Forch</t>
  </si>
  <si>
    <r>
      <t>f</t>
    </r>
    <r>
      <rPr>
        <b/>
        <vertAlign val="subscript"/>
        <sz val="12"/>
        <rFont val="Cordia New"/>
        <family val="2"/>
      </rPr>
      <t>pu</t>
    </r>
  </si>
  <si>
    <r>
      <t>A</t>
    </r>
    <r>
      <rPr>
        <b/>
        <vertAlign val="subscript"/>
        <sz val="12"/>
        <rFont val="Cordia New"/>
        <family val="2"/>
      </rPr>
      <t>t</t>
    </r>
  </si>
  <si>
    <r>
      <t>d'</t>
    </r>
    <r>
      <rPr>
        <b/>
        <vertAlign val="subscript"/>
        <sz val="12"/>
        <rFont val="Cordia New"/>
        <family val="2"/>
      </rPr>
      <t>p</t>
    </r>
  </si>
  <si>
    <r>
      <t>d</t>
    </r>
    <r>
      <rPr>
        <b/>
        <vertAlign val="subscript"/>
        <sz val="12"/>
        <rFont val="Cordia New"/>
        <family val="2"/>
      </rPr>
      <t>p</t>
    </r>
  </si>
  <si>
    <r>
      <t>(cm</t>
    </r>
    <r>
      <rPr>
        <b/>
        <vertAlign val="superscript"/>
        <sz val="12"/>
        <rFont val="Cordia New"/>
        <family val="2"/>
      </rPr>
      <t>2</t>
    </r>
    <r>
      <rPr>
        <b/>
        <sz val="12"/>
        <rFont val="Cordia New"/>
        <family val="2"/>
      </rPr>
      <t>)</t>
    </r>
  </si>
  <si>
    <r>
      <t>kN/mm.</t>
    </r>
    <r>
      <rPr>
        <vertAlign val="superscript"/>
        <sz val="14"/>
        <rFont val="Cordia New"/>
        <family val="2"/>
      </rPr>
      <t>2</t>
    </r>
  </si>
  <si>
    <r>
      <t>f</t>
    </r>
    <r>
      <rPr>
        <vertAlign val="subscript"/>
        <sz val="14"/>
        <rFont val="Cordia New"/>
        <family val="2"/>
      </rPr>
      <t>pu</t>
    </r>
    <r>
      <rPr>
        <sz val="14"/>
        <rFont val="Cordia New"/>
        <family val="2"/>
      </rPr>
      <t xml:space="preserve">   =</t>
    </r>
  </si>
  <si>
    <r>
      <t>d'</t>
    </r>
    <r>
      <rPr>
        <vertAlign val="subscript"/>
        <sz val="14"/>
        <rFont val="Cordia New"/>
        <family val="2"/>
      </rPr>
      <t xml:space="preserve">p  </t>
    </r>
    <r>
      <rPr>
        <sz val="14"/>
        <rFont val="Cordia New"/>
        <family val="2"/>
      </rPr>
      <t xml:space="preserve"> =</t>
    </r>
  </si>
  <si>
    <r>
      <t>d</t>
    </r>
    <r>
      <rPr>
        <vertAlign val="subscript"/>
        <sz val="14"/>
        <rFont val="Cordia New"/>
        <family val="2"/>
      </rPr>
      <t xml:space="preserve">p   </t>
    </r>
    <r>
      <rPr>
        <sz val="14"/>
        <rFont val="Cordia New"/>
        <family val="2"/>
      </rPr>
      <t xml:space="preserve"> =</t>
    </r>
  </si>
  <si>
    <r>
      <t>A</t>
    </r>
    <r>
      <rPr>
        <vertAlign val="subscript"/>
        <sz val="14"/>
        <rFont val="Cordia New"/>
        <family val="2"/>
      </rPr>
      <t>t</t>
    </r>
    <r>
      <rPr>
        <sz val="14"/>
        <rFont val="Cordia New"/>
        <family val="2"/>
      </rPr>
      <t xml:space="preserve">   = </t>
    </r>
  </si>
  <si>
    <r>
      <t xml:space="preserve">              A'</t>
    </r>
    <r>
      <rPr>
        <vertAlign val="subscript"/>
        <sz val="14"/>
        <rFont val="Cordia New"/>
        <family val="2"/>
      </rPr>
      <t>ps</t>
    </r>
    <r>
      <rPr>
        <sz val="14"/>
        <rFont val="Cordia New"/>
        <family val="2"/>
      </rPr>
      <t xml:space="preserve">   +   A</t>
    </r>
    <r>
      <rPr>
        <vertAlign val="subscript"/>
        <sz val="14"/>
        <rFont val="Cordia New"/>
        <family val="2"/>
      </rPr>
      <t>ps</t>
    </r>
  </si>
  <si>
    <r>
      <t>f</t>
    </r>
    <r>
      <rPr>
        <vertAlign val="subscript"/>
        <sz val="14"/>
        <rFont val="Cordia New"/>
        <family val="2"/>
      </rPr>
      <t>pu</t>
    </r>
    <r>
      <rPr>
        <sz val="14"/>
        <rFont val="Cordia New"/>
        <family val="2"/>
      </rPr>
      <t>A</t>
    </r>
    <r>
      <rPr>
        <vertAlign val="subscript"/>
        <sz val="14"/>
        <rFont val="Cordia New"/>
        <family val="2"/>
      </rPr>
      <t>t</t>
    </r>
  </si>
  <si>
    <r>
      <t xml:space="preserve"> K</t>
    </r>
    <r>
      <rPr>
        <vertAlign val="subscript"/>
        <sz val="14"/>
        <rFont val="Cordia New"/>
        <family val="2"/>
      </rPr>
      <t xml:space="preserve">cir </t>
    </r>
    <r>
      <rPr>
        <sz val="14"/>
        <rFont val="Cordia New"/>
        <family val="2"/>
      </rPr>
      <t xml:space="preserve">    =</t>
    </r>
  </si>
  <si>
    <r>
      <t>f</t>
    </r>
    <r>
      <rPr>
        <vertAlign val="subscript"/>
        <sz val="14"/>
        <rFont val="Cordia New"/>
        <family val="2"/>
      </rPr>
      <t>cds</t>
    </r>
    <r>
      <rPr>
        <sz val="14"/>
        <rFont val="Cordia New"/>
        <family val="2"/>
      </rPr>
      <t xml:space="preserve">        =</t>
    </r>
  </si>
  <si>
    <r>
      <t>F</t>
    </r>
    <r>
      <rPr>
        <b/>
        <vertAlign val="subscript"/>
        <sz val="14"/>
        <rFont val="Cordia New"/>
        <family val="2"/>
      </rPr>
      <t>t</t>
    </r>
  </si>
  <si>
    <r>
      <t>F</t>
    </r>
    <r>
      <rPr>
        <b/>
        <vertAlign val="subscript"/>
        <sz val="14"/>
        <rFont val="Cordia New"/>
        <family val="2"/>
      </rPr>
      <t>b</t>
    </r>
  </si>
  <si>
    <r>
      <t>cm.</t>
    </r>
    <r>
      <rPr>
        <vertAlign val="superscript"/>
        <sz val="14"/>
        <rFont val="Cordia New"/>
        <family val="2"/>
      </rPr>
      <t>2</t>
    </r>
  </si>
  <si>
    <r>
      <t>V</t>
    </r>
    <r>
      <rPr>
        <vertAlign val="subscript"/>
        <sz val="14"/>
        <rFont val="Cordia New"/>
        <family val="2"/>
      </rPr>
      <t>s</t>
    </r>
    <r>
      <rPr>
        <sz val="14"/>
        <rFont val="Cordia New"/>
        <family val="2"/>
      </rPr>
      <t xml:space="preserve">       =     A</t>
    </r>
    <r>
      <rPr>
        <vertAlign val="subscript"/>
        <sz val="14"/>
        <rFont val="Cordia New"/>
        <family val="2"/>
      </rPr>
      <t>v</t>
    </r>
    <r>
      <rPr>
        <sz val="14"/>
        <rFont val="Cordia New"/>
        <family val="2"/>
      </rPr>
      <t xml:space="preserve"> f</t>
    </r>
    <r>
      <rPr>
        <vertAlign val="subscript"/>
        <sz val="14"/>
        <rFont val="Cordia New"/>
        <family val="2"/>
      </rPr>
      <t>y</t>
    </r>
    <r>
      <rPr>
        <sz val="14"/>
        <rFont val="Cordia New"/>
        <family val="2"/>
      </rPr>
      <t xml:space="preserve"> d</t>
    </r>
    <r>
      <rPr>
        <vertAlign val="subscript"/>
        <sz val="14"/>
        <rFont val="Cordia New"/>
        <family val="2"/>
      </rPr>
      <t>p</t>
    </r>
    <r>
      <rPr>
        <sz val="14"/>
        <rFont val="Cordia New"/>
        <family val="2"/>
      </rPr>
      <t xml:space="preserve"> / s    =</t>
    </r>
  </si>
  <si>
    <t>Section Modulus</t>
  </si>
  <si>
    <t>Modulus of Elasticity of Concrete at Time of Initial Prestress</t>
  </si>
  <si>
    <t>PILE :</t>
  </si>
  <si>
    <t xml:space="preserve">  m</t>
  </si>
  <si>
    <r>
      <t xml:space="preserve">  cm</t>
    </r>
    <r>
      <rPr>
        <vertAlign val="superscript"/>
        <sz val="14"/>
        <rFont val="Cordia New"/>
        <family val="2"/>
      </rPr>
      <t>2</t>
    </r>
  </si>
  <si>
    <t xml:space="preserve">  kg/m</t>
  </si>
  <si>
    <r>
      <t xml:space="preserve">  cm</t>
    </r>
    <r>
      <rPr>
        <vertAlign val="superscript"/>
        <sz val="14"/>
        <rFont val="Cordia New"/>
        <family val="2"/>
      </rPr>
      <t>4</t>
    </r>
  </si>
  <si>
    <r>
      <t xml:space="preserve">  cm</t>
    </r>
    <r>
      <rPr>
        <vertAlign val="superscript"/>
        <sz val="14"/>
        <rFont val="Cordia New"/>
        <family val="2"/>
      </rPr>
      <t>3</t>
    </r>
  </si>
  <si>
    <t xml:space="preserve">  kg-m</t>
  </si>
  <si>
    <t xml:space="preserve">  kg.</t>
  </si>
  <si>
    <r>
      <t>(A</t>
    </r>
    <r>
      <rPr>
        <vertAlign val="subscript"/>
        <sz val="14"/>
        <rFont val="Cordia New"/>
        <family val="2"/>
      </rPr>
      <t>ps</t>
    </r>
    <r>
      <rPr>
        <sz val="14"/>
        <rFont val="Cordia New"/>
        <family val="2"/>
      </rPr>
      <t>d</t>
    </r>
    <r>
      <rPr>
        <vertAlign val="subscript"/>
        <sz val="14"/>
        <rFont val="Cordia New"/>
        <family val="2"/>
      </rPr>
      <t>p</t>
    </r>
    <r>
      <rPr>
        <sz val="14"/>
        <rFont val="Cordia New"/>
        <family val="2"/>
      </rPr>
      <t xml:space="preserve"> + A'</t>
    </r>
    <r>
      <rPr>
        <vertAlign val="subscript"/>
        <sz val="14"/>
        <rFont val="Cordia New"/>
        <family val="2"/>
      </rPr>
      <t>ps</t>
    </r>
    <r>
      <rPr>
        <sz val="14"/>
        <rFont val="Cordia New"/>
        <family val="2"/>
      </rPr>
      <t>d'</t>
    </r>
    <r>
      <rPr>
        <vertAlign val="subscript"/>
        <sz val="14"/>
        <rFont val="Cordia New"/>
        <family val="2"/>
      </rPr>
      <t>p</t>
    </r>
    <r>
      <rPr>
        <sz val="14"/>
        <rFont val="Cordia New"/>
        <family val="2"/>
      </rPr>
      <t>) / (A</t>
    </r>
    <r>
      <rPr>
        <vertAlign val="subscript"/>
        <sz val="14"/>
        <rFont val="Cordia New"/>
        <family val="2"/>
      </rPr>
      <t>ps</t>
    </r>
    <r>
      <rPr>
        <sz val="14"/>
        <rFont val="Cordia New"/>
        <family val="2"/>
      </rPr>
      <t xml:space="preserve"> + A'</t>
    </r>
    <r>
      <rPr>
        <vertAlign val="subscript"/>
        <sz val="14"/>
        <rFont val="Cordia New"/>
        <family val="2"/>
      </rPr>
      <t>ps</t>
    </r>
    <r>
      <rPr>
        <sz val="14"/>
        <rFont val="Cordia New"/>
        <family val="2"/>
      </rPr>
      <t>)</t>
    </r>
  </si>
  <si>
    <r>
      <t>(A</t>
    </r>
    <r>
      <rPr>
        <vertAlign val="subscript"/>
        <sz val="14"/>
        <rFont val="Cordia New"/>
        <family val="2"/>
      </rPr>
      <t>ps</t>
    </r>
    <r>
      <rPr>
        <sz val="14"/>
        <rFont val="Cordia New"/>
        <family val="2"/>
      </rPr>
      <t>d</t>
    </r>
    <r>
      <rPr>
        <vertAlign val="subscript"/>
        <sz val="14"/>
        <rFont val="Cordia New"/>
        <family val="2"/>
      </rPr>
      <t>p</t>
    </r>
    <r>
      <rPr>
        <sz val="14"/>
        <rFont val="Cordia New"/>
        <family val="2"/>
      </rPr>
      <t xml:space="preserve"> + A'</t>
    </r>
    <r>
      <rPr>
        <vertAlign val="subscript"/>
        <sz val="14"/>
        <rFont val="Cordia New"/>
        <family val="2"/>
      </rPr>
      <t>ps</t>
    </r>
    <r>
      <rPr>
        <sz val="14"/>
        <rFont val="Cordia New"/>
        <family val="2"/>
      </rPr>
      <t>d'</t>
    </r>
    <r>
      <rPr>
        <vertAlign val="subscript"/>
        <sz val="14"/>
        <rFont val="Cordia New"/>
        <family val="2"/>
      </rPr>
      <t>p</t>
    </r>
    <r>
      <rPr>
        <sz val="14"/>
        <rFont val="Cordia New"/>
        <family val="2"/>
      </rPr>
      <t>) / (A</t>
    </r>
    <r>
      <rPr>
        <vertAlign val="subscript"/>
        <sz val="14"/>
        <rFont val="Cordia New"/>
        <family val="2"/>
      </rPr>
      <t>ps</t>
    </r>
    <r>
      <rPr>
        <sz val="14"/>
        <rFont val="Cordia New"/>
        <family val="2"/>
      </rPr>
      <t xml:space="preserve"> + A'</t>
    </r>
    <r>
      <rPr>
        <vertAlign val="subscript"/>
        <sz val="14"/>
        <rFont val="Cordia New"/>
        <family val="2"/>
      </rPr>
      <t>ps</t>
    </r>
    <r>
      <rPr>
        <sz val="14"/>
        <rFont val="Cordia New"/>
        <family val="2"/>
      </rPr>
      <t>) - B</t>
    </r>
    <r>
      <rPr>
        <vertAlign val="subscript"/>
        <sz val="14"/>
        <rFont val="Cordia New"/>
        <family val="2"/>
      </rPr>
      <t>1</t>
    </r>
    <r>
      <rPr>
        <sz val="14"/>
        <rFont val="Cordia New"/>
        <family val="2"/>
      </rPr>
      <t>/2</t>
    </r>
  </si>
  <si>
    <r>
      <t>f</t>
    </r>
    <r>
      <rPr>
        <vertAlign val="subscript"/>
        <sz val="14"/>
        <rFont val="Cordia New"/>
        <family val="2"/>
      </rPr>
      <t>cir</t>
    </r>
    <r>
      <rPr>
        <sz val="14"/>
        <rFont val="Cordia New"/>
        <family val="2"/>
      </rPr>
      <t xml:space="preserve">    =  K</t>
    </r>
    <r>
      <rPr>
        <vertAlign val="subscript"/>
        <sz val="14"/>
        <rFont val="Cordia New"/>
        <family val="2"/>
      </rPr>
      <t>cir</t>
    </r>
    <r>
      <rPr>
        <sz val="14"/>
        <rFont val="Cordia New"/>
        <family val="2"/>
      </rPr>
      <t>(P/A + P.e</t>
    </r>
    <r>
      <rPr>
        <vertAlign val="superscript"/>
        <sz val="14"/>
        <rFont val="Cordia New"/>
        <family val="2"/>
      </rPr>
      <t>2</t>
    </r>
    <r>
      <rPr>
        <sz val="14"/>
        <rFont val="Cordia New"/>
        <family val="2"/>
      </rPr>
      <t>/l) - M.e/l            =</t>
    </r>
  </si>
  <si>
    <r>
      <t>(E</t>
    </r>
    <r>
      <rPr>
        <vertAlign val="subscript"/>
        <sz val="14"/>
        <rFont val="Cordia New"/>
        <family val="2"/>
      </rPr>
      <t>ps</t>
    </r>
    <r>
      <rPr>
        <sz val="14"/>
        <rFont val="Cordia New"/>
        <family val="2"/>
      </rPr>
      <t>/E</t>
    </r>
    <r>
      <rPr>
        <vertAlign val="subscript"/>
        <sz val="14"/>
        <rFont val="Cordia New"/>
        <family val="2"/>
      </rPr>
      <t>ci</t>
    </r>
    <r>
      <rPr>
        <sz val="14"/>
        <rFont val="Cordia New"/>
        <family val="2"/>
      </rPr>
      <t>)f</t>
    </r>
    <r>
      <rPr>
        <vertAlign val="subscript"/>
        <sz val="14"/>
        <rFont val="Cordia New"/>
        <family val="2"/>
      </rPr>
      <t>cir</t>
    </r>
  </si>
  <si>
    <r>
      <t>12f</t>
    </r>
    <r>
      <rPr>
        <vertAlign val="subscript"/>
        <sz val="14"/>
        <rFont val="Cordia New"/>
        <family val="2"/>
      </rPr>
      <t>cir</t>
    </r>
    <r>
      <rPr>
        <sz val="14"/>
        <rFont val="Cordia New"/>
        <family val="2"/>
      </rPr>
      <t xml:space="preserve"> - 7f</t>
    </r>
    <r>
      <rPr>
        <vertAlign val="subscript"/>
        <sz val="14"/>
        <rFont val="Cordia New"/>
        <family val="2"/>
      </rPr>
      <t>cds</t>
    </r>
  </si>
  <si>
    <r>
      <t>P</t>
    </r>
    <r>
      <rPr>
        <vertAlign val="subscript"/>
        <sz val="14"/>
        <rFont val="Cordia New"/>
        <family val="2"/>
      </rPr>
      <t>i</t>
    </r>
  </si>
  <si>
    <r>
      <t>P</t>
    </r>
    <r>
      <rPr>
        <vertAlign val="subscript"/>
        <sz val="14"/>
        <rFont val="Cordia New"/>
        <family val="2"/>
      </rPr>
      <t>e</t>
    </r>
  </si>
  <si>
    <r>
      <t>W</t>
    </r>
    <r>
      <rPr>
        <vertAlign val="subscript"/>
        <sz val="14"/>
        <rFont val="Cordia New"/>
        <family val="2"/>
      </rPr>
      <t>t</t>
    </r>
    <r>
      <rPr>
        <sz val="14"/>
        <rFont val="Cordia New"/>
        <family val="2"/>
      </rPr>
      <t xml:space="preserve"> (0.207L)</t>
    </r>
    <r>
      <rPr>
        <vertAlign val="superscript"/>
        <sz val="14"/>
        <rFont val="Cordia New"/>
        <family val="2"/>
      </rPr>
      <t>2</t>
    </r>
    <r>
      <rPr>
        <sz val="14"/>
        <rFont val="Cordia New"/>
        <family val="2"/>
      </rPr>
      <t>/2</t>
    </r>
  </si>
  <si>
    <r>
      <t>M</t>
    </r>
    <r>
      <rPr>
        <vertAlign val="subscript"/>
        <sz val="14"/>
        <rFont val="Cordia New"/>
        <family val="2"/>
      </rPr>
      <t>d</t>
    </r>
  </si>
  <si>
    <r>
      <t>M</t>
    </r>
    <r>
      <rPr>
        <vertAlign val="subscript"/>
        <sz val="14"/>
        <rFont val="Cordia New"/>
        <family val="2"/>
      </rPr>
      <t>w</t>
    </r>
  </si>
  <si>
    <r>
      <t>M</t>
    </r>
    <r>
      <rPr>
        <vertAlign val="subscript"/>
        <sz val="14"/>
        <rFont val="Cordia New"/>
        <family val="2"/>
      </rPr>
      <t>u</t>
    </r>
  </si>
  <si>
    <r>
      <t>1.7M</t>
    </r>
    <r>
      <rPr>
        <vertAlign val="subscript"/>
        <sz val="14"/>
        <rFont val="Cordia New"/>
        <family val="2"/>
      </rPr>
      <t>w</t>
    </r>
  </si>
  <si>
    <r>
      <t>P</t>
    </r>
    <r>
      <rPr>
        <vertAlign val="subscript"/>
        <sz val="14"/>
        <rFont val="Cordia New"/>
        <family val="2"/>
      </rPr>
      <t xml:space="preserve">i </t>
    </r>
    <r>
      <rPr>
        <sz val="14"/>
        <rFont val="Cordia New"/>
        <family val="2"/>
      </rPr>
      <t>/ A</t>
    </r>
  </si>
  <si>
    <r>
      <t>P</t>
    </r>
    <r>
      <rPr>
        <vertAlign val="subscript"/>
        <sz val="14"/>
        <rFont val="Cordia New"/>
        <family val="2"/>
      </rPr>
      <t>i</t>
    </r>
    <r>
      <rPr>
        <sz val="14"/>
        <rFont val="Cordia New"/>
        <family val="2"/>
      </rPr>
      <t>.e / S</t>
    </r>
  </si>
  <si>
    <r>
      <t>P</t>
    </r>
    <r>
      <rPr>
        <vertAlign val="subscript"/>
        <sz val="14"/>
        <rFont val="Cordia New"/>
        <family val="2"/>
      </rPr>
      <t xml:space="preserve">e </t>
    </r>
    <r>
      <rPr>
        <sz val="14"/>
        <rFont val="Cordia New"/>
        <family val="2"/>
      </rPr>
      <t>/ A</t>
    </r>
  </si>
  <si>
    <r>
      <t>P</t>
    </r>
    <r>
      <rPr>
        <vertAlign val="subscript"/>
        <sz val="14"/>
        <rFont val="Cordia New"/>
        <family val="2"/>
      </rPr>
      <t>e</t>
    </r>
    <r>
      <rPr>
        <sz val="14"/>
        <rFont val="Cordia New"/>
        <family val="2"/>
      </rPr>
      <t>.e / S</t>
    </r>
  </si>
  <si>
    <r>
      <t>M</t>
    </r>
    <r>
      <rPr>
        <vertAlign val="subscript"/>
        <sz val="14"/>
        <rFont val="Cordia New"/>
        <family val="2"/>
      </rPr>
      <t xml:space="preserve">d </t>
    </r>
    <r>
      <rPr>
        <sz val="14"/>
        <rFont val="Cordia New"/>
        <family val="2"/>
      </rPr>
      <t>/ S</t>
    </r>
  </si>
  <si>
    <r>
      <t>M</t>
    </r>
    <r>
      <rPr>
        <vertAlign val="subscript"/>
        <sz val="14"/>
        <rFont val="Cordia New"/>
        <family val="2"/>
      </rPr>
      <t xml:space="preserve">w </t>
    </r>
    <r>
      <rPr>
        <sz val="14"/>
        <rFont val="Cordia New"/>
        <family val="2"/>
      </rPr>
      <t>/ S</t>
    </r>
  </si>
  <si>
    <r>
      <t>0.6f'</t>
    </r>
    <r>
      <rPr>
        <vertAlign val="subscript"/>
        <sz val="14"/>
        <rFont val="Cordia New"/>
        <family val="2"/>
      </rPr>
      <t>ci</t>
    </r>
  </si>
  <si>
    <r>
      <t>0.45f'</t>
    </r>
    <r>
      <rPr>
        <vertAlign val="subscript"/>
        <sz val="14"/>
        <rFont val="Cordia New"/>
        <family val="2"/>
      </rPr>
      <t>c</t>
    </r>
  </si>
  <si>
    <r>
      <t>-1.59sqrt(f'</t>
    </r>
    <r>
      <rPr>
        <vertAlign val="subscript"/>
        <sz val="14"/>
        <rFont val="Cordia New"/>
        <family val="2"/>
      </rPr>
      <t>c</t>
    </r>
    <r>
      <rPr>
        <sz val="14"/>
        <rFont val="Cordia New"/>
        <family val="2"/>
      </rPr>
      <t>)</t>
    </r>
  </si>
  <si>
    <r>
      <t>A</t>
    </r>
    <r>
      <rPr>
        <vertAlign val="subscript"/>
        <sz val="14"/>
        <rFont val="Cordia New"/>
        <family val="2"/>
      </rPr>
      <t>v</t>
    </r>
  </si>
  <si>
    <r>
      <t>: cm</t>
    </r>
    <r>
      <rPr>
        <vertAlign val="superscript"/>
        <sz val="14"/>
        <rFont val="Cordia New"/>
        <family val="2"/>
      </rPr>
      <t>2</t>
    </r>
  </si>
  <si>
    <r>
      <t>b</t>
    </r>
    <r>
      <rPr>
        <vertAlign val="subscript"/>
        <sz val="14"/>
        <rFont val="Cordia New"/>
        <family val="2"/>
      </rPr>
      <t>w</t>
    </r>
  </si>
  <si>
    <r>
      <t>: cm</t>
    </r>
  </si>
  <si>
    <r>
      <t>d</t>
    </r>
    <r>
      <rPr>
        <vertAlign val="subscript"/>
        <sz val="14"/>
        <rFont val="Cordia New"/>
        <family val="2"/>
      </rPr>
      <t>p</t>
    </r>
  </si>
  <si>
    <r>
      <t>f</t>
    </r>
    <r>
      <rPr>
        <vertAlign val="subscript"/>
        <sz val="14"/>
        <rFont val="Cordia New"/>
        <family val="2"/>
      </rPr>
      <t>pe</t>
    </r>
  </si>
  <si>
    <r>
      <t>f</t>
    </r>
    <r>
      <rPr>
        <vertAlign val="subscript"/>
        <sz val="14"/>
        <rFont val="Cordia New"/>
        <family val="2"/>
      </rPr>
      <t>pu</t>
    </r>
  </si>
  <si>
    <r>
      <t>f</t>
    </r>
    <r>
      <rPr>
        <vertAlign val="subscript"/>
        <sz val="14"/>
        <rFont val="Cordia New"/>
        <family val="2"/>
      </rPr>
      <t>y</t>
    </r>
  </si>
  <si>
    <r>
      <t>V</t>
    </r>
    <r>
      <rPr>
        <vertAlign val="subscript"/>
        <sz val="14"/>
        <rFont val="Cordia New"/>
        <family val="2"/>
      </rPr>
      <t>c</t>
    </r>
  </si>
  <si>
    <r>
      <t>V</t>
    </r>
    <r>
      <rPr>
        <vertAlign val="subscript"/>
        <sz val="14"/>
        <rFont val="Cordia New"/>
        <family val="2"/>
      </rPr>
      <t>n</t>
    </r>
  </si>
  <si>
    <r>
      <t>V</t>
    </r>
    <r>
      <rPr>
        <vertAlign val="subscript"/>
        <sz val="14"/>
        <rFont val="Cordia New"/>
        <family val="2"/>
      </rPr>
      <t>s</t>
    </r>
  </si>
  <si>
    <r>
      <t>V</t>
    </r>
    <r>
      <rPr>
        <vertAlign val="subscript"/>
        <sz val="14"/>
        <rFont val="Cordia New"/>
        <family val="2"/>
      </rPr>
      <t>w</t>
    </r>
  </si>
  <si>
    <r>
      <t>V</t>
    </r>
    <r>
      <rPr>
        <vertAlign val="subscript"/>
        <sz val="14"/>
        <rFont val="Cordia New"/>
        <family val="2"/>
      </rPr>
      <t>u</t>
    </r>
  </si>
  <si>
    <r>
      <t>1.7V</t>
    </r>
    <r>
      <rPr>
        <vertAlign val="subscript"/>
        <sz val="14"/>
        <rFont val="Cordia New"/>
        <family val="2"/>
      </rPr>
      <t>w</t>
    </r>
  </si>
  <si>
    <r>
      <t>; (d</t>
    </r>
    <r>
      <rPr>
        <vertAlign val="subscript"/>
        <sz val="14"/>
        <rFont val="Cordia New"/>
        <family val="2"/>
      </rPr>
      <t>p</t>
    </r>
    <r>
      <rPr>
        <sz val="14"/>
        <rFont val="Cordia New"/>
        <family val="2"/>
      </rPr>
      <t xml:space="preserve"> not over 0.8h)</t>
    </r>
  </si>
  <si>
    <r>
      <t>ksc)  used f</t>
    </r>
    <r>
      <rPr>
        <vertAlign val="subscript"/>
        <sz val="12"/>
        <rFont val="Cordia New"/>
        <family val="2"/>
      </rPr>
      <t>y</t>
    </r>
  </si>
  <si>
    <r>
      <t>(0.16 sqrt(f'</t>
    </r>
    <r>
      <rPr>
        <vertAlign val="subscript"/>
        <sz val="14"/>
        <rFont val="Cordia New"/>
        <family val="2"/>
      </rPr>
      <t>c</t>
    </r>
    <r>
      <rPr>
        <sz val="14"/>
        <rFont val="Cordia New"/>
        <family val="2"/>
      </rPr>
      <t>) + 49(V</t>
    </r>
    <r>
      <rPr>
        <vertAlign val="subscript"/>
        <sz val="14"/>
        <rFont val="Cordia New"/>
        <family val="2"/>
      </rPr>
      <t>u</t>
    </r>
    <r>
      <rPr>
        <sz val="14"/>
        <rFont val="Cordia New"/>
        <family val="2"/>
      </rPr>
      <t xml:space="preserve"> d</t>
    </r>
    <r>
      <rPr>
        <vertAlign val="subscript"/>
        <sz val="14"/>
        <rFont val="Cordia New"/>
        <family val="2"/>
      </rPr>
      <t>p</t>
    </r>
    <r>
      <rPr>
        <sz val="14"/>
        <rFont val="Cordia New"/>
        <family val="2"/>
      </rPr>
      <t xml:space="preserve"> / M</t>
    </r>
    <r>
      <rPr>
        <vertAlign val="subscript"/>
        <sz val="14"/>
        <rFont val="Cordia New"/>
        <family val="2"/>
      </rPr>
      <t>u</t>
    </r>
    <r>
      <rPr>
        <sz val="14"/>
        <rFont val="Cordia New"/>
        <family val="2"/>
      </rPr>
      <t>)) b</t>
    </r>
    <r>
      <rPr>
        <vertAlign val="subscript"/>
        <sz val="14"/>
        <rFont val="Cordia New"/>
        <family val="2"/>
      </rPr>
      <t>w</t>
    </r>
    <r>
      <rPr>
        <sz val="14"/>
        <rFont val="Cordia New"/>
        <family val="2"/>
      </rPr>
      <t xml:space="preserve"> d</t>
    </r>
    <r>
      <rPr>
        <vertAlign val="subscript"/>
        <sz val="14"/>
        <rFont val="Cordia New"/>
        <family val="2"/>
      </rPr>
      <t>p</t>
    </r>
  </si>
  <si>
    <r>
      <t>V</t>
    </r>
    <r>
      <rPr>
        <vertAlign val="subscript"/>
        <sz val="14"/>
        <rFont val="Cordia New"/>
        <family val="2"/>
      </rPr>
      <t>c min</t>
    </r>
  </si>
  <si>
    <r>
      <t>0.53 sqrt(f'</t>
    </r>
    <r>
      <rPr>
        <vertAlign val="subscript"/>
        <sz val="14"/>
        <rFont val="Cordia New"/>
        <family val="2"/>
      </rPr>
      <t>c</t>
    </r>
    <r>
      <rPr>
        <sz val="14"/>
        <rFont val="Cordia New"/>
        <family val="2"/>
      </rPr>
      <t xml:space="preserve">) </t>
    </r>
    <r>
      <rPr>
        <sz val="14"/>
        <rFont val="Cordia New"/>
        <family val="2"/>
      </rPr>
      <t>b</t>
    </r>
    <r>
      <rPr>
        <vertAlign val="subscript"/>
        <sz val="14"/>
        <rFont val="Cordia New"/>
        <family val="2"/>
      </rPr>
      <t>w</t>
    </r>
    <r>
      <rPr>
        <sz val="14"/>
        <rFont val="Cordia New"/>
        <family val="2"/>
      </rPr>
      <t xml:space="preserve"> d</t>
    </r>
    <r>
      <rPr>
        <vertAlign val="subscript"/>
        <sz val="14"/>
        <rFont val="Cordia New"/>
        <family val="2"/>
      </rPr>
      <t>p</t>
    </r>
  </si>
  <si>
    <r>
      <t>V</t>
    </r>
    <r>
      <rPr>
        <vertAlign val="subscript"/>
        <sz val="14"/>
        <rFont val="Cordia New"/>
        <family val="2"/>
      </rPr>
      <t>c max</t>
    </r>
  </si>
  <si>
    <r>
      <t>1.33 sqrt(f'</t>
    </r>
    <r>
      <rPr>
        <vertAlign val="subscript"/>
        <sz val="14"/>
        <rFont val="Cordia New"/>
        <family val="2"/>
      </rPr>
      <t>c</t>
    </r>
    <r>
      <rPr>
        <sz val="14"/>
        <rFont val="Cordia New"/>
        <family val="2"/>
      </rPr>
      <t>) b</t>
    </r>
    <r>
      <rPr>
        <vertAlign val="subscript"/>
        <sz val="14"/>
        <rFont val="Cordia New"/>
        <family val="2"/>
      </rPr>
      <t>w</t>
    </r>
    <r>
      <rPr>
        <sz val="14"/>
        <rFont val="Cordia New"/>
        <family val="2"/>
      </rPr>
      <t xml:space="preserve"> d</t>
    </r>
    <r>
      <rPr>
        <vertAlign val="subscript"/>
        <sz val="14"/>
        <rFont val="Cordia New"/>
        <family val="2"/>
      </rPr>
      <t>p</t>
    </r>
  </si>
  <si>
    <r>
      <t>V</t>
    </r>
    <r>
      <rPr>
        <b/>
        <vertAlign val="subscript"/>
        <sz val="14"/>
        <rFont val="Cordia New"/>
        <family val="2"/>
      </rPr>
      <t>c</t>
    </r>
  </si>
  <si>
    <r>
      <t>0.85V</t>
    </r>
    <r>
      <rPr>
        <vertAlign val="subscript"/>
        <sz val="14"/>
        <rFont val="Cordia New"/>
        <family val="2"/>
      </rPr>
      <t>c</t>
    </r>
  </si>
  <si>
    <r>
      <t>Try for V</t>
    </r>
    <r>
      <rPr>
        <vertAlign val="subscript"/>
        <sz val="14"/>
        <color indexed="9"/>
        <rFont val="Cordia New"/>
        <family val="2"/>
      </rPr>
      <t>s</t>
    </r>
  </si>
  <si>
    <r>
      <t>A</t>
    </r>
    <r>
      <rPr>
        <vertAlign val="subscript"/>
        <sz val="14"/>
        <rFont val="Cordia New"/>
        <family val="2"/>
      </rPr>
      <t>v</t>
    </r>
    <r>
      <rPr>
        <sz val="14"/>
        <rFont val="Cordia New"/>
        <family val="2"/>
      </rPr>
      <t xml:space="preserve"> f</t>
    </r>
    <r>
      <rPr>
        <vertAlign val="subscript"/>
        <sz val="14"/>
        <rFont val="Cordia New"/>
        <family val="2"/>
      </rPr>
      <t>y</t>
    </r>
    <r>
      <rPr>
        <sz val="14"/>
        <rFont val="Cordia New"/>
        <family val="2"/>
      </rPr>
      <t xml:space="preserve"> d</t>
    </r>
    <r>
      <rPr>
        <vertAlign val="subscript"/>
        <sz val="14"/>
        <rFont val="Cordia New"/>
        <family val="2"/>
      </rPr>
      <t>p</t>
    </r>
    <r>
      <rPr>
        <sz val="14"/>
        <rFont val="Cordia New"/>
        <family val="2"/>
      </rPr>
      <t xml:space="preserve"> / (V</t>
    </r>
    <r>
      <rPr>
        <vertAlign val="subscript"/>
        <sz val="14"/>
        <rFont val="Cordia New"/>
        <family val="2"/>
      </rPr>
      <t>u</t>
    </r>
    <r>
      <rPr>
        <sz val="14"/>
        <rFont val="Cordia New"/>
        <family val="2"/>
      </rPr>
      <t xml:space="preserve"> / 0.85 - V</t>
    </r>
    <r>
      <rPr>
        <vertAlign val="subscript"/>
        <sz val="14"/>
        <rFont val="Cordia New"/>
        <family val="2"/>
      </rPr>
      <t>c</t>
    </r>
    <r>
      <rPr>
        <sz val="14"/>
        <rFont val="Cordia New"/>
        <family val="2"/>
      </rPr>
      <t>)</t>
    </r>
  </si>
  <si>
    <r>
      <t xml:space="preserve">    ; (V</t>
    </r>
    <r>
      <rPr>
        <vertAlign val="subscript"/>
        <sz val="14"/>
        <rFont val="Cordia New"/>
        <family val="2"/>
      </rPr>
      <t>u</t>
    </r>
    <r>
      <rPr>
        <sz val="14"/>
        <rFont val="Cordia New"/>
        <family val="2"/>
      </rPr>
      <t xml:space="preserve"> / 0.85 - V</t>
    </r>
    <r>
      <rPr>
        <vertAlign val="subscript"/>
        <sz val="14"/>
        <rFont val="Cordia New"/>
        <family val="2"/>
      </rPr>
      <t>c</t>
    </r>
    <r>
      <rPr>
        <sz val="14"/>
        <rFont val="Cordia New"/>
        <family val="2"/>
      </rPr>
      <t>) less than '0'   =</t>
    </r>
  </si>
  <si>
    <r>
      <t>2) If f</t>
    </r>
    <r>
      <rPr>
        <vertAlign val="subscript"/>
        <sz val="14"/>
        <rFont val="Cordia New"/>
        <family val="2"/>
      </rPr>
      <t>pe</t>
    </r>
    <r>
      <rPr>
        <sz val="14"/>
        <rFont val="Cordia New"/>
        <family val="2"/>
      </rPr>
      <t>&gt;=0.40f</t>
    </r>
    <r>
      <rPr>
        <vertAlign val="subscript"/>
        <sz val="14"/>
        <rFont val="Cordia New"/>
        <family val="2"/>
      </rPr>
      <t>pu</t>
    </r>
    <r>
      <rPr>
        <sz val="14"/>
        <rFont val="Cordia New"/>
        <family val="2"/>
      </rPr>
      <t xml:space="preserve">  ; s    =</t>
    </r>
  </si>
  <si>
    <r>
      <t>80A</t>
    </r>
    <r>
      <rPr>
        <vertAlign val="subscript"/>
        <sz val="14"/>
        <rFont val="Cordia New"/>
        <family val="2"/>
      </rPr>
      <t>v</t>
    </r>
    <r>
      <rPr>
        <sz val="14"/>
        <rFont val="Cordia New"/>
        <family val="2"/>
      </rPr>
      <t xml:space="preserve"> f</t>
    </r>
    <r>
      <rPr>
        <vertAlign val="subscript"/>
        <sz val="14"/>
        <rFont val="Cordia New"/>
        <family val="2"/>
      </rPr>
      <t>y</t>
    </r>
    <r>
      <rPr>
        <sz val="14"/>
        <rFont val="Cordia New"/>
        <family val="2"/>
      </rPr>
      <t xml:space="preserve"> d</t>
    </r>
    <r>
      <rPr>
        <vertAlign val="subscript"/>
        <sz val="14"/>
        <rFont val="Cordia New"/>
        <family val="2"/>
      </rPr>
      <t>p</t>
    </r>
    <r>
      <rPr>
        <sz val="14"/>
        <rFont val="Cordia New"/>
        <family val="2"/>
      </rPr>
      <t xml:space="preserve"> / (A</t>
    </r>
    <r>
      <rPr>
        <vertAlign val="subscript"/>
        <sz val="14"/>
        <rFont val="Cordia New"/>
        <family val="2"/>
      </rPr>
      <t>ps</t>
    </r>
    <r>
      <rPr>
        <sz val="14"/>
        <rFont val="Cordia New"/>
        <family val="2"/>
      </rPr>
      <t xml:space="preserve"> f</t>
    </r>
    <r>
      <rPr>
        <vertAlign val="subscript"/>
        <sz val="14"/>
        <rFont val="Cordia New"/>
        <family val="2"/>
      </rPr>
      <t>pu</t>
    </r>
    <r>
      <rPr>
        <sz val="14"/>
        <rFont val="Cordia New"/>
        <family val="2"/>
      </rPr>
      <t>sqrt(d</t>
    </r>
    <r>
      <rPr>
        <vertAlign val="subscript"/>
        <sz val="14"/>
        <rFont val="Cordia New"/>
        <family val="2"/>
      </rPr>
      <t>p</t>
    </r>
    <r>
      <rPr>
        <sz val="14"/>
        <rFont val="Cordia New"/>
        <family val="2"/>
      </rPr>
      <t xml:space="preserve"> /  b</t>
    </r>
    <r>
      <rPr>
        <vertAlign val="subscript"/>
        <sz val="14"/>
        <rFont val="Cordia New"/>
        <family val="2"/>
      </rPr>
      <t>w</t>
    </r>
    <r>
      <rPr>
        <sz val="14"/>
        <rFont val="Cordia New"/>
        <family val="2"/>
      </rPr>
      <t>)</t>
    </r>
  </si>
  <si>
    <r>
      <t>3) If f</t>
    </r>
    <r>
      <rPr>
        <vertAlign val="subscript"/>
        <sz val="14"/>
        <rFont val="Cordia New"/>
        <family val="2"/>
      </rPr>
      <t>pe</t>
    </r>
    <r>
      <rPr>
        <sz val="14"/>
        <rFont val="Cordia New"/>
        <family val="2"/>
      </rPr>
      <t>&gt;=0.40f</t>
    </r>
    <r>
      <rPr>
        <vertAlign val="subscript"/>
        <sz val="14"/>
        <rFont val="Cordia New"/>
        <family val="2"/>
      </rPr>
      <t>pu</t>
    </r>
    <r>
      <rPr>
        <sz val="14"/>
        <rFont val="Cordia New"/>
        <family val="2"/>
      </rPr>
      <t xml:space="preserve">  ; s    =</t>
    </r>
  </si>
  <si>
    <r>
      <t>A</t>
    </r>
    <r>
      <rPr>
        <vertAlign val="subscript"/>
        <sz val="14"/>
        <rFont val="Cordia New"/>
        <family val="2"/>
      </rPr>
      <t>v</t>
    </r>
    <r>
      <rPr>
        <sz val="14"/>
        <rFont val="Cordia New"/>
        <family val="2"/>
      </rPr>
      <t xml:space="preserve"> f</t>
    </r>
    <r>
      <rPr>
        <vertAlign val="subscript"/>
        <sz val="14"/>
        <rFont val="Cordia New"/>
        <family val="2"/>
      </rPr>
      <t>y</t>
    </r>
    <r>
      <rPr>
        <sz val="14"/>
        <rFont val="Cordia New"/>
        <family val="2"/>
      </rPr>
      <t xml:space="preserve"> / (3.52b</t>
    </r>
    <r>
      <rPr>
        <vertAlign val="subscript"/>
        <sz val="14"/>
        <rFont val="Cordia New"/>
        <family val="2"/>
      </rPr>
      <t>w</t>
    </r>
    <r>
      <rPr>
        <sz val="14"/>
        <rFont val="Cordia New"/>
        <family val="2"/>
      </rPr>
      <t>)</t>
    </r>
  </si>
  <si>
    <r>
      <t>kg  &lt;  1.06 sqrt(f'</t>
    </r>
    <r>
      <rPr>
        <vertAlign val="subscript"/>
        <sz val="14"/>
        <rFont val="Cordia New"/>
        <family val="2"/>
      </rPr>
      <t>c</t>
    </r>
    <r>
      <rPr>
        <sz val="14"/>
        <rFont val="Cordia New"/>
        <family val="2"/>
      </rPr>
      <t>) b</t>
    </r>
    <r>
      <rPr>
        <vertAlign val="subscript"/>
        <sz val="14"/>
        <rFont val="Cordia New"/>
        <family val="2"/>
      </rPr>
      <t>w</t>
    </r>
    <r>
      <rPr>
        <sz val="14"/>
        <rFont val="Cordia New"/>
        <family val="2"/>
      </rPr>
      <t xml:space="preserve"> d</t>
    </r>
    <r>
      <rPr>
        <vertAlign val="subscript"/>
        <sz val="14"/>
        <rFont val="Cordia New"/>
        <family val="2"/>
      </rPr>
      <t xml:space="preserve">p  </t>
    </r>
    <r>
      <rPr>
        <sz val="14"/>
        <rFont val="Cordia New"/>
        <family val="2"/>
      </rPr>
      <t xml:space="preserve">       =</t>
    </r>
  </si>
  <si>
    <r>
      <t xml:space="preserve">      &lt;  2.12 sqrt(f'</t>
    </r>
    <r>
      <rPr>
        <vertAlign val="subscript"/>
        <sz val="14"/>
        <rFont val="Cordia New"/>
        <family val="2"/>
      </rPr>
      <t>c</t>
    </r>
    <r>
      <rPr>
        <sz val="14"/>
        <rFont val="Cordia New"/>
        <family val="2"/>
      </rPr>
      <t>) b</t>
    </r>
    <r>
      <rPr>
        <vertAlign val="subscript"/>
        <sz val="14"/>
        <rFont val="Cordia New"/>
        <family val="2"/>
      </rPr>
      <t>w</t>
    </r>
    <r>
      <rPr>
        <sz val="14"/>
        <rFont val="Cordia New"/>
        <family val="2"/>
      </rPr>
      <t xml:space="preserve"> d</t>
    </r>
    <r>
      <rPr>
        <vertAlign val="subscript"/>
        <sz val="14"/>
        <rFont val="Cordia New"/>
        <family val="2"/>
      </rPr>
      <t xml:space="preserve">p  </t>
    </r>
    <r>
      <rPr>
        <sz val="14"/>
        <rFont val="Cordia New"/>
        <family val="2"/>
      </rPr>
      <t xml:space="preserve">       =</t>
    </r>
  </si>
  <si>
    <r>
      <t>V</t>
    </r>
    <r>
      <rPr>
        <vertAlign val="subscript"/>
        <sz val="14"/>
        <rFont val="Cordia New"/>
        <family val="2"/>
      </rPr>
      <t>c</t>
    </r>
    <r>
      <rPr>
        <sz val="14"/>
        <rFont val="Cordia New"/>
        <family val="2"/>
      </rPr>
      <t xml:space="preserve"> + V</t>
    </r>
    <r>
      <rPr>
        <vertAlign val="subscript"/>
        <sz val="14"/>
        <rFont val="Cordia New"/>
        <family val="2"/>
      </rPr>
      <t>s</t>
    </r>
  </si>
  <si>
    <r>
      <t>0.85V</t>
    </r>
    <r>
      <rPr>
        <vertAlign val="subscript"/>
        <sz val="14"/>
        <rFont val="Cordia New"/>
        <family val="2"/>
      </rPr>
      <t>n</t>
    </r>
  </si>
  <si>
    <r>
      <t>A</t>
    </r>
    <r>
      <rPr>
        <vertAlign val="subscript"/>
        <sz val="14"/>
        <rFont val="Cordia New"/>
        <family val="2"/>
      </rPr>
      <t>s</t>
    </r>
  </si>
  <si>
    <r>
      <t>f</t>
    </r>
    <r>
      <rPr>
        <vertAlign val="subscript"/>
        <sz val="14"/>
        <rFont val="Cordia New"/>
        <family val="2"/>
      </rPr>
      <t>py</t>
    </r>
  </si>
  <si>
    <r>
      <t>b</t>
    </r>
    <r>
      <rPr>
        <vertAlign val="subscript"/>
        <sz val="10"/>
        <rFont val="Symbol"/>
        <family val="1"/>
      </rPr>
      <t>1</t>
    </r>
  </si>
  <si>
    <r>
      <t>0.85 - 0.0008 (f'</t>
    </r>
    <r>
      <rPr>
        <vertAlign val="subscript"/>
        <sz val="14"/>
        <rFont val="Cordia New"/>
        <family val="2"/>
      </rPr>
      <t>c</t>
    </r>
    <r>
      <rPr>
        <sz val="14"/>
        <rFont val="Cordia New"/>
        <family val="2"/>
      </rPr>
      <t xml:space="preserve"> - 300)</t>
    </r>
  </si>
  <si>
    <r>
      <t>c.</t>
    </r>
    <r>
      <rPr>
        <sz val="10"/>
        <rFont val="Symbol"/>
        <family val="1"/>
      </rPr>
      <t>b</t>
    </r>
    <r>
      <rPr>
        <vertAlign val="subscript"/>
        <sz val="10"/>
        <rFont val="Symbol"/>
        <family val="1"/>
      </rPr>
      <t>1</t>
    </r>
  </si>
  <si>
    <r>
      <t>0.90M</t>
    </r>
    <r>
      <rPr>
        <vertAlign val="subscript"/>
        <sz val="14"/>
        <rFont val="Cordia New"/>
        <family val="2"/>
      </rPr>
      <t>n</t>
    </r>
  </si>
  <si>
    <r>
      <t>C</t>
    </r>
    <r>
      <rPr>
        <vertAlign val="subscript"/>
        <sz val="14"/>
        <rFont val="Cordia New"/>
        <family val="2"/>
      </rPr>
      <t>b</t>
    </r>
  </si>
  <si>
    <r>
      <t>= B</t>
    </r>
    <r>
      <rPr>
        <vertAlign val="subscript"/>
        <sz val="14"/>
        <rFont val="Cordia New"/>
        <family val="2"/>
      </rPr>
      <t>1</t>
    </r>
    <r>
      <rPr>
        <sz val="14"/>
        <rFont val="Cordia New"/>
        <family val="2"/>
      </rPr>
      <t>/2 - e</t>
    </r>
  </si>
  <si>
    <r>
      <t>f</t>
    </r>
    <r>
      <rPr>
        <vertAlign val="subscript"/>
        <sz val="14"/>
        <rFont val="Cordia New"/>
        <family val="2"/>
      </rPr>
      <t>r</t>
    </r>
  </si>
  <si>
    <r>
      <t>2 sqrt(f'</t>
    </r>
    <r>
      <rPr>
        <vertAlign val="subscript"/>
        <sz val="14"/>
        <rFont val="Cordia New"/>
        <family val="2"/>
      </rPr>
      <t>c</t>
    </r>
    <r>
      <rPr>
        <sz val="14"/>
        <rFont val="Cordia New"/>
        <family val="2"/>
      </rPr>
      <t>)</t>
    </r>
  </si>
  <si>
    <r>
      <t>M</t>
    </r>
    <r>
      <rPr>
        <vertAlign val="subscript"/>
        <sz val="14"/>
        <rFont val="Cordia New"/>
        <family val="2"/>
      </rPr>
      <t>cr</t>
    </r>
  </si>
  <si>
    <r>
      <t>P</t>
    </r>
    <r>
      <rPr>
        <vertAlign val="subscript"/>
        <sz val="14"/>
        <rFont val="Cordia New"/>
        <family val="2"/>
      </rPr>
      <t>e</t>
    </r>
    <r>
      <rPr>
        <sz val="14"/>
        <rFont val="Cordia New"/>
        <family val="2"/>
      </rPr>
      <t xml:space="preserve"> (e + r</t>
    </r>
    <r>
      <rPr>
        <vertAlign val="superscript"/>
        <sz val="14"/>
        <rFont val="Cordia New"/>
        <family val="2"/>
      </rPr>
      <t>2</t>
    </r>
    <r>
      <rPr>
        <sz val="14"/>
        <rFont val="Cordia New"/>
        <family val="2"/>
      </rPr>
      <t xml:space="preserve"> / C</t>
    </r>
    <r>
      <rPr>
        <vertAlign val="subscript"/>
        <sz val="14"/>
        <rFont val="Cordia New"/>
        <family val="2"/>
      </rPr>
      <t>b</t>
    </r>
    <r>
      <rPr>
        <sz val="14"/>
        <rFont val="Cordia New"/>
        <family val="2"/>
      </rPr>
      <t>) + f</t>
    </r>
    <r>
      <rPr>
        <vertAlign val="subscript"/>
        <sz val="14"/>
        <rFont val="Cordia New"/>
        <family val="2"/>
      </rPr>
      <t>r</t>
    </r>
    <r>
      <rPr>
        <sz val="14"/>
        <rFont val="Cordia New"/>
        <family val="2"/>
      </rPr>
      <t xml:space="preserve"> l / C</t>
    </r>
    <r>
      <rPr>
        <vertAlign val="subscript"/>
        <sz val="14"/>
        <rFont val="Cordia New"/>
        <family val="2"/>
      </rPr>
      <t>b</t>
    </r>
  </si>
  <si>
    <r>
      <t>1.2M</t>
    </r>
    <r>
      <rPr>
        <vertAlign val="subscript"/>
        <sz val="14"/>
        <rFont val="Cordia New"/>
        <family val="2"/>
      </rPr>
      <t>cr</t>
    </r>
  </si>
  <si>
    <r>
      <t>= (P</t>
    </r>
    <r>
      <rPr>
        <vertAlign val="subscript"/>
        <sz val="14"/>
        <rFont val="Cordia New"/>
        <family val="2"/>
      </rPr>
      <t>i</t>
    </r>
    <r>
      <rPr>
        <sz val="14"/>
        <rFont val="Cordia New"/>
        <family val="2"/>
      </rPr>
      <t xml:space="preserve"> e L</t>
    </r>
    <r>
      <rPr>
        <vertAlign val="superscript"/>
        <sz val="14"/>
        <rFont val="Cordia New"/>
        <family val="2"/>
      </rPr>
      <t>2</t>
    </r>
    <r>
      <rPr>
        <sz val="14"/>
        <rFont val="Cordia New"/>
        <family val="2"/>
      </rPr>
      <t>) / (8E</t>
    </r>
    <r>
      <rPr>
        <vertAlign val="subscript"/>
        <sz val="14"/>
        <rFont val="Cordia New"/>
        <family val="2"/>
      </rPr>
      <t>ci</t>
    </r>
    <r>
      <rPr>
        <sz val="14"/>
        <rFont val="Cordia New"/>
        <family val="2"/>
      </rPr>
      <t xml:space="preserve"> l)</t>
    </r>
  </si>
  <si>
    <r>
      <t>5% of ( 5 w</t>
    </r>
    <r>
      <rPr>
        <vertAlign val="subscript"/>
        <sz val="14"/>
        <rFont val="Cordia New"/>
        <family val="2"/>
      </rPr>
      <t>t</t>
    </r>
    <r>
      <rPr>
        <sz val="14"/>
        <rFont val="Cordia New"/>
        <family val="2"/>
      </rPr>
      <t xml:space="preserve"> L</t>
    </r>
    <r>
      <rPr>
        <vertAlign val="superscript"/>
        <sz val="14"/>
        <rFont val="Cordia New"/>
        <family val="2"/>
      </rPr>
      <t>4</t>
    </r>
    <r>
      <rPr>
        <sz val="14"/>
        <rFont val="Cordia New"/>
        <family val="2"/>
      </rPr>
      <t xml:space="preserve"> / (384 E</t>
    </r>
    <r>
      <rPr>
        <vertAlign val="subscript"/>
        <sz val="14"/>
        <rFont val="Cordia New"/>
        <family val="2"/>
      </rPr>
      <t>ci</t>
    </r>
    <r>
      <rPr>
        <sz val="14"/>
        <rFont val="Cordia New"/>
        <family val="2"/>
      </rPr>
      <t xml:space="preserve"> l ))</t>
    </r>
  </si>
  <si>
    <t>ksc.</t>
  </si>
  <si>
    <t>M</t>
  </si>
  <si>
    <t>PC.</t>
  </si>
  <si>
    <t>4 mm.</t>
  </si>
  <si>
    <t>5 mm.</t>
  </si>
  <si>
    <t>7 mm.</t>
  </si>
  <si>
    <t xml:space="preserve"> DES.</t>
  </si>
  <si>
    <t xml:space="preserve"> APP.</t>
  </si>
  <si>
    <t xml:space="preserve"> CHK.</t>
  </si>
  <si>
    <t xml:space="preserve"> DATE.</t>
  </si>
  <si>
    <t xml:space="preserve"> DWN.</t>
  </si>
  <si>
    <t>AREA</t>
  </si>
  <si>
    <t>DES.</t>
  </si>
  <si>
    <t>APP.</t>
  </si>
  <si>
    <t>DWN.</t>
  </si>
  <si>
    <t>=</t>
  </si>
  <si>
    <t>OK</t>
  </si>
  <si>
    <t>e</t>
  </si>
  <si>
    <t>DWG.NO.</t>
  </si>
  <si>
    <t>ALLOWABLE STRESSES IN CONCRETE</t>
  </si>
  <si>
    <t>fc'    =</t>
  </si>
  <si>
    <t>cylindrical concrete strength at working</t>
  </si>
  <si>
    <t xml:space="preserve">fci'   =   </t>
  </si>
  <si>
    <t>cylindrical concrete strength at release</t>
  </si>
  <si>
    <t>TEMPORARY CONDITIONS</t>
  </si>
  <si>
    <t>concrete compression</t>
  </si>
  <si>
    <t xml:space="preserve"> =</t>
  </si>
  <si>
    <t>0.60 fci'</t>
  </si>
  <si>
    <t>concrete tension</t>
  </si>
  <si>
    <t xml:space="preserve"> = 0.795 xSQRT(fci')</t>
  </si>
  <si>
    <t>PERMANENT CONDITIONS</t>
  </si>
  <si>
    <t>concrete compression  0.45 fc'</t>
  </si>
  <si>
    <t>concrete tension          1.59 x SQRT(fc')</t>
  </si>
  <si>
    <t>fpu</t>
  </si>
  <si>
    <t xml:space="preserve">     diameter of steel</t>
  </si>
  <si>
    <t>pu</t>
  </si>
  <si>
    <t>prestressing force applied</t>
  </si>
  <si>
    <t>effective prestressing after lossess</t>
  </si>
  <si>
    <t>p</t>
  </si>
  <si>
    <t>TYPE OF STEEL</t>
  </si>
  <si>
    <t>Area</t>
  </si>
  <si>
    <t>unit wt.</t>
  </si>
  <si>
    <r>
      <t>Cm</t>
    </r>
    <r>
      <rPr>
        <vertAlign val="superscript"/>
        <sz val="14"/>
        <rFont val="AngsanaUPC"/>
        <family val="1"/>
      </rPr>
      <t>2</t>
    </r>
  </si>
  <si>
    <t>kg.</t>
  </si>
  <si>
    <t>kg./ m.</t>
  </si>
  <si>
    <t xml:space="preserve"> PC wire</t>
  </si>
  <si>
    <t>L        =</t>
  </si>
  <si>
    <t>A        =</t>
  </si>
  <si>
    <t>I         =</t>
  </si>
  <si>
    <t>S        =</t>
  </si>
  <si>
    <t>Working moment (Prestressed)</t>
  </si>
  <si>
    <t>Working moment (Nonprestressed)</t>
  </si>
  <si>
    <t>Eccentric of strand or wire</t>
  </si>
  <si>
    <t>; Effective Prestress Force in Prestressed Rienforcement (After Allowance for All Prestress Losses)</t>
  </si>
  <si>
    <t>: Modulus of Elasticity of Nonrestressing Steel</t>
  </si>
  <si>
    <t>: Specific Yeild Strength of Nonprestressing Steel</t>
  </si>
  <si>
    <r>
      <t>W</t>
    </r>
    <r>
      <rPr>
        <vertAlign val="subscript"/>
        <sz val="14"/>
        <rFont val="Cordia New"/>
        <family val="2"/>
      </rPr>
      <t>t</t>
    </r>
    <r>
      <rPr>
        <sz val="14"/>
        <rFont val="Cordia New"/>
        <family val="2"/>
      </rPr>
      <t xml:space="preserve">      =</t>
    </r>
  </si>
  <si>
    <r>
      <t>M</t>
    </r>
    <r>
      <rPr>
        <vertAlign val="subscript"/>
        <sz val="14"/>
        <rFont val="Cordia New"/>
        <family val="2"/>
      </rPr>
      <t>w</t>
    </r>
    <r>
      <rPr>
        <sz val="14"/>
        <rFont val="Cordia New"/>
        <family val="2"/>
      </rPr>
      <t>1   =</t>
    </r>
  </si>
  <si>
    <t>2 DB.12 mm.x 18.00 m.</t>
  </si>
  <si>
    <t>4 DB.25mm.x 5.00 m.+2 DB.12 mm.x 18.00 m.</t>
  </si>
  <si>
    <r>
      <t>M</t>
    </r>
    <r>
      <rPr>
        <vertAlign val="subscript"/>
        <sz val="14"/>
        <rFont val="Cordia New"/>
        <family val="2"/>
      </rPr>
      <t>w</t>
    </r>
    <r>
      <rPr>
        <sz val="14"/>
        <rFont val="Cordia New"/>
        <family val="2"/>
      </rPr>
      <t>2   =</t>
    </r>
  </si>
  <si>
    <r>
      <t>M</t>
    </r>
    <r>
      <rPr>
        <vertAlign val="subscript"/>
        <sz val="14"/>
        <rFont val="Cordia New"/>
        <family val="2"/>
      </rPr>
      <t>wT</t>
    </r>
    <r>
      <rPr>
        <sz val="14"/>
        <rFont val="Cordia New"/>
        <family val="2"/>
      </rPr>
      <t xml:space="preserve">   =</t>
    </r>
  </si>
  <si>
    <r>
      <t>V</t>
    </r>
    <r>
      <rPr>
        <vertAlign val="subscript"/>
        <sz val="14"/>
        <rFont val="Cordia New"/>
        <family val="2"/>
      </rPr>
      <t>w         =</t>
    </r>
  </si>
  <si>
    <r>
      <t>=   0.795sqrt f'</t>
    </r>
    <r>
      <rPr>
        <vertAlign val="subscript"/>
        <sz val="14"/>
        <rFont val="Cordia New"/>
        <family val="2"/>
      </rPr>
      <t>ci</t>
    </r>
    <r>
      <rPr>
        <sz val="14"/>
        <rFont val="Cordia New"/>
        <family val="2"/>
      </rPr>
      <t xml:space="preserve">      =</t>
    </r>
  </si>
  <si>
    <r>
      <t>=   1.59sqrt f'</t>
    </r>
    <r>
      <rPr>
        <vertAlign val="subscript"/>
        <sz val="14"/>
        <rFont val="Cordia New"/>
        <family val="2"/>
      </rPr>
      <t>c</t>
    </r>
    <r>
      <rPr>
        <sz val="14"/>
        <rFont val="Cordia New"/>
        <family val="2"/>
      </rPr>
      <t xml:space="preserve">        =</t>
    </r>
  </si>
  <si>
    <r>
      <t>f</t>
    </r>
    <r>
      <rPr>
        <vertAlign val="subscript"/>
        <sz val="14"/>
        <rFont val="Cordia New"/>
        <family val="2"/>
      </rPr>
      <t>PC</t>
    </r>
  </si>
  <si>
    <r>
      <t xml:space="preserve">   A</t>
    </r>
    <r>
      <rPr>
        <vertAlign val="subscript"/>
        <sz val="14"/>
        <rFont val="Cordia New"/>
        <family val="2"/>
      </rPr>
      <t>v     =</t>
    </r>
  </si>
  <si>
    <r>
      <t>A</t>
    </r>
    <r>
      <rPr>
        <vertAlign val="subscript"/>
        <sz val="14"/>
        <rFont val="Cordia New"/>
        <family val="2"/>
      </rPr>
      <t>s'</t>
    </r>
  </si>
  <si>
    <r>
      <t>E</t>
    </r>
    <r>
      <rPr>
        <vertAlign val="subscript"/>
        <sz val="14"/>
        <rFont val="Cordia New"/>
        <family val="2"/>
      </rPr>
      <t>s</t>
    </r>
  </si>
  <si>
    <r>
      <t>1.7M</t>
    </r>
    <r>
      <rPr>
        <vertAlign val="subscript"/>
        <sz val="14"/>
        <rFont val="Cordia New"/>
        <family val="2"/>
      </rPr>
      <t>wT</t>
    </r>
  </si>
  <si>
    <t>PC.WIRE  4 mm.</t>
  </si>
  <si>
    <t>PC.WIRE  5 mm.</t>
  </si>
  <si>
    <t>PC.WIRE  7 mm.</t>
  </si>
  <si>
    <t>PC.S 3/8"  250K</t>
  </si>
  <si>
    <t>PC.S 3/8"  270K</t>
  </si>
  <si>
    <t xml:space="preserve">PC.S 1/2"  250K </t>
  </si>
  <si>
    <t>PC.S 1/2"  270K</t>
  </si>
  <si>
    <t>&lt;</t>
  </si>
  <si>
    <t>SECTION</t>
  </si>
  <si>
    <t>OK.</t>
  </si>
  <si>
    <r>
      <t xml:space="preserve">PC.STRAND   14 </t>
    </r>
    <r>
      <rPr>
        <b/>
        <sz val="10"/>
        <rFont val="Symbol"/>
        <family val="1"/>
      </rPr>
      <t>Æ</t>
    </r>
    <r>
      <rPr>
        <b/>
        <sz val="16"/>
        <rFont val="AngsanaUPC"/>
        <family val="1"/>
      </rPr>
      <t xml:space="preserve"> 3/8" (270K) </t>
    </r>
  </si>
  <si>
    <t xml:space="preserve"> 24/01/49</t>
  </si>
  <si>
    <t xml:space="preserve">          BACK DAM</t>
  </si>
  <si>
    <t>CALCULATION SHEET</t>
  </si>
  <si>
    <t xml:space="preserve">PROJECT: ตัวอย่างอบรมเสาเข็มสำหรับเขื่อนกันดิน </t>
  </si>
  <si>
    <t>PRESTRESS LOSS</t>
  </si>
  <si>
    <t>NOT OK</t>
  </si>
  <si>
    <t>5. FLEXURAL  STRENGTH</t>
  </si>
  <si>
    <r>
      <t>C</t>
    </r>
    <r>
      <rPr>
        <vertAlign val="subscript"/>
        <sz val="14"/>
        <rFont val="Cordia New"/>
        <family val="2"/>
      </rPr>
      <t>c</t>
    </r>
  </si>
  <si>
    <r>
      <t>0.85f</t>
    </r>
    <r>
      <rPr>
        <vertAlign val="subscript"/>
        <sz val="14"/>
        <rFont val="CordiaUPC"/>
        <family val="2"/>
      </rPr>
      <t>c</t>
    </r>
    <r>
      <rPr>
        <sz val="14"/>
        <rFont val="CordiaUPC"/>
        <family val="2"/>
      </rPr>
      <t>'</t>
    </r>
    <r>
      <rPr>
        <sz val="10"/>
        <rFont val="Symbol"/>
        <family val="1"/>
      </rPr>
      <t>b</t>
    </r>
    <r>
      <rPr>
        <vertAlign val="subscript"/>
        <sz val="10"/>
        <rFont val="Symbol"/>
        <family val="1"/>
      </rPr>
      <t>1</t>
    </r>
    <r>
      <rPr>
        <sz val="14"/>
        <rFont val="CordiaUPC"/>
        <family val="2"/>
      </rPr>
      <t>cb</t>
    </r>
  </si>
  <si>
    <r>
      <t>T</t>
    </r>
    <r>
      <rPr>
        <vertAlign val="subscript"/>
        <sz val="14"/>
        <rFont val="Cordia New"/>
        <family val="2"/>
      </rPr>
      <t>ps1</t>
    </r>
  </si>
  <si>
    <r>
      <t>e</t>
    </r>
    <r>
      <rPr>
        <vertAlign val="subscript"/>
        <sz val="14"/>
        <rFont val="AngsanaUPC"/>
        <family val="1"/>
      </rPr>
      <t>pe</t>
    </r>
  </si>
  <si>
    <r>
      <t>e</t>
    </r>
    <r>
      <rPr>
        <vertAlign val="subscript"/>
        <sz val="14"/>
        <rFont val="AngsanaUPC"/>
        <family val="1"/>
      </rPr>
      <t>ce</t>
    </r>
  </si>
  <si>
    <r>
      <t>P</t>
    </r>
    <r>
      <rPr>
        <vertAlign val="subscript"/>
        <sz val="14"/>
        <rFont val="Cordia New"/>
        <family val="2"/>
      </rPr>
      <t>e</t>
    </r>
    <r>
      <rPr>
        <sz val="14"/>
        <rFont val="Cordia New"/>
        <family val="2"/>
      </rPr>
      <t>/(A</t>
    </r>
    <r>
      <rPr>
        <vertAlign val="subscript"/>
        <sz val="14"/>
        <rFont val="Cordia New"/>
        <family val="2"/>
      </rPr>
      <t>ps</t>
    </r>
    <r>
      <rPr>
        <sz val="14"/>
        <rFont val="Cordia New"/>
        <family val="2"/>
      </rPr>
      <t>E</t>
    </r>
    <r>
      <rPr>
        <vertAlign val="subscript"/>
        <sz val="14"/>
        <rFont val="Cordia New"/>
        <family val="2"/>
      </rPr>
      <t>ps</t>
    </r>
    <r>
      <rPr>
        <sz val="14"/>
        <rFont val="Cordia New"/>
        <family val="2"/>
      </rPr>
      <t>)</t>
    </r>
  </si>
  <si>
    <r>
      <t>P</t>
    </r>
    <r>
      <rPr>
        <vertAlign val="subscript"/>
        <sz val="14"/>
        <rFont val="Cordia New"/>
        <family val="2"/>
      </rPr>
      <t>e</t>
    </r>
    <r>
      <rPr>
        <sz val="14"/>
        <rFont val="Cordia New"/>
        <family val="2"/>
      </rPr>
      <t>/[(n-1)A</t>
    </r>
    <r>
      <rPr>
        <vertAlign val="subscript"/>
        <sz val="14"/>
        <rFont val="Cordia New"/>
        <family val="2"/>
      </rPr>
      <t>s+</t>
    </r>
    <r>
      <rPr>
        <sz val="14"/>
        <rFont val="Cordia New"/>
        <family val="2"/>
      </rPr>
      <t>A</t>
    </r>
    <r>
      <rPr>
        <vertAlign val="subscript"/>
        <sz val="14"/>
        <rFont val="Cordia New"/>
        <family val="2"/>
      </rPr>
      <t>g</t>
    </r>
    <r>
      <rPr>
        <sz val="14"/>
        <rFont val="Cordia New"/>
        <family val="2"/>
      </rPr>
      <t>]E</t>
    </r>
    <r>
      <rPr>
        <vertAlign val="subscript"/>
        <sz val="14"/>
        <rFont val="Cordia New"/>
        <family val="2"/>
      </rPr>
      <t>c</t>
    </r>
  </si>
  <si>
    <t>Use</t>
  </si>
  <si>
    <r>
      <t>A</t>
    </r>
    <r>
      <rPr>
        <vertAlign val="subscript"/>
        <sz val="14"/>
        <rFont val="Cordia New"/>
        <family val="2"/>
      </rPr>
      <t>ps1</t>
    </r>
    <r>
      <rPr>
        <sz val="14"/>
        <rFont val="Cordia New"/>
        <family val="2"/>
      </rPr>
      <t>E</t>
    </r>
    <r>
      <rPr>
        <vertAlign val="subscript"/>
        <sz val="14"/>
        <rFont val="Cordia New"/>
        <family val="2"/>
      </rPr>
      <t>ps</t>
    </r>
    <r>
      <rPr>
        <sz val="14"/>
        <rFont val="Cordia New"/>
        <family val="2"/>
      </rPr>
      <t>[</t>
    </r>
    <r>
      <rPr>
        <sz val="14"/>
        <rFont val="Symbol"/>
        <family val="1"/>
      </rPr>
      <t>e</t>
    </r>
    <r>
      <rPr>
        <vertAlign val="subscript"/>
        <sz val="14"/>
        <rFont val="Cordia New"/>
        <family val="2"/>
      </rPr>
      <t>pe</t>
    </r>
    <r>
      <rPr>
        <sz val="14"/>
        <rFont val="Cordia New"/>
        <family val="2"/>
      </rPr>
      <t>-0.003(c-d</t>
    </r>
    <r>
      <rPr>
        <vertAlign val="subscript"/>
        <sz val="14"/>
        <rFont val="Cordia New"/>
        <family val="2"/>
      </rPr>
      <t>p</t>
    </r>
    <r>
      <rPr>
        <sz val="14"/>
        <rFont val="Cordia New"/>
        <family val="2"/>
      </rPr>
      <t>')/c+</t>
    </r>
    <r>
      <rPr>
        <sz val="14"/>
        <rFont val="Symbol"/>
        <family val="1"/>
      </rPr>
      <t>e</t>
    </r>
    <r>
      <rPr>
        <vertAlign val="subscript"/>
        <sz val="14"/>
        <rFont val="Cordia New"/>
        <family val="2"/>
      </rPr>
      <t>ce</t>
    </r>
    <r>
      <rPr>
        <sz val="14"/>
        <rFont val="Cordia New"/>
        <family val="2"/>
      </rPr>
      <t>]</t>
    </r>
  </si>
  <si>
    <r>
      <t>C</t>
    </r>
    <r>
      <rPr>
        <vertAlign val="subscript"/>
        <sz val="14"/>
        <rFont val="Cordia New"/>
        <family val="2"/>
      </rPr>
      <t>s1</t>
    </r>
  </si>
  <si>
    <r>
      <t>A</t>
    </r>
    <r>
      <rPr>
        <vertAlign val="subscript"/>
        <sz val="14"/>
        <rFont val="Cordia New"/>
        <family val="2"/>
      </rPr>
      <t>s</t>
    </r>
    <r>
      <rPr>
        <sz val="14"/>
        <rFont val="Cordia New"/>
        <family val="2"/>
      </rPr>
      <t>'f</t>
    </r>
    <r>
      <rPr>
        <vertAlign val="subscript"/>
        <sz val="14"/>
        <rFont val="Cordia New"/>
        <family val="2"/>
      </rPr>
      <t>y</t>
    </r>
  </si>
  <si>
    <r>
      <t>T</t>
    </r>
    <r>
      <rPr>
        <vertAlign val="subscript"/>
        <sz val="14"/>
        <rFont val="Cordia New"/>
        <family val="2"/>
      </rPr>
      <t>ps2</t>
    </r>
  </si>
  <si>
    <r>
      <t>A</t>
    </r>
    <r>
      <rPr>
        <vertAlign val="subscript"/>
        <sz val="14"/>
        <rFont val="Cordia New"/>
        <family val="2"/>
      </rPr>
      <t>ps2</t>
    </r>
    <r>
      <rPr>
        <sz val="14"/>
        <rFont val="Cordia New"/>
        <family val="2"/>
      </rPr>
      <t xml:space="preserve"> f</t>
    </r>
    <r>
      <rPr>
        <vertAlign val="subscript"/>
        <sz val="14"/>
        <rFont val="Cordia New"/>
        <family val="2"/>
      </rPr>
      <t>py</t>
    </r>
  </si>
  <si>
    <r>
      <t>T</t>
    </r>
    <r>
      <rPr>
        <i/>
        <vertAlign val="subscript"/>
        <sz val="14"/>
        <rFont val="Cordia New"/>
        <family val="2"/>
      </rPr>
      <t>s2</t>
    </r>
  </si>
  <si>
    <r>
      <t>A</t>
    </r>
    <r>
      <rPr>
        <vertAlign val="subscript"/>
        <sz val="14"/>
        <rFont val="Cordia New"/>
        <family val="2"/>
      </rPr>
      <t>s</t>
    </r>
    <r>
      <rPr>
        <sz val="14"/>
        <rFont val="Cordia New"/>
        <family val="2"/>
      </rPr>
      <t>f</t>
    </r>
    <r>
      <rPr>
        <vertAlign val="subscript"/>
        <sz val="14"/>
        <rFont val="Cordia New"/>
        <family val="2"/>
      </rPr>
      <t>y</t>
    </r>
  </si>
  <si>
    <t>N</t>
  </si>
  <si>
    <r>
      <t>C</t>
    </r>
    <r>
      <rPr>
        <vertAlign val="subscript"/>
        <sz val="14"/>
        <rFont val="Cordia New"/>
        <family val="2"/>
      </rPr>
      <t>c</t>
    </r>
    <r>
      <rPr>
        <sz val="14"/>
        <rFont val="Cordia New"/>
        <family val="2"/>
      </rPr>
      <t>+C</t>
    </r>
    <r>
      <rPr>
        <vertAlign val="subscript"/>
        <sz val="14"/>
        <rFont val="Cordia New"/>
        <family val="2"/>
      </rPr>
      <t>s1</t>
    </r>
    <r>
      <rPr>
        <sz val="14"/>
        <rFont val="Cordia New"/>
        <family val="2"/>
      </rPr>
      <t>-T</t>
    </r>
    <r>
      <rPr>
        <vertAlign val="subscript"/>
        <sz val="14"/>
        <rFont val="Cordia New"/>
        <family val="2"/>
      </rPr>
      <t>ps1</t>
    </r>
    <r>
      <rPr>
        <sz val="14"/>
        <rFont val="Cordia New"/>
        <family val="2"/>
      </rPr>
      <t>-T</t>
    </r>
    <r>
      <rPr>
        <vertAlign val="subscript"/>
        <sz val="14"/>
        <rFont val="Cordia New"/>
        <family val="2"/>
      </rPr>
      <t>ps2</t>
    </r>
    <r>
      <rPr>
        <sz val="14"/>
        <rFont val="Cordia New"/>
        <family val="2"/>
      </rPr>
      <t>-T</t>
    </r>
    <r>
      <rPr>
        <vertAlign val="subscript"/>
        <sz val="14"/>
        <rFont val="Cordia New"/>
        <family val="2"/>
      </rPr>
      <t>s2</t>
    </r>
  </si>
  <si>
    <t>Mn</t>
  </si>
  <si>
    <r>
      <t>C</t>
    </r>
    <r>
      <rPr>
        <vertAlign val="subscript"/>
        <sz val="14"/>
        <rFont val="Cordia New"/>
        <family val="2"/>
      </rPr>
      <t>c</t>
    </r>
    <r>
      <rPr>
        <sz val="14"/>
        <rFont val="Cordia New"/>
        <family val="2"/>
      </rPr>
      <t>(h/2-</t>
    </r>
    <r>
      <rPr>
        <sz val="11"/>
        <rFont val="Symbol"/>
        <family val="1"/>
      </rPr>
      <t>b</t>
    </r>
    <r>
      <rPr>
        <vertAlign val="subscript"/>
        <sz val="14"/>
        <rFont val="Cordia New"/>
        <family val="2"/>
      </rPr>
      <t>1</t>
    </r>
    <r>
      <rPr>
        <sz val="14"/>
        <rFont val="Cordia New"/>
        <family val="2"/>
      </rPr>
      <t>c/2)+C</t>
    </r>
    <r>
      <rPr>
        <vertAlign val="subscript"/>
        <sz val="14"/>
        <rFont val="Cordia New"/>
        <family val="2"/>
      </rPr>
      <t>s1</t>
    </r>
    <r>
      <rPr>
        <sz val="14"/>
        <rFont val="Cordia New"/>
        <family val="2"/>
      </rPr>
      <t>(h/2-d')-T</t>
    </r>
    <r>
      <rPr>
        <vertAlign val="subscript"/>
        <sz val="14"/>
        <rFont val="Cordia New"/>
        <family val="2"/>
      </rPr>
      <t>ps1</t>
    </r>
    <r>
      <rPr>
        <sz val="14"/>
        <rFont val="Cordia New"/>
        <family val="2"/>
      </rPr>
      <t>(h/2-d</t>
    </r>
    <r>
      <rPr>
        <vertAlign val="subscript"/>
        <sz val="14"/>
        <rFont val="Cordia New"/>
        <family val="2"/>
      </rPr>
      <t>p</t>
    </r>
    <r>
      <rPr>
        <sz val="14"/>
        <rFont val="Cordia New"/>
        <family val="2"/>
      </rPr>
      <t>')+T</t>
    </r>
    <r>
      <rPr>
        <vertAlign val="subscript"/>
        <sz val="14"/>
        <rFont val="Cordia New"/>
        <family val="2"/>
      </rPr>
      <t>ps2</t>
    </r>
    <r>
      <rPr>
        <sz val="14"/>
        <rFont val="Cordia New"/>
        <family val="2"/>
      </rPr>
      <t>(d</t>
    </r>
    <r>
      <rPr>
        <vertAlign val="subscript"/>
        <sz val="14"/>
        <rFont val="Cordia New"/>
        <family val="2"/>
      </rPr>
      <t>p</t>
    </r>
    <r>
      <rPr>
        <sz val="14"/>
        <rFont val="Cordia New"/>
        <family val="2"/>
      </rPr>
      <t>-h/2)+T</t>
    </r>
    <r>
      <rPr>
        <vertAlign val="subscript"/>
        <sz val="14"/>
        <rFont val="Cordia New"/>
        <family val="2"/>
      </rPr>
      <t>s2</t>
    </r>
    <r>
      <rPr>
        <sz val="14"/>
        <rFont val="Cordia New"/>
        <family val="2"/>
      </rPr>
      <t>(d-h/2)</t>
    </r>
  </si>
  <si>
    <r>
      <t xml:space="preserve"> </t>
    </r>
    <r>
      <rPr>
        <sz val="10"/>
        <rFont val="SymbolPS"/>
        <family val="1"/>
      </rPr>
      <t xml:space="preserve">Æ </t>
    </r>
    <r>
      <rPr>
        <sz val="14"/>
        <rFont val="Cordia New"/>
        <family val="2"/>
      </rPr>
      <t>M</t>
    </r>
    <r>
      <rPr>
        <vertAlign val="subscript"/>
        <sz val="14"/>
        <rFont val="Cordia New"/>
        <family val="2"/>
      </rPr>
      <t>n</t>
    </r>
  </si>
  <si>
    <t>: Area of Total Prestressed Reinforcement</t>
  </si>
  <si>
    <r>
      <t>A</t>
    </r>
    <r>
      <rPr>
        <vertAlign val="subscript"/>
        <sz val="14"/>
        <rFont val="Cordia New"/>
        <family val="2"/>
      </rPr>
      <t>ps1</t>
    </r>
  </si>
  <si>
    <r>
      <t>A</t>
    </r>
    <r>
      <rPr>
        <vertAlign val="subscript"/>
        <sz val="14"/>
        <rFont val="Cordia New"/>
        <family val="2"/>
      </rPr>
      <t>ps2</t>
    </r>
  </si>
  <si>
    <t>: Area of Prestressed Reinforcement in Tension Zone</t>
  </si>
  <si>
    <t>: Area of Prestressed Reinforcement in Compression Zone</t>
  </si>
  <si>
    <r>
      <t>d'</t>
    </r>
    <r>
      <rPr>
        <vertAlign val="subscript"/>
        <sz val="14"/>
        <rFont val="Cordia New"/>
        <family val="2"/>
      </rPr>
      <t>p</t>
    </r>
  </si>
  <si>
    <t>: Distance from Extreme Compression Fiber to Centroid Prestressed</t>
  </si>
  <si>
    <t>: Strain in Concrete due to Prestressing Force</t>
  </si>
  <si>
    <t>: Strain in Prestressing Steel</t>
  </si>
  <si>
    <t>Short Term Camber due to Initial Prestressing Force</t>
  </si>
  <si>
    <t>Long Term Camber</t>
  </si>
  <si>
    <r>
      <t>= 1.8 x</t>
    </r>
    <r>
      <rPr>
        <sz val="12"/>
        <rFont val="Cordia New"/>
        <family val="2"/>
      </rPr>
      <t xml:space="preserve"> Short Term Camber</t>
    </r>
  </si>
  <si>
    <t>Short Term Deflection at L/2   =</t>
  </si>
  <si>
    <t>Long Term Deflection at L/2   =</t>
  </si>
  <si>
    <t>1.85 x Short Term Deflection</t>
  </si>
  <si>
    <t>Net. Deflection at L/2                 =     Long Term Deflection - Long Term Camber</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</si>
</sst>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_(&quot;฿&quot;* #,##0_);_(&quot;฿&quot;* \(#,##0\);_(&quot;฿&quot;* &quot;-&quot;_);_(@_)"/>
    <numFmt numFmtId="188" formatCode="_(* #,##0_);_(* \(#,##0\);_(* &quot;-&quot;_);_(@_)"/>
    <numFmt numFmtId="189" formatCode="_(&quot;฿&quot;* #,##0.00_);_(&quot;฿&quot;* \(#,##0.00\);_(&quot;฿&quot;* &quot;-&quot;??_);_(@_)"/>
    <numFmt numFmtId="190" formatCode="_(* #,##0.00_);_(* \(#,##0.00\);_(* &quot;-&quot;??_);_(@_)"/>
    <numFmt numFmtId="191" formatCode="0.0"/>
    <numFmt numFmtId="192" formatCode="0.0000"/>
    <numFmt numFmtId="193" formatCode="0.000"/>
    <numFmt numFmtId="194" formatCode="_(* #,##0.0_);_(* \(#,##0.0\);_(* &quot;-&quot;??_);_(@_)"/>
    <numFmt numFmtId="195" formatCode="_(* #,##0_);_(* \(#,##0\);_(* &quot;-&quot;??_);_(@_)"/>
    <numFmt numFmtId="196" formatCode="0.000_)"/>
    <numFmt numFmtId="197" formatCode="0_)"/>
    <numFmt numFmtId="198" formatCode="0.0_)"/>
    <numFmt numFmtId="199" formatCode="0.00_)"/>
    <numFmt numFmtId="200" formatCode="0.000000"/>
    <numFmt numFmtId="201" formatCode="_(* #,##0.0000_);_(* \(#,##0.0000\);_(* &quot;-&quot;??_);_(@_)"/>
    <numFmt numFmtId="202" formatCode="#,##0.0"/>
    <numFmt numFmtId="203" formatCode="_-* #,##0_-;\-* #,##0_-;_-* &quot;-&quot;??_-;_-@_-"/>
    <numFmt numFmtId="204" formatCode="0.000E+00"/>
    <numFmt numFmtId="205" formatCode="0.000000E+00"/>
    <numFmt numFmtId="206" formatCode="_(* #,##0.000_);_(* \(#,##0.000\);_(* &quot;-&quot;??_);_(@_)"/>
    <numFmt numFmtId="207" formatCode="_-* #,##0_-;\-* #,##0_-;_-* &quot;-&quot;?_-;_-@_-"/>
    <numFmt numFmtId="208" formatCode="_-* #,##0_-;\-* #,##0_-;_-* &quot;-&quot;????_-;_-@_-"/>
    <numFmt numFmtId="209" formatCode="_-* #,##0.0_-;\-* #,##0.0_-;_-* &quot;-&quot;??_-;_-@_-"/>
    <numFmt numFmtId="210" formatCode="_-* #,##0.000_-;\-* #,##0.000_-;_-* &quot;-&quot;??_-;_-@_-"/>
    <numFmt numFmtId="211" formatCode="_-* #,##0.0000_-;\-* #,##0.0000_-;_-* &quot;-&quot;??_-;_-@_-"/>
    <numFmt numFmtId="212" formatCode="_(* #,##0.00000_);_(* \(#,##0.00000\);_(* &quot;-&quot;??_);_(@_)"/>
    <numFmt numFmtId="213" formatCode="#,##0.00_ ;\-#,##0.00\ "/>
    <numFmt numFmtId="214" formatCode="_(* #,##0.0000000_);_(* \(#,##0.0000000\);_(* &quot;-&quot;??_);_(@_)"/>
    <numFmt numFmtId="215" formatCode="#,##0_ ;\-#,##0\ "/>
    <numFmt numFmtId="216" formatCode="_-* #,##0.000_-;\-* #,##0.000_-;_-* &quot;-&quot;???_-;_-@_-"/>
    <numFmt numFmtId="217" formatCode="#,##0.000_ ;\-#,##0.000\ "/>
    <numFmt numFmtId="218" formatCode="#,##0.0000_ ;\-#,##0.0000\ "/>
    <numFmt numFmtId="219" formatCode="#,##0.00000_ ;\-#,##0.00000\ "/>
    <numFmt numFmtId="220" formatCode="#,##0.000000_ ;\-#,##0.000000\ "/>
    <numFmt numFmtId="221" formatCode="#,##0.0000000_ ;\-#,##0.0000000\ "/>
    <numFmt numFmtId="222" formatCode="#,##0.00000000_ ;\-#,##0.00000000\ "/>
    <numFmt numFmtId="223" formatCode="_-* #,##0.0000_-;\-* #,##0.0000_-;_-* &quot;-&quot;????_-;_-@_-"/>
    <numFmt numFmtId="224" formatCode="0.00000"/>
    <numFmt numFmtId="225" formatCode="_-* #,##0.0_-;\-* #,##0.0_-;_-* &quot;-&quot;?_-;_-@_-"/>
  </numFmts>
  <fonts count="64">
    <font>
      <sz val="14"/>
      <name val="AngsanaUPC"/>
      <family val="0"/>
    </font>
    <font>
      <b/>
      <sz val="14"/>
      <name val="AngsanaUPC"/>
      <family val="0"/>
    </font>
    <font>
      <i/>
      <sz val="14"/>
      <name val="AngsanaUPC"/>
      <family val="0"/>
    </font>
    <font>
      <b/>
      <i/>
      <sz val="14"/>
      <name val="AngsanaUPC"/>
      <family val="0"/>
    </font>
    <font>
      <b/>
      <sz val="26"/>
      <name val="AngsanaUPC"/>
      <family val="1"/>
    </font>
    <font>
      <sz val="16"/>
      <name val="AngsanaUPC"/>
      <family val="1"/>
    </font>
    <font>
      <b/>
      <sz val="20"/>
      <name val="AngsanaUPC"/>
      <family val="1"/>
    </font>
    <font>
      <b/>
      <sz val="18"/>
      <name val="AngsanaUPC"/>
      <family val="1"/>
    </font>
    <font>
      <sz val="12"/>
      <name val="AngsanaUPC"/>
      <family val="1"/>
    </font>
    <font>
      <b/>
      <sz val="12"/>
      <name val="AngsanaUPC"/>
      <family val="1"/>
    </font>
    <font>
      <vertAlign val="superscript"/>
      <sz val="14"/>
      <name val="AngsanaUPC"/>
      <family val="1"/>
    </font>
    <font>
      <b/>
      <sz val="16"/>
      <name val="AngsanaUPC"/>
      <family val="1"/>
    </font>
    <font>
      <b/>
      <u val="single"/>
      <sz val="18"/>
      <name val="AngsanaUPC"/>
      <family val="1"/>
    </font>
    <font>
      <sz val="18"/>
      <name val="AngsanaUPC"/>
      <family val="1"/>
    </font>
    <font>
      <b/>
      <sz val="22"/>
      <name val="AngsanaUPC"/>
      <family val="1"/>
    </font>
    <font>
      <b/>
      <u val="single"/>
      <sz val="14"/>
      <name val="AngsanaUPC"/>
      <family val="1"/>
    </font>
    <font>
      <b/>
      <sz val="10"/>
      <name val="Symbol"/>
      <family val="1"/>
    </font>
    <font>
      <sz val="14"/>
      <name val="Cordia New"/>
      <family val="0"/>
    </font>
    <font>
      <vertAlign val="subscript"/>
      <sz val="14"/>
      <name val="AngsanaUPC"/>
      <family val="1"/>
    </font>
    <font>
      <u val="single"/>
      <sz val="14"/>
      <name val="AngsanaUPC"/>
      <family val="1"/>
    </font>
    <font>
      <sz val="10"/>
      <name val="Symbol"/>
      <family val="1"/>
    </font>
    <font>
      <u val="single"/>
      <sz val="14"/>
      <color indexed="12"/>
      <name val="AngsanaUPC"/>
      <family val="0"/>
    </font>
    <font>
      <u val="single"/>
      <sz val="14"/>
      <color indexed="36"/>
      <name val="AngsanaUPC"/>
      <family val="0"/>
    </font>
    <font>
      <b/>
      <sz val="16"/>
      <name val="Cordia New"/>
      <family val="2"/>
    </font>
    <font>
      <b/>
      <sz val="14"/>
      <name val="Cordia New"/>
      <family val="2"/>
    </font>
    <font>
      <b/>
      <u val="single"/>
      <sz val="14"/>
      <name val="Cordia New"/>
      <family val="2"/>
    </font>
    <font>
      <vertAlign val="superscript"/>
      <sz val="14"/>
      <name val="Cordia New"/>
      <family val="2"/>
    </font>
    <font>
      <sz val="14"/>
      <color indexed="10"/>
      <name val="Cordia New"/>
      <family val="2"/>
    </font>
    <font>
      <sz val="16"/>
      <name val="Symbol"/>
      <family val="1"/>
    </font>
    <font>
      <b/>
      <u val="single"/>
      <sz val="22"/>
      <name val="AngsanaUPC"/>
      <family val="1"/>
    </font>
    <font>
      <b/>
      <vertAlign val="subscript"/>
      <sz val="14"/>
      <name val="Cordia New"/>
      <family val="2"/>
    </font>
    <font>
      <sz val="14"/>
      <name val="CordiaUPC"/>
      <family val="2"/>
    </font>
    <font>
      <sz val="14"/>
      <name val="Angsana New"/>
      <family val="1"/>
    </font>
    <font>
      <b/>
      <sz val="12"/>
      <name val="Baskerville Old Face"/>
      <family val="1"/>
    </font>
    <font>
      <b/>
      <sz val="16"/>
      <name val="KodchiangUPC"/>
      <family val="1"/>
    </font>
    <font>
      <vertAlign val="subscript"/>
      <sz val="14"/>
      <name val="Cordia New"/>
      <family val="2"/>
    </font>
    <font>
      <vertAlign val="subscript"/>
      <sz val="12"/>
      <name val="Cordia New"/>
      <family val="2"/>
    </font>
    <font>
      <sz val="12"/>
      <name val="Cordia New"/>
      <family val="2"/>
    </font>
    <font>
      <vertAlign val="superscript"/>
      <sz val="12"/>
      <name val="Cordia New"/>
      <family val="2"/>
    </font>
    <font>
      <sz val="14"/>
      <color indexed="9"/>
      <name val="Cordia New"/>
      <family val="2"/>
    </font>
    <font>
      <sz val="11"/>
      <name val="Cordia New"/>
      <family val="2"/>
    </font>
    <font>
      <vertAlign val="subscript"/>
      <sz val="14"/>
      <color indexed="9"/>
      <name val="Cordia New"/>
      <family val="2"/>
    </font>
    <font>
      <i/>
      <sz val="14"/>
      <name val="Cordia New"/>
      <family val="2"/>
    </font>
    <font>
      <vertAlign val="subscript"/>
      <sz val="10"/>
      <name val="Symbol"/>
      <family val="1"/>
    </font>
    <font>
      <u val="single"/>
      <sz val="14"/>
      <name val="Cordia New"/>
      <family val="2"/>
    </font>
    <font>
      <b/>
      <u val="single"/>
      <sz val="16"/>
      <name val="Cordia New"/>
      <family val="2"/>
    </font>
    <font>
      <sz val="14"/>
      <color indexed="18"/>
      <name val="Cordia New"/>
      <family val="2"/>
    </font>
    <font>
      <b/>
      <sz val="12"/>
      <name val="Cordia New"/>
      <family val="2"/>
    </font>
    <font>
      <b/>
      <vertAlign val="subscript"/>
      <sz val="12"/>
      <name val="Cordia New"/>
      <family val="2"/>
    </font>
    <font>
      <b/>
      <vertAlign val="superscript"/>
      <sz val="12"/>
      <name val="Cordia New"/>
      <family val="2"/>
    </font>
    <font>
      <b/>
      <i/>
      <sz val="14"/>
      <name val="Cordia New"/>
      <family val="2"/>
    </font>
    <font>
      <sz val="10"/>
      <name val="SymbolPS"/>
      <family val="1"/>
    </font>
    <font>
      <sz val="8"/>
      <name val="Cordia New"/>
      <family val="2"/>
    </font>
    <font>
      <i/>
      <sz val="12"/>
      <name val="Monotype Corsiva"/>
      <family val="4"/>
    </font>
    <font>
      <sz val="14"/>
      <color indexed="12"/>
      <name val="CordiaUPC"/>
      <family val="2"/>
    </font>
    <font>
      <i/>
      <vertAlign val="subscript"/>
      <sz val="14"/>
      <name val="Cordia New"/>
      <family val="2"/>
    </font>
    <font>
      <sz val="14"/>
      <color indexed="12"/>
      <name val="Cordia New"/>
      <family val="2"/>
    </font>
    <font>
      <b/>
      <sz val="14"/>
      <color indexed="10"/>
      <name val="Cordia New"/>
      <family val="2"/>
    </font>
    <font>
      <b/>
      <sz val="8"/>
      <name val="Symbol"/>
      <family val="1"/>
    </font>
    <font>
      <b/>
      <sz val="8.5"/>
      <name val="Symbol"/>
      <family val="1"/>
    </font>
    <font>
      <sz val="14"/>
      <name val="Symbol"/>
      <family val="1"/>
    </font>
    <font>
      <vertAlign val="subscript"/>
      <sz val="14"/>
      <name val="CordiaUPC"/>
      <family val="2"/>
    </font>
    <font>
      <sz val="11"/>
      <name val="Symbol"/>
      <family val="1"/>
    </font>
    <font>
      <sz val="14"/>
      <color indexed="56"/>
      <name val="Cordia New"/>
      <family val="2"/>
    </font>
  </fonts>
  <fills count="6">
    <fill>
      <patternFill/>
    </fill>
    <fill>
      <patternFill patternType="gray125"/>
    </fill>
    <fill>
      <patternFill patternType="solid">
        <fgColor indexed="45"/>
        <bgColor indexed="64"/>
      </patternFill>
    </fill>
    <fill>
      <patternFill patternType="solid">
        <fgColor indexed="13"/>
        <bgColor indexed="64"/>
      </patternFill>
    </fill>
    <fill>
      <patternFill patternType="solid">
        <fgColor indexed="43"/>
        <bgColor indexed="64"/>
      </patternFill>
    </fill>
    <fill>
      <patternFill patternType="solid">
        <fgColor indexed="65"/>
        <bgColor indexed="64"/>
      </patternFill>
    </fill>
  </fills>
  <borders count="63">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style="thin"/>
      <bottom style="medium"/>
    </border>
    <border>
      <left style="thin"/>
      <right style="thin"/>
      <top style="thin"/>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thin"/>
      <right style="thin"/>
      <top style="medium"/>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style="medium"/>
      <right style="medium"/>
      <top style="medium"/>
      <bottom>
        <color indexed="63"/>
      </bottom>
    </border>
    <border>
      <left style="medium"/>
      <right style="thin"/>
      <top style="thin"/>
      <bottom style="thin"/>
    </border>
    <border>
      <left style="thin"/>
      <right style="medium"/>
      <top style="thin"/>
      <bottom style="thin"/>
    </border>
    <border>
      <left style="medium"/>
      <right style="medium"/>
      <top>
        <color indexed="63"/>
      </top>
      <bottom>
        <color indexed="63"/>
      </botto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color indexed="63"/>
      </right>
      <top style="medium"/>
      <bottom style="medium"/>
    </border>
    <border>
      <left style="thin"/>
      <right>
        <color indexed="63"/>
      </right>
      <top style="medium"/>
      <bottom style="medium"/>
    </border>
    <border>
      <left style="thin"/>
      <right style="thin"/>
      <top style="medium"/>
      <bottom style="medium"/>
    </border>
    <border>
      <left>
        <color indexed="63"/>
      </left>
      <right style="thin"/>
      <top style="medium"/>
      <bottom style="thin"/>
    </border>
    <border>
      <left style="thin"/>
      <right>
        <color indexed="63"/>
      </right>
      <top style="medium"/>
      <bottom>
        <color indexed="63"/>
      </bottom>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dashed"/>
      <bottom style="dashed"/>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0" fillId="0" borderId="0" applyFont="0" applyFill="0" applyBorder="0" applyAlignment="0" applyProtection="0"/>
    <xf numFmtId="187" fontId="0" fillId="0" borderId="0" applyFont="0" applyFill="0" applyBorder="0" applyAlignment="0" applyProtection="0"/>
    <xf numFmtId="189" fontId="0" fillId="0" borderId="0" applyFont="0" applyFill="0" applyBorder="0" applyAlignment="0" applyProtection="0"/>
    <xf numFmtId="0" fontId="0" fillId="0" borderId="0">
      <alignment/>
      <protection/>
    </xf>
    <xf numFmtId="0" fontId="17" fillId="0" borderId="0">
      <alignment/>
      <protection/>
    </xf>
    <xf numFmtId="0" fontId="0" fillId="0" borderId="0">
      <alignment/>
      <protection/>
    </xf>
    <xf numFmtId="190" fontId="0" fillId="0" borderId="0" applyFont="0" applyFill="0" applyBorder="0" applyAlignment="0" applyProtection="0"/>
    <xf numFmtId="188" fontId="0" fillId="0" borderId="0" applyFont="0" applyFill="0" applyBorder="0" applyAlignment="0" applyProtection="0"/>
    <xf numFmtId="43" fontId="17" fillId="0" borderId="0" applyFon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7" fillId="0" borderId="0">
      <alignment/>
      <protection/>
    </xf>
    <xf numFmtId="9" fontId="0" fillId="0" borderId="0" applyFont="0" applyFill="0" applyBorder="0" applyAlignment="0" applyProtection="0"/>
  </cellStyleXfs>
  <cellXfs count="454">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0" borderId="4" xfId="0" applyBorder="1" applyAlignment="1">
      <alignment horizontal="centerContinuous"/>
    </xf>
    <xf numFmtId="0" fontId="0" fillId="0" borderId="0" xfId="0" applyBorder="1" applyAlignment="1">
      <alignment horizontal="centerContinuous"/>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6" xfId="0" applyBorder="1" applyAlignment="1">
      <alignment horizontal="centerContinuous"/>
    </xf>
    <xf numFmtId="0" fontId="0" fillId="0" borderId="8" xfId="0" applyBorder="1" applyAlignment="1">
      <alignment/>
    </xf>
    <xf numFmtId="0" fontId="0" fillId="0" borderId="0" xfId="0" applyBorder="1" applyAlignment="1">
      <alignment horizontal="center"/>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13" xfId="0" applyFont="1" applyBorder="1" applyAlignment="1">
      <alignment/>
    </xf>
    <xf numFmtId="0" fontId="1" fillId="0" borderId="0" xfId="0" applyFont="1" applyBorder="1" applyAlignment="1">
      <alignment/>
    </xf>
    <xf numFmtId="0" fontId="0" fillId="0" borderId="7" xfId="0" applyFont="1" applyBorder="1" applyAlignment="1">
      <alignment/>
    </xf>
    <xf numFmtId="0" fontId="0" fillId="0" borderId="0" xfId="0" applyFont="1" applyBorder="1" applyAlignment="1">
      <alignment/>
    </xf>
    <xf numFmtId="0" fontId="0" fillId="0" borderId="0" xfId="0" applyFill="1" applyBorder="1" applyAlignment="1">
      <alignment/>
    </xf>
    <xf numFmtId="0" fontId="11" fillId="0" borderId="0" xfId="0" applyFont="1" applyBorder="1" applyAlignment="1">
      <alignment horizontal="centerContinuous"/>
    </xf>
    <xf numFmtId="0" fontId="11" fillId="0" borderId="0" xfId="0" applyFont="1" applyBorder="1" applyAlignment="1">
      <alignment/>
    </xf>
    <xf numFmtId="0" fontId="0" fillId="0" borderId="15" xfId="0" applyBorder="1" applyAlignment="1">
      <alignment/>
    </xf>
    <xf numFmtId="0" fontId="0" fillId="0" borderId="16" xfId="0" applyBorder="1" applyAlignment="1">
      <alignment horizontal="centerContinuous"/>
    </xf>
    <xf numFmtId="0" fontId="0" fillId="0" borderId="13" xfId="0" applyBorder="1" applyAlignment="1">
      <alignment horizontal="centerContinuous"/>
    </xf>
    <xf numFmtId="0" fontId="20" fillId="0" borderId="0" xfId="0" applyFont="1" applyAlignment="1">
      <alignment horizontal="right"/>
    </xf>
    <xf numFmtId="0" fontId="0" fillId="0" borderId="0" xfId="20">
      <alignment/>
      <protection/>
    </xf>
    <xf numFmtId="0" fontId="14" fillId="0" borderId="0" xfId="20" applyFont="1" applyAlignment="1">
      <alignment horizontal="centerContinuous"/>
      <protection/>
    </xf>
    <xf numFmtId="0" fontId="0" fillId="0" borderId="0" xfId="20" applyAlignment="1">
      <alignment horizontal="centerContinuous"/>
      <protection/>
    </xf>
    <xf numFmtId="0" fontId="0" fillId="0" borderId="0" xfId="20" applyFont="1" applyAlignment="1">
      <alignment horizontal="centerContinuous"/>
      <protection/>
    </xf>
    <xf numFmtId="0" fontId="0" fillId="0" borderId="0" xfId="20" applyAlignment="1">
      <alignment/>
      <protection/>
    </xf>
    <xf numFmtId="0" fontId="0" fillId="0" borderId="12" xfId="20" applyBorder="1">
      <alignment/>
      <protection/>
    </xf>
    <xf numFmtId="0" fontId="7" fillId="0" borderId="13" xfId="20" applyFont="1" applyBorder="1">
      <alignment/>
      <protection/>
    </xf>
    <xf numFmtId="0" fontId="0" fillId="0" borderId="13" xfId="20" applyBorder="1">
      <alignment/>
      <protection/>
    </xf>
    <xf numFmtId="0" fontId="0" fillId="0" borderId="14" xfId="20" applyBorder="1">
      <alignment/>
      <protection/>
    </xf>
    <xf numFmtId="0" fontId="0" fillId="0" borderId="7" xfId="20" applyBorder="1">
      <alignment/>
      <protection/>
    </xf>
    <xf numFmtId="0" fontId="1" fillId="0" borderId="0" xfId="20" applyFont="1" applyBorder="1" applyAlignment="1">
      <alignment/>
      <protection/>
    </xf>
    <xf numFmtId="0" fontId="0" fillId="0" borderId="0" xfId="20" applyBorder="1" applyAlignment="1">
      <alignment/>
      <protection/>
    </xf>
    <xf numFmtId="0" fontId="0" fillId="0" borderId="0" xfId="20" applyBorder="1" applyAlignment="1">
      <alignment horizontal="right"/>
      <protection/>
    </xf>
    <xf numFmtId="0" fontId="0" fillId="0" borderId="0" xfId="20" applyBorder="1" applyAlignment="1">
      <alignment horizontal="center"/>
      <protection/>
    </xf>
    <xf numFmtId="0" fontId="0" fillId="0" borderId="8" xfId="20" applyBorder="1" applyAlignment="1">
      <alignment/>
      <protection/>
    </xf>
    <xf numFmtId="0" fontId="0" fillId="0" borderId="0" xfId="20" applyBorder="1">
      <alignment/>
      <protection/>
    </xf>
    <xf numFmtId="0" fontId="0" fillId="0" borderId="8" xfId="20" applyBorder="1">
      <alignment/>
      <protection/>
    </xf>
    <xf numFmtId="0" fontId="7" fillId="0" borderId="0" xfId="20" applyFont="1" applyBorder="1">
      <alignment/>
      <protection/>
    </xf>
    <xf numFmtId="2" fontId="0" fillId="0" borderId="0" xfId="20" applyNumberFormat="1" applyBorder="1">
      <alignment/>
      <protection/>
    </xf>
    <xf numFmtId="0" fontId="0" fillId="0" borderId="0" xfId="20" applyBorder="1" applyAlignment="1">
      <alignment horizontal="left"/>
      <protection/>
    </xf>
    <xf numFmtId="0" fontId="6" fillId="0" borderId="0" xfId="20" applyFont="1" applyBorder="1" applyAlignment="1">
      <alignment horizontal="centerContinuous"/>
      <protection/>
    </xf>
    <xf numFmtId="0" fontId="0" fillId="0" borderId="4" xfId="20" applyBorder="1">
      <alignment/>
      <protection/>
    </xf>
    <xf numFmtId="0" fontId="0" fillId="0" borderId="2" xfId="20" applyBorder="1" applyAlignment="1">
      <alignment horizontal="center"/>
      <protection/>
    </xf>
    <xf numFmtId="0" fontId="0" fillId="0" borderId="17" xfId="20" applyBorder="1" applyAlignment="1">
      <alignment horizontal="center"/>
      <protection/>
    </xf>
    <xf numFmtId="0" fontId="0" fillId="0" borderId="18" xfId="20" applyBorder="1" applyAlignment="1">
      <alignment horizontal="center"/>
      <protection/>
    </xf>
    <xf numFmtId="0" fontId="0" fillId="0" borderId="7" xfId="20" applyFont="1" applyBorder="1">
      <alignment/>
      <protection/>
    </xf>
    <xf numFmtId="0" fontId="0" fillId="0" borderId="3" xfId="20" applyFont="1" applyBorder="1" applyAlignment="1">
      <alignment horizontal="center"/>
      <protection/>
    </xf>
    <xf numFmtId="0" fontId="0" fillId="0" borderId="19" xfId="20" applyFont="1" applyBorder="1" applyAlignment="1">
      <alignment horizontal="center"/>
      <protection/>
    </xf>
    <xf numFmtId="0" fontId="0" fillId="0" borderId="8" xfId="20" applyFont="1" applyBorder="1" applyAlignment="1">
      <alignment/>
      <protection/>
    </xf>
    <xf numFmtId="0" fontId="0" fillId="0" borderId="0" xfId="20" applyFont="1" applyAlignment="1">
      <alignment/>
      <protection/>
    </xf>
    <xf numFmtId="0" fontId="0" fillId="0" borderId="0" xfId="20" applyFont="1">
      <alignment/>
      <protection/>
    </xf>
    <xf numFmtId="0" fontId="0" fillId="0" borderId="2" xfId="20" applyBorder="1">
      <alignment/>
      <protection/>
    </xf>
    <xf numFmtId="195" fontId="0" fillId="0" borderId="2" xfId="15" applyNumberFormat="1" applyBorder="1" applyAlignment="1">
      <alignment horizontal="center"/>
    </xf>
    <xf numFmtId="195" fontId="0" fillId="0" borderId="2" xfId="15" applyNumberFormat="1" applyBorder="1" applyAlignment="1">
      <alignment/>
    </xf>
    <xf numFmtId="193" fontId="0" fillId="0" borderId="20" xfId="20" applyNumberFormat="1" applyBorder="1" applyAlignment="1">
      <alignment horizontal="center"/>
      <protection/>
    </xf>
    <xf numFmtId="0" fontId="0" fillId="0" borderId="2" xfId="20" applyFont="1" applyBorder="1">
      <alignment/>
      <protection/>
    </xf>
    <xf numFmtId="0" fontId="0" fillId="0" borderId="2" xfId="20" applyFont="1" applyBorder="1" applyAlignment="1">
      <alignment horizontal="center"/>
      <protection/>
    </xf>
    <xf numFmtId="0" fontId="0" fillId="0" borderId="3" xfId="20" applyFont="1" applyBorder="1">
      <alignment/>
      <protection/>
    </xf>
    <xf numFmtId="0" fontId="0" fillId="0" borderId="19" xfId="20" applyFont="1" applyBorder="1" applyAlignment="1">
      <alignment horizontal="center"/>
      <protection/>
    </xf>
    <xf numFmtId="0" fontId="0" fillId="0" borderId="3" xfId="20" applyBorder="1" applyAlignment="1">
      <alignment horizontal="center"/>
      <protection/>
    </xf>
    <xf numFmtId="193" fontId="0" fillId="0" borderId="3" xfId="20" applyNumberFormat="1" applyBorder="1" applyAlignment="1">
      <alignment horizontal="center"/>
      <protection/>
    </xf>
    <xf numFmtId="195" fontId="0" fillId="0" borderId="3" xfId="15" applyNumberFormat="1" applyBorder="1" applyAlignment="1">
      <alignment/>
    </xf>
    <xf numFmtId="193" fontId="0" fillId="0" borderId="19" xfId="20" applyNumberFormat="1" applyBorder="1" applyAlignment="1">
      <alignment horizontal="center"/>
      <protection/>
    </xf>
    <xf numFmtId="0" fontId="0" fillId="0" borderId="10" xfId="20" applyBorder="1">
      <alignment/>
      <protection/>
    </xf>
    <xf numFmtId="0" fontId="0" fillId="0" borderId="5" xfId="20" applyBorder="1">
      <alignment/>
      <protection/>
    </xf>
    <xf numFmtId="0" fontId="0" fillId="0" borderId="11" xfId="20" applyBorder="1">
      <alignment/>
      <protection/>
    </xf>
    <xf numFmtId="0" fontId="0" fillId="0" borderId="0" xfId="20" applyFont="1" applyBorder="1">
      <alignment/>
      <protection/>
    </xf>
    <xf numFmtId="0" fontId="0" fillId="0" borderId="0" xfId="20" applyFont="1">
      <alignment/>
      <protection/>
    </xf>
    <xf numFmtId="0" fontId="9" fillId="0" borderId="12" xfId="0" applyFont="1" applyBorder="1" applyAlignment="1">
      <alignment/>
    </xf>
    <xf numFmtId="0" fontId="9" fillId="0" borderId="13" xfId="0" applyFont="1" applyBorder="1" applyAlignment="1">
      <alignment/>
    </xf>
    <xf numFmtId="0" fontId="8" fillId="0" borderId="21" xfId="0" applyFont="1" applyBorder="1" applyAlignment="1">
      <alignment/>
    </xf>
    <xf numFmtId="0" fontId="8" fillId="0" borderId="22" xfId="0" applyFont="1" applyBorder="1" applyAlignment="1">
      <alignment/>
    </xf>
    <xf numFmtId="0" fontId="8" fillId="0" borderId="21" xfId="0" applyFont="1" applyBorder="1" applyAlignment="1">
      <alignment/>
    </xf>
    <xf numFmtId="0" fontId="8" fillId="0" borderId="22" xfId="0" applyFont="1" applyBorder="1" applyAlignment="1">
      <alignment horizontal="left"/>
    </xf>
    <xf numFmtId="0" fontId="8" fillId="0" borderId="23" xfId="0" applyFont="1" applyBorder="1" applyAlignment="1">
      <alignment/>
    </xf>
    <xf numFmtId="0" fontId="8" fillId="0" borderId="4" xfId="0" applyFont="1" applyBorder="1" applyAlignment="1">
      <alignment/>
    </xf>
    <xf numFmtId="0" fontId="8" fillId="0" borderId="23" xfId="0" applyFont="1" applyBorder="1" applyAlignment="1">
      <alignment/>
    </xf>
    <xf numFmtId="0" fontId="8" fillId="0" borderId="0" xfId="0" applyFont="1" applyBorder="1" applyAlignment="1">
      <alignment/>
    </xf>
    <xf numFmtId="0" fontId="8" fillId="0" borderId="10" xfId="0" applyFont="1" applyBorder="1" applyAlignment="1">
      <alignment/>
    </xf>
    <xf numFmtId="0" fontId="8" fillId="0" borderId="5" xfId="0" applyFont="1" applyBorder="1" applyAlignment="1">
      <alignment/>
    </xf>
    <xf numFmtId="0" fontId="8" fillId="0" borderId="10" xfId="0" applyFont="1" applyBorder="1" applyAlignment="1">
      <alignment/>
    </xf>
    <xf numFmtId="0" fontId="8" fillId="0" borderId="24" xfId="0" applyFont="1" applyBorder="1" applyAlignment="1">
      <alignment/>
    </xf>
    <xf numFmtId="2" fontId="0" fillId="0" borderId="17" xfId="20" applyNumberFormat="1" applyFont="1" applyBorder="1" applyAlignment="1">
      <alignment horizontal="left"/>
      <protection/>
    </xf>
    <xf numFmtId="0" fontId="0" fillId="2" borderId="25" xfId="19" applyFont="1" applyFill="1" applyBorder="1">
      <alignment/>
      <protection/>
    </xf>
    <xf numFmtId="0" fontId="0" fillId="2" borderId="25" xfId="19" applyFont="1" applyFill="1" applyBorder="1" applyAlignment="1">
      <alignment horizontal="center"/>
      <protection/>
    </xf>
    <xf numFmtId="0" fontId="0" fillId="2" borderId="25" xfId="19" applyFont="1" applyFill="1" applyBorder="1" applyAlignment="1">
      <alignment horizontal="left"/>
      <protection/>
    </xf>
    <xf numFmtId="0" fontId="0" fillId="0" borderId="0" xfId="0" applyBorder="1" applyAlignment="1">
      <alignment/>
    </xf>
    <xf numFmtId="0" fontId="1" fillId="0" borderId="1" xfId="0" applyFont="1" applyBorder="1" applyAlignment="1">
      <alignment/>
    </xf>
    <xf numFmtId="0" fontId="0" fillId="0" borderId="8" xfId="0" applyBorder="1" applyAlignment="1">
      <alignment horizontal="centerContinuous"/>
    </xf>
    <xf numFmtId="0" fontId="0" fillId="2" borderId="18" xfId="19" applyFont="1" applyFill="1" applyBorder="1" applyAlignment="1">
      <alignment horizontal="center"/>
      <protection/>
    </xf>
    <xf numFmtId="0" fontId="1" fillId="0" borderId="15" xfId="0" applyFont="1" applyBorder="1" applyAlignment="1">
      <alignment/>
    </xf>
    <xf numFmtId="0" fontId="0" fillId="2" borderId="18" xfId="19" applyFont="1" applyFill="1" applyBorder="1" applyAlignment="1">
      <alignment horizontal="left"/>
      <protection/>
    </xf>
    <xf numFmtId="0" fontId="1" fillId="0" borderId="5" xfId="0" applyFont="1" applyBorder="1" applyAlignment="1">
      <alignment/>
    </xf>
    <xf numFmtId="0" fontId="0" fillId="0" borderId="26" xfId="0" applyBorder="1" applyAlignment="1">
      <alignment/>
    </xf>
    <xf numFmtId="0" fontId="1" fillId="0" borderId="0" xfId="0" applyFont="1" applyBorder="1" applyAlignment="1">
      <alignment/>
    </xf>
    <xf numFmtId="0" fontId="1" fillId="0" borderId="5" xfId="0" applyFont="1" applyBorder="1" applyAlignment="1">
      <alignment/>
    </xf>
    <xf numFmtId="0" fontId="0" fillId="0" borderId="0" xfId="20" applyFont="1" applyBorder="1" applyAlignment="1">
      <alignment/>
      <protection/>
    </xf>
    <xf numFmtId="0" fontId="17" fillId="0" borderId="0" xfId="28" applyFont="1" applyBorder="1" applyAlignment="1">
      <alignment vertical="center"/>
      <protection/>
    </xf>
    <xf numFmtId="0" fontId="17" fillId="0" borderId="0" xfId="28" applyFont="1" applyAlignment="1">
      <alignment vertical="center"/>
      <protection/>
    </xf>
    <xf numFmtId="0" fontId="33" fillId="0" borderId="0" xfId="28" applyFont="1" applyBorder="1" applyAlignment="1">
      <alignment vertical="center"/>
      <protection/>
    </xf>
    <xf numFmtId="0" fontId="17" fillId="0" borderId="0" xfId="28" applyFont="1" applyAlignment="1">
      <alignment horizontal="center" vertical="center"/>
      <protection/>
    </xf>
    <xf numFmtId="43" fontId="17" fillId="0" borderId="0" xfId="28" applyNumberFormat="1" applyFont="1" applyAlignment="1">
      <alignment vertical="center"/>
      <protection/>
    </xf>
    <xf numFmtId="2" fontId="17" fillId="0" borderId="0" xfId="28" applyNumberFormat="1" applyFont="1" applyBorder="1" applyAlignment="1">
      <alignment vertical="center"/>
      <protection/>
    </xf>
    <xf numFmtId="0" fontId="17" fillId="0" borderId="0" xfId="28" applyFont="1" applyBorder="1" applyAlignment="1">
      <alignment horizontal="center" vertical="center"/>
      <protection/>
    </xf>
    <xf numFmtId="0" fontId="17" fillId="0" borderId="0" xfId="28" applyFont="1" applyBorder="1" applyAlignment="1">
      <alignment horizontal="left" vertical="center"/>
      <protection/>
    </xf>
    <xf numFmtId="2" fontId="17" fillId="0" borderId="0" xfId="28" applyNumberFormat="1" applyFont="1" applyBorder="1" applyAlignment="1">
      <alignment horizontal="center" vertical="center"/>
      <protection/>
    </xf>
    <xf numFmtId="2" fontId="17" fillId="0" borderId="0" xfId="28" applyNumberFormat="1" applyFont="1" applyBorder="1" applyAlignment="1">
      <alignment horizontal="right" vertical="center"/>
      <protection/>
    </xf>
    <xf numFmtId="0" fontId="17" fillId="0" borderId="4" xfId="28" applyFont="1" applyBorder="1" applyAlignment="1">
      <alignment vertical="center"/>
      <protection/>
    </xf>
    <xf numFmtId="0" fontId="23" fillId="0" borderId="0" xfId="28" applyFont="1" applyBorder="1" applyAlignment="1">
      <alignment/>
      <protection/>
    </xf>
    <xf numFmtId="0" fontId="23" fillId="0" borderId="0" xfId="28" applyFont="1" applyBorder="1" applyAlignment="1">
      <alignment horizontal="left"/>
      <protection/>
    </xf>
    <xf numFmtId="0" fontId="17" fillId="0" borderId="27" xfId="28" applyFont="1" applyBorder="1" applyAlignment="1">
      <alignment vertical="center"/>
      <protection/>
    </xf>
    <xf numFmtId="0" fontId="17" fillId="0" borderId="28" xfId="28" applyFont="1" applyBorder="1" applyAlignment="1">
      <alignment vertical="center"/>
      <protection/>
    </xf>
    <xf numFmtId="0" fontId="17" fillId="0" borderId="12" xfId="28" applyFont="1" applyBorder="1" applyAlignment="1">
      <alignment vertical="center"/>
      <protection/>
    </xf>
    <xf numFmtId="0" fontId="17" fillId="0" borderId="13" xfId="28" applyFont="1" applyBorder="1" applyAlignment="1">
      <alignment vertical="center"/>
      <protection/>
    </xf>
    <xf numFmtId="0" fontId="23" fillId="0" borderId="13" xfId="28" applyFont="1" applyBorder="1" applyAlignment="1">
      <alignment/>
      <protection/>
    </xf>
    <xf numFmtId="0" fontId="23" fillId="0" borderId="13" xfId="28" applyFont="1" applyBorder="1" applyAlignment="1">
      <alignment horizontal="right" vertical="center"/>
      <protection/>
    </xf>
    <xf numFmtId="0" fontId="23" fillId="0" borderId="14" xfId="28" applyFont="1" applyBorder="1" applyAlignment="1">
      <alignment/>
      <protection/>
    </xf>
    <xf numFmtId="0" fontId="45" fillId="0" borderId="7" xfId="28" applyFont="1" applyBorder="1" applyAlignment="1">
      <alignment vertical="center"/>
      <protection/>
    </xf>
    <xf numFmtId="0" fontId="25" fillId="0" borderId="0" xfId="28" applyFont="1" applyBorder="1" applyAlignment="1">
      <alignment vertical="center"/>
      <protection/>
    </xf>
    <xf numFmtId="0" fontId="17" fillId="0" borderId="8" xfId="28" applyFont="1" applyBorder="1" applyAlignment="1">
      <alignment vertical="center"/>
      <protection/>
    </xf>
    <xf numFmtId="0" fontId="17" fillId="0" borderId="14" xfId="28" applyFont="1" applyBorder="1" applyAlignment="1">
      <alignment vertical="center"/>
      <protection/>
    </xf>
    <xf numFmtId="0" fontId="17" fillId="0" borderId="7" xfId="28" applyFont="1" applyBorder="1" applyAlignment="1">
      <alignment vertical="center"/>
      <protection/>
    </xf>
    <xf numFmtId="0" fontId="34" fillId="0" borderId="28" xfId="28" applyFont="1" applyBorder="1" applyAlignment="1">
      <alignment horizontal="center" vertical="center"/>
      <protection/>
    </xf>
    <xf numFmtId="0" fontId="17" fillId="0" borderId="0" xfId="28" applyFont="1" applyBorder="1" applyAlignment="1">
      <alignment horizontal="right" vertical="center"/>
      <protection/>
    </xf>
    <xf numFmtId="43" fontId="17" fillId="0" borderId="0" xfId="23" applyFont="1" applyBorder="1" applyAlignment="1">
      <alignment horizontal="right" vertical="center"/>
    </xf>
    <xf numFmtId="0" fontId="17" fillId="0" borderId="10" xfId="28" applyFont="1" applyBorder="1" applyAlignment="1">
      <alignment vertical="center"/>
      <protection/>
    </xf>
    <xf numFmtId="0" fontId="17" fillId="0" borderId="5" xfId="28" applyFont="1" applyBorder="1" applyAlignment="1">
      <alignment vertical="center"/>
      <protection/>
    </xf>
    <xf numFmtId="0" fontId="17" fillId="0" borderId="11" xfId="28" applyFont="1" applyBorder="1" applyAlignment="1">
      <alignment vertical="center"/>
      <protection/>
    </xf>
    <xf numFmtId="0" fontId="17" fillId="0" borderId="5" xfId="28" applyFont="1" applyBorder="1" applyAlignment="1">
      <alignment horizontal="right" vertical="center"/>
      <protection/>
    </xf>
    <xf numFmtId="43" fontId="46" fillId="0" borderId="5" xfId="23" applyFont="1" applyBorder="1" applyAlignment="1">
      <alignment horizontal="right" vertical="center"/>
    </xf>
    <xf numFmtId="0" fontId="45" fillId="0" borderId="0" xfId="28" applyFont="1" applyBorder="1" applyAlignment="1">
      <alignment vertical="center"/>
      <protection/>
    </xf>
    <xf numFmtId="0" fontId="37" fillId="0" borderId="0" xfId="28" applyFont="1" applyBorder="1" applyAlignment="1">
      <alignment vertical="center"/>
      <protection/>
    </xf>
    <xf numFmtId="43" fontId="17" fillId="0" borderId="0" xfId="23" applyFont="1" applyBorder="1" applyAlignment="1">
      <alignment vertical="center"/>
    </xf>
    <xf numFmtId="0" fontId="17" fillId="0" borderId="0" xfId="28" applyFont="1" applyBorder="1" applyAlignment="1" quotePrefix="1">
      <alignment vertical="center"/>
      <protection/>
    </xf>
    <xf numFmtId="43" fontId="17" fillId="0" borderId="0" xfId="28" applyNumberFormat="1" applyFont="1" applyBorder="1" applyAlignment="1">
      <alignment vertical="center"/>
      <protection/>
    </xf>
    <xf numFmtId="0" fontId="17" fillId="0" borderId="0" xfId="28" applyFont="1" applyBorder="1" applyAlignment="1" quotePrefix="1">
      <alignment horizontal="center" vertical="center"/>
      <protection/>
    </xf>
    <xf numFmtId="0" fontId="47" fillId="0" borderId="29" xfId="28" applyFont="1" applyBorder="1" applyAlignment="1">
      <alignment horizontal="center" vertical="center"/>
      <protection/>
    </xf>
    <xf numFmtId="0" fontId="47" fillId="0" borderId="13" xfId="28" applyFont="1" applyBorder="1" applyAlignment="1">
      <alignment horizontal="center" vertical="center"/>
      <protection/>
    </xf>
    <xf numFmtId="0" fontId="47" fillId="0" borderId="20" xfId="28" applyFont="1" applyBorder="1" applyAlignment="1">
      <alignment horizontal="center" vertical="center"/>
      <protection/>
    </xf>
    <xf numFmtId="0" fontId="47" fillId="0" borderId="0" xfId="28" applyFont="1" applyBorder="1" applyAlignment="1">
      <alignment horizontal="center" vertical="center"/>
      <protection/>
    </xf>
    <xf numFmtId="0" fontId="47" fillId="0" borderId="2" xfId="28" applyFont="1" applyBorder="1" applyAlignment="1">
      <alignment horizontal="center" vertical="center"/>
      <protection/>
    </xf>
    <xf numFmtId="0" fontId="47" fillId="0" borderId="18" xfId="28" applyFont="1" applyBorder="1" applyAlignment="1">
      <alignment horizontal="center" vertical="center"/>
      <protection/>
    </xf>
    <xf numFmtId="0" fontId="47" fillId="0" borderId="30" xfId="28" applyFont="1" applyBorder="1" applyAlignment="1">
      <alignment horizontal="center" vertical="center"/>
      <protection/>
    </xf>
    <xf numFmtId="0" fontId="47" fillId="0" borderId="31" xfId="28" applyFont="1" applyBorder="1" applyAlignment="1">
      <alignment horizontal="center" vertical="center"/>
      <protection/>
    </xf>
    <xf numFmtId="0" fontId="47" fillId="0" borderId="5" xfId="28" applyFont="1" applyBorder="1" applyAlignment="1">
      <alignment horizontal="center" vertical="center"/>
      <protection/>
    </xf>
    <xf numFmtId="0" fontId="47" fillId="0" borderId="9" xfId="28" applyFont="1" applyBorder="1" applyAlignment="1">
      <alignment horizontal="center" vertical="center"/>
      <protection/>
    </xf>
    <xf numFmtId="0" fontId="47" fillId="0" borderId="32" xfId="28" applyFont="1" applyBorder="1" applyAlignment="1">
      <alignment horizontal="center" vertical="center"/>
      <protection/>
    </xf>
    <xf numFmtId="0" fontId="17" fillId="0" borderId="33" xfId="28" applyFont="1" applyBorder="1" applyAlignment="1">
      <alignment horizontal="left" vertical="center"/>
      <protection/>
    </xf>
    <xf numFmtId="0" fontId="17" fillId="0" borderId="16" xfId="28" applyFont="1" applyBorder="1" applyAlignment="1">
      <alignment horizontal="center" vertical="center"/>
      <protection/>
    </xf>
    <xf numFmtId="0" fontId="27" fillId="0" borderId="19" xfId="28" applyFont="1" applyBorder="1" applyAlignment="1">
      <alignment horizontal="center" vertical="center"/>
      <protection/>
    </xf>
    <xf numFmtId="195" fontId="27" fillId="0" borderId="19" xfId="21" applyNumberFormat="1" applyFont="1" applyBorder="1" applyAlignment="1">
      <alignment horizontal="center" vertical="center"/>
    </xf>
    <xf numFmtId="190" fontId="17" fillId="0" borderId="34" xfId="21" applyFont="1" applyBorder="1" applyAlignment="1">
      <alignment vertical="center"/>
    </xf>
    <xf numFmtId="2" fontId="17" fillId="3" borderId="35" xfId="28" applyNumberFormat="1" applyFont="1" applyFill="1" applyBorder="1" applyAlignment="1">
      <alignment horizontal="center" vertical="center"/>
      <protection/>
    </xf>
    <xf numFmtId="0" fontId="17" fillId="0" borderId="36" xfId="28" applyFont="1" applyBorder="1" applyAlignment="1">
      <alignment horizontal="left" vertical="center"/>
      <protection/>
    </xf>
    <xf numFmtId="0" fontId="17" fillId="0" borderId="28" xfId="28" applyFont="1" applyBorder="1" applyAlignment="1">
      <alignment horizontal="center" vertical="center"/>
      <protection/>
    </xf>
    <xf numFmtId="0" fontId="27" fillId="0" borderId="25" xfId="28" applyFont="1" applyBorder="1" applyAlignment="1">
      <alignment horizontal="center" vertical="center"/>
      <protection/>
    </xf>
    <xf numFmtId="195" fontId="27" fillId="0" borderId="25" xfId="21" applyNumberFormat="1" applyFont="1" applyBorder="1" applyAlignment="1">
      <alignment horizontal="center" vertical="center"/>
    </xf>
    <xf numFmtId="190" fontId="17" fillId="0" borderId="25" xfId="21" applyNumberFormat="1" applyFont="1" applyBorder="1" applyAlignment="1">
      <alignment horizontal="center" vertical="center"/>
    </xf>
    <xf numFmtId="190" fontId="17" fillId="0" borderId="37" xfId="21" applyFont="1" applyBorder="1" applyAlignment="1">
      <alignment vertical="center"/>
    </xf>
    <xf numFmtId="2" fontId="17" fillId="3" borderId="38" xfId="28" applyNumberFormat="1" applyFont="1" applyFill="1" applyBorder="1" applyAlignment="1">
      <alignment horizontal="center" vertical="center"/>
      <protection/>
    </xf>
    <xf numFmtId="0" fontId="17" fillId="0" borderId="39" xfId="28" applyFont="1" applyBorder="1" applyAlignment="1">
      <alignment horizontal="left" vertical="center"/>
      <protection/>
    </xf>
    <xf numFmtId="0" fontId="17" fillId="0" borderId="40" xfId="28" applyFont="1" applyBorder="1" applyAlignment="1">
      <alignment horizontal="center" vertical="center"/>
      <protection/>
    </xf>
    <xf numFmtId="0" fontId="27" fillId="0" borderId="41" xfId="28" applyFont="1" applyBorder="1" applyAlignment="1">
      <alignment horizontal="center" vertical="center"/>
      <protection/>
    </xf>
    <xf numFmtId="195" fontId="27" fillId="0" borderId="41" xfId="21" applyNumberFormat="1" applyFont="1" applyBorder="1" applyAlignment="1">
      <alignment horizontal="center" vertical="center"/>
    </xf>
    <xf numFmtId="190" fontId="17" fillId="0" borderId="42" xfId="21" applyFont="1" applyBorder="1" applyAlignment="1">
      <alignment vertical="center"/>
    </xf>
    <xf numFmtId="2" fontId="17" fillId="3" borderId="43" xfId="28" applyNumberFormat="1" applyFont="1" applyFill="1" applyBorder="1" applyAlignment="1">
      <alignment horizontal="center" vertical="center"/>
      <protection/>
    </xf>
    <xf numFmtId="0" fontId="17" fillId="0" borderId="12" xfId="28" applyFont="1" applyBorder="1" applyAlignment="1">
      <alignment horizontal="center" vertical="center"/>
      <protection/>
    </xf>
    <xf numFmtId="0" fontId="17" fillId="0" borderId="13" xfId="28" applyFont="1" applyBorder="1" applyAlignment="1">
      <alignment horizontal="left" vertical="center"/>
      <protection/>
    </xf>
    <xf numFmtId="0" fontId="17" fillId="0" borderId="13" xfId="28" applyFont="1" applyBorder="1" applyAlignment="1">
      <alignment horizontal="center" vertical="center"/>
      <protection/>
    </xf>
    <xf numFmtId="0" fontId="17" fillId="0" borderId="13" xfId="28" applyFont="1" applyBorder="1" applyAlignment="1">
      <alignment horizontal="right" vertical="center"/>
      <protection/>
    </xf>
    <xf numFmtId="2" fontId="17" fillId="0" borderId="13" xfId="28" applyNumberFormat="1" applyFont="1" applyBorder="1" applyAlignment="1">
      <alignment horizontal="center" vertical="center"/>
      <protection/>
    </xf>
    <xf numFmtId="2" fontId="17" fillId="0" borderId="14" xfId="28" applyNumberFormat="1" applyFont="1" applyBorder="1" applyAlignment="1">
      <alignment horizontal="center" vertical="center"/>
      <protection/>
    </xf>
    <xf numFmtId="0" fontId="17" fillId="0" borderId="7" xfId="28" applyFont="1" applyBorder="1" applyAlignment="1">
      <alignment horizontal="center" vertical="center"/>
      <protection/>
    </xf>
    <xf numFmtId="2" fontId="17" fillId="0" borderId="8" xfId="28" applyNumberFormat="1" applyFont="1" applyBorder="1" applyAlignment="1">
      <alignment horizontal="center" vertical="center"/>
      <protection/>
    </xf>
    <xf numFmtId="0" fontId="37" fillId="0" borderId="8" xfId="28" applyFont="1" applyBorder="1" applyAlignment="1">
      <alignment horizontal="center" vertical="center"/>
      <protection/>
    </xf>
    <xf numFmtId="0" fontId="17" fillId="0" borderId="8" xfId="28" applyFont="1" applyBorder="1" applyAlignment="1">
      <alignment horizontal="center" vertical="center"/>
      <protection/>
    </xf>
    <xf numFmtId="0" fontId="50" fillId="0" borderId="0" xfId="28" applyFont="1" applyBorder="1" applyAlignment="1">
      <alignment vertical="center"/>
      <protection/>
    </xf>
    <xf numFmtId="2" fontId="27" fillId="0" borderId="0" xfId="28" applyNumberFormat="1" applyFont="1" applyBorder="1" applyAlignment="1">
      <alignment horizontal="center" vertical="center"/>
      <protection/>
    </xf>
    <xf numFmtId="0" fontId="27" fillId="0" borderId="0" xfId="28" applyFont="1" applyBorder="1" applyAlignment="1">
      <alignment horizontal="left" vertical="center"/>
      <protection/>
    </xf>
    <xf numFmtId="0" fontId="17" fillId="0" borderId="44" xfId="28" applyFont="1" applyBorder="1" applyAlignment="1">
      <alignment vertical="center"/>
      <protection/>
    </xf>
    <xf numFmtId="0" fontId="24" fillId="0" borderId="45" xfId="28" applyFont="1" applyBorder="1" applyAlignment="1">
      <alignment horizontal="center" vertical="center"/>
      <protection/>
    </xf>
    <xf numFmtId="0" fontId="24" fillId="0" borderId="46" xfId="28" applyFont="1" applyBorder="1" applyAlignment="1">
      <alignment horizontal="center" vertical="center"/>
      <protection/>
    </xf>
    <xf numFmtId="0" fontId="17" fillId="0" borderId="22" xfId="28" applyFont="1" applyBorder="1" applyAlignment="1">
      <alignment vertical="center"/>
      <protection/>
    </xf>
    <xf numFmtId="0" fontId="17" fillId="0" borderId="47" xfId="28" applyFont="1" applyBorder="1" applyAlignment="1">
      <alignment vertical="center"/>
      <protection/>
    </xf>
    <xf numFmtId="0" fontId="17" fillId="0" borderId="48" xfId="28" applyFont="1" applyBorder="1" applyAlignment="1">
      <alignment vertical="center"/>
      <protection/>
    </xf>
    <xf numFmtId="190" fontId="17" fillId="0" borderId="4" xfId="21" applyFont="1" applyBorder="1" applyAlignment="1">
      <alignment vertical="center"/>
    </xf>
    <xf numFmtId="2" fontId="17" fillId="0" borderId="8" xfId="28" applyNumberFormat="1" applyFont="1" applyBorder="1" applyAlignment="1">
      <alignment vertical="center"/>
      <protection/>
    </xf>
    <xf numFmtId="0" fontId="17" fillId="0" borderId="49" xfId="28" applyFont="1" applyBorder="1" applyAlignment="1">
      <alignment vertical="center"/>
      <protection/>
    </xf>
    <xf numFmtId="0" fontId="17" fillId="0" borderId="15" xfId="28" applyFont="1" applyBorder="1" applyAlignment="1">
      <alignment vertical="center"/>
      <protection/>
    </xf>
    <xf numFmtId="190" fontId="17" fillId="0" borderId="25" xfId="21" applyFont="1" applyBorder="1" applyAlignment="1">
      <alignment horizontal="center" vertical="center"/>
    </xf>
    <xf numFmtId="190" fontId="17" fillId="0" borderId="15" xfId="21" applyFont="1" applyBorder="1" applyAlignment="1">
      <alignment vertical="center"/>
    </xf>
    <xf numFmtId="2" fontId="17" fillId="0" borderId="50" xfId="28" applyNumberFormat="1" applyFont="1" applyBorder="1" applyAlignment="1">
      <alignment vertical="center"/>
      <protection/>
    </xf>
    <xf numFmtId="0" fontId="17" fillId="0" borderId="24" xfId="28" applyFont="1" applyBorder="1" applyAlignment="1">
      <alignment vertical="center"/>
      <protection/>
    </xf>
    <xf numFmtId="0" fontId="17" fillId="0" borderId="40" xfId="28" applyFont="1" applyBorder="1" applyAlignment="1">
      <alignment vertical="center"/>
      <protection/>
    </xf>
    <xf numFmtId="0" fontId="17" fillId="0" borderId="9" xfId="28" applyFont="1" applyBorder="1" applyAlignment="1">
      <alignment vertical="center"/>
      <protection/>
    </xf>
    <xf numFmtId="190" fontId="17" fillId="0" borderId="24" xfId="21" applyFont="1" applyBorder="1" applyAlignment="1">
      <alignment vertical="center"/>
    </xf>
    <xf numFmtId="2" fontId="17" fillId="0" borderId="11" xfId="28" applyNumberFormat="1" applyFont="1" applyBorder="1" applyAlignment="1">
      <alignment vertical="center"/>
      <protection/>
    </xf>
    <xf numFmtId="0" fontId="37" fillId="0" borderId="10" xfId="28" applyFont="1" applyBorder="1" applyAlignment="1">
      <alignment vertical="center"/>
      <protection/>
    </xf>
    <xf numFmtId="0" fontId="24" fillId="0" borderId="9" xfId="28" applyFont="1" applyBorder="1" applyAlignment="1">
      <alignment horizontal="center" vertical="center"/>
      <protection/>
    </xf>
    <xf numFmtId="0" fontId="24" fillId="0" borderId="51" xfId="28" applyFont="1" applyBorder="1" applyAlignment="1">
      <alignment horizontal="center" vertical="center"/>
      <protection/>
    </xf>
    <xf numFmtId="0" fontId="17" fillId="0" borderId="52" xfId="28" applyFont="1" applyBorder="1" applyAlignment="1">
      <alignment vertical="center"/>
      <protection/>
    </xf>
    <xf numFmtId="0" fontId="17" fillId="0" borderId="6" xfId="28" applyFont="1" applyBorder="1" applyAlignment="1">
      <alignment vertical="center"/>
      <protection/>
    </xf>
    <xf numFmtId="2" fontId="17" fillId="0" borderId="2" xfId="28" applyNumberFormat="1" applyFont="1" applyBorder="1" applyAlignment="1">
      <alignment horizontal="center" vertical="center"/>
      <protection/>
    </xf>
    <xf numFmtId="2" fontId="17" fillId="0" borderId="27" xfId="28" applyNumberFormat="1" applyFont="1" applyBorder="1" applyAlignment="1">
      <alignment horizontal="center" vertical="center"/>
      <protection/>
    </xf>
    <xf numFmtId="0" fontId="17" fillId="0" borderId="50" xfId="28" applyFont="1" applyBorder="1" applyAlignment="1">
      <alignment vertical="center"/>
      <protection/>
    </xf>
    <xf numFmtId="0" fontId="17" fillId="0" borderId="16" xfId="28" applyFont="1" applyBorder="1" applyAlignment="1">
      <alignment vertical="center"/>
      <protection/>
    </xf>
    <xf numFmtId="0" fontId="17" fillId="0" borderId="53" xfId="28" applyFont="1" applyBorder="1" applyAlignment="1">
      <alignment vertical="center"/>
      <protection/>
    </xf>
    <xf numFmtId="0" fontId="17" fillId="0" borderId="1" xfId="28" applyFont="1" applyBorder="1" applyAlignment="1">
      <alignment vertical="center"/>
      <protection/>
    </xf>
    <xf numFmtId="0" fontId="17" fillId="0" borderId="54" xfId="28" applyFont="1" applyBorder="1" applyAlignment="1">
      <alignment vertical="center"/>
      <protection/>
    </xf>
    <xf numFmtId="0" fontId="17" fillId="0" borderId="2" xfId="28" applyFont="1" applyBorder="1" applyAlignment="1">
      <alignment horizontal="center" vertical="center"/>
      <protection/>
    </xf>
    <xf numFmtId="0" fontId="17" fillId="0" borderId="2" xfId="28" applyFont="1" applyBorder="1" applyAlignment="1" quotePrefix="1">
      <alignment horizontal="center" vertical="center"/>
      <protection/>
    </xf>
    <xf numFmtId="0" fontId="17" fillId="0" borderId="23" xfId="28" applyFont="1" applyBorder="1" applyAlignment="1">
      <alignment vertical="center"/>
      <protection/>
    </xf>
    <xf numFmtId="43" fontId="17" fillId="0" borderId="17" xfId="28" applyNumberFormat="1" applyFont="1" applyBorder="1" applyAlignment="1">
      <alignment horizontal="center" vertical="center"/>
      <protection/>
    </xf>
    <xf numFmtId="213" fontId="17" fillId="0" borderId="17" xfId="28" applyNumberFormat="1" applyFont="1" applyBorder="1" applyAlignment="1">
      <alignment horizontal="center" vertical="center"/>
      <protection/>
    </xf>
    <xf numFmtId="0" fontId="24" fillId="0" borderId="24" xfId="28" applyFont="1" applyBorder="1" applyAlignment="1">
      <alignment vertical="center"/>
      <protection/>
    </xf>
    <xf numFmtId="0" fontId="45" fillId="0" borderId="12" xfId="28" applyFont="1" applyBorder="1" applyAlignment="1">
      <alignment vertical="center"/>
      <protection/>
    </xf>
    <xf numFmtId="0" fontId="25" fillId="0" borderId="13" xfId="28" applyFont="1" applyBorder="1" applyAlignment="1">
      <alignment vertical="center"/>
      <protection/>
    </xf>
    <xf numFmtId="0" fontId="17" fillId="3" borderId="17" xfId="28" applyFont="1" applyFill="1" applyBorder="1" applyAlignment="1">
      <alignment horizontal="center" vertical="center"/>
      <protection/>
    </xf>
    <xf numFmtId="0" fontId="17" fillId="3" borderId="18" xfId="28" applyFont="1" applyFill="1" applyBorder="1" applyAlignment="1">
      <alignment vertical="center"/>
      <protection/>
    </xf>
    <xf numFmtId="0" fontId="17" fillId="3" borderId="3" xfId="28" applyFont="1" applyFill="1" applyBorder="1" applyAlignment="1">
      <alignment horizontal="center" vertical="center"/>
      <protection/>
    </xf>
    <xf numFmtId="0" fontId="17" fillId="3" borderId="19" xfId="28" applyFont="1" applyFill="1" applyBorder="1" applyAlignment="1">
      <alignment horizontal="center" vertical="center"/>
      <protection/>
    </xf>
    <xf numFmtId="192" fontId="17" fillId="3" borderId="19" xfId="28" applyNumberFormat="1" applyFont="1" applyFill="1" applyBorder="1" applyAlignment="1">
      <alignment vertical="center"/>
      <protection/>
    </xf>
    <xf numFmtId="0" fontId="17" fillId="3" borderId="19" xfId="28" applyFont="1" applyFill="1" applyBorder="1" applyAlignment="1">
      <alignment vertical="center"/>
      <protection/>
    </xf>
    <xf numFmtId="0" fontId="40" fillId="0" borderId="0" xfId="28" applyFont="1" applyBorder="1" applyAlignment="1">
      <alignment vertical="center"/>
      <protection/>
    </xf>
    <xf numFmtId="0" fontId="17" fillId="3" borderId="25" xfId="28" applyFont="1" applyFill="1" applyBorder="1" applyAlignment="1">
      <alignment horizontal="center" vertical="center"/>
      <protection/>
    </xf>
    <xf numFmtId="192" fontId="17" fillId="3" borderId="25" xfId="28" applyNumberFormat="1" applyFont="1" applyFill="1" applyBorder="1" applyAlignment="1">
      <alignment vertical="center"/>
      <protection/>
    </xf>
    <xf numFmtId="0" fontId="17" fillId="3" borderId="25" xfId="28" applyFont="1" applyFill="1" applyBorder="1" applyAlignment="1">
      <alignment vertical="center"/>
      <protection/>
    </xf>
    <xf numFmtId="0" fontId="39" fillId="0" borderId="7" xfId="28" applyFont="1" applyBorder="1" applyAlignment="1">
      <alignment vertical="center"/>
      <protection/>
    </xf>
    <xf numFmtId="0" fontId="39" fillId="0" borderId="0" xfId="28" applyFont="1" applyBorder="1" applyAlignment="1">
      <alignment vertical="center"/>
      <protection/>
    </xf>
    <xf numFmtId="0" fontId="24" fillId="0" borderId="0" xfId="28" applyFont="1" applyBorder="1" applyAlignment="1">
      <alignment vertical="center"/>
      <protection/>
    </xf>
    <xf numFmtId="0" fontId="24" fillId="0" borderId="0" xfId="28" applyFont="1" applyBorder="1" applyAlignment="1">
      <alignment horizontal="center" vertical="center"/>
      <protection/>
    </xf>
    <xf numFmtId="43" fontId="24" fillId="0" borderId="0" xfId="23" applyFont="1" applyBorder="1" applyAlignment="1">
      <alignment vertical="center"/>
    </xf>
    <xf numFmtId="0" fontId="24" fillId="0" borderId="8" xfId="28" applyFont="1" applyBorder="1" applyAlignment="1">
      <alignment vertical="center"/>
      <protection/>
    </xf>
    <xf numFmtId="213" fontId="39" fillId="0" borderId="0" xfId="28" applyNumberFormat="1" applyFont="1" applyBorder="1" applyAlignment="1">
      <alignment vertical="center"/>
      <protection/>
    </xf>
    <xf numFmtId="0" fontId="39" fillId="0" borderId="8" xfId="28" applyFont="1" applyBorder="1" applyAlignment="1">
      <alignment vertical="center"/>
      <protection/>
    </xf>
    <xf numFmtId="0" fontId="42" fillId="0" borderId="0" xfId="28" applyFont="1" applyBorder="1" applyAlignment="1">
      <alignment horizontal="center" vertical="center"/>
      <protection/>
    </xf>
    <xf numFmtId="0" fontId="20" fillId="0" borderId="0" xfId="28" applyFont="1" applyBorder="1" applyAlignment="1">
      <alignment horizontal="center" vertical="center"/>
      <protection/>
    </xf>
    <xf numFmtId="0" fontId="17" fillId="0" borderId="0" xfId="28" applyFont="1" applyBorder="1" applyAlignment="1">
      <alignment vertical="top"/>
      <protection/>
    </xf>
    <xf numFmtId="0" fontId="17" fillId="0" borderId="17" xfId="28" applyFont="1" applyBorder="1" applyAlignment="1">
      <alignment vertical="center"/>
      <protection/>
    </xf>
    <xf numFmtId="0" fontId="17" fillId="0" borderId="17" xfId="28" applyFont="1" applyBorder="1" applyAlignment="1">
      <alignment horizontal="center" vertical="center"/>
      <protection/>
    </xf>
    <xf numFmtId="0" fontId="17" fillId="0" borderId="18" xfId="28" applyFont="1" applyBorder="1" applyAlignment="1">
      <alignment horizontal="center" vertical="center"/>
      <protection/>
    </xf>
    <xf numFmtId="0" fontId="17" fillId="0" borderId="3" xfId="28" applyFont="1" applyBorder="1" applyAlignment="1">
      <alignment horizontal="center" vertical="center"/>
      <protection/>
    </xf>
    <xf numFmtId="0" fontId="17" fillId="0" borderId="19" xfId="28" applyFont="1" applyBorder="1" applyAlignment="1">
      <alignment horizontal="center" vertical="center"/>
      <protection/>
    </xf>
    <xf numFmtId="0" fontId="31" fillId="0" borderId="0" xfId="28" applyFont="1" applyBorder="1" applyAlignment="1">
      <alignment horizontal="center" vertical="center"/>
      <protection/>
    </xf>
    <xf numFmtId="213" fontId="17" fillId="0" borderId="0" xfId="23" applyNumberFormat="1" applyFont="1" applyBorder="1" applyAlignment="1">
      <alignment vertical="center"/>
    </xf>
    <xf numFmtId="0" fontId="44" fillId="0" borderId="0" xfId="28" applyFont="1" applyBorder="1" applyAlignment="1">
      <alignment vertical="center"/>
      <protection/>
    </xf>
    <xf numFmtId="0" fontId="34" fillId="0" borderId="25" xfId="28" applyFont="1" applyBorder="1" applyAlignment="1">
      <alignment horizontal="center" vertical="center"/>
      <protection/>
    </xf>
    <xf numFmtId="0" fontId="34" fillId="0" borderId="37" xfId="28" applyFont="1" applyBorder="1" applyAlignment="1">
      <alignment horizontal="center" vertical="center"/>
      <protection/>
    </xf>
    <xf numFmtId="190" fontId="17" fillId="0" borderId="19" xfId="21" applyFont="1" applyBorder="1" applyAlignment="1">
      <alignment horizontal="center" vertical="center"/>
    </xf>
    <xf numFmtId="190" fontId="17" fillId="0" borderId="41" xfId="21" applyFont="1" applyBorder="1" applyAlignment="1">
      <alignment horizontal="center" vertical="center"/>
    </xf>
    <xf numFmtId="0" fontId="17" fillId="0" borderId="5" xfId="28" applyFont="1" applyBorder="1" applyAlignment="1">
      <alignment horizontal="center" vertical="center"/>
      <protection/>
    </xf>
    <xf numFmtId="43" fontId="17" fillId="0" borderId="0" xfId="23" applyNumberFormat="1" applyFont="1" applyBorder="1" applyAlignment="1">
      <alignment vertical="center"/>
    </xf>
    <xf numFmtId="190" fontId="17" fillId="0" borderId="2" xfId="21" applyNumberFormat="1" applyFont="1" applyBorder="1" applyAlignment="1">
      <alignment horizontal="center" vertical="center"/>
    </xf>
    <xf numFmtId="190" fontId="17" fillId="0" borderId="20" xfId="21" applyNumberFormat="1" applyFont="1" applyBorder="1" applyAlignment="1">
      <alignment horizontal="center" vertical="center"/>
    </xf>
    <xf numFmtId="190" fontId="17" fillId="0" borderId="27" xfId="21" applyNumberFormat="1" applyFont="1" applyBorder="1" applyAlignment="1">
      <alignment horizontal="center" vertical="center"/>
    </xf>
    <xf numFmtId="190" fontId="17" fillId="0" borderId="9" xfId="21" applyNumberFormat="1" applyFont="1" applyBorder="1" applyAlignment="1">
      <alignment horizontal="center" vertical="center"/>
    </xf>
    <xf numFmtId="190" fontId="17" fillId="0" borderId="31" xfId="21" applyNumberFormat="1" applyFont="1" applyBorder="1" applyAlignment="1">
      <alignment horizontal="center" vertical="center"/>
    </xf>
    <xf numFmtId="213" fontId="17" fillId="0" borderId="0" xfId="28" applyNumberFormat="1" applyFont="1" applyBorder="1" applyAlignment="1">
      <alignment vertical="center"/>
      <protection/>
    </xf>
    <xf numFmtId="0" fontId="17" fillId="4" borderId="25" xfId="28" applyFont="1" applyFill="1" applyBorder="1" applyAlignment="1">
      <alignment horizontal="center" vertical="center"/>
      <protection/>
    </xf>
    <xf numFmtId="2" fontId="17" fillId="0" borderId="0" xfId="28" applyNumberFormat="1" applyFont="1" applyFill="1" applyBorder="1" applyAlignment="1">
      <alignment vertical="center"/>
      <protection/>
    </xf>
    <xf numFmtId="0" fontId="28" fillId="0" borderId="0" xfId="28" applyFont="1" applyBorder="1" applyAlignment="1">
      <alignment horizontal="center" vertical="center"/>
      <protection/>
    </xf>
    <xf numFmtId="0" fontId="53" fillId="0" borderId="0" xfId="28" applyFont="1" applyBorder="1" applyAlignment="1">
      <alignment horizontal="center" vertical="center"/>
      <protection/>
    </xf>
    <xf numFmtId="213" fontId="54" fillId="0" borderId="0" xfId="23" applyNumberFormat="1" applyFont="1" applyBorder="1" applyAlignment="1">
      <alignment horizontal="right" vertical="center"/>
    </xf>
    <xf numFmtId="0" fontId="52" fillId="0" borderId="13" xfId="28" applyFont="1" applyBorder="1" applyAlignment="1">
      <alignment horizontal="right" vertical="center"/>
      <protection/>
    </xf>
    <xf numFmtId="0" fontId="42" fillId="0" borderId="13" xfId="28" applyFont="1" applyBorder="1" applyAlignment="1">
      <alignment horizontal="center" vertical="center"/>
      <protection/>
    </xf>
    <xf numFmtId="0" fontId="52" fillId="0" borderId="13" xfId="28" applyFont="1" applyBorder="1" applyAlignment="1">
      <alignment horizontal="center" vertical="center"/>
      <protection/>
    </xf>
    <xf numFmtId="192" fontId="17" fillId="0" borderId="0" xfId="23" applyNumberFormat="1" applyFont="1" applyBorder="1" applyAlignment="1">
      <alignment vertical="center"/>
    </xf>
    <xf numFmtId="2" fontId="17" fillId="0" borderId="0" xfId="21" applyNumberFormat="1" applyFont="1" applyBorder="1" applyAlignment="1">
      <alignment vertical="center"/>
    </xf>
    <xf numFmtId="0" fontId="0" fillId="0" borderId="0" xfId="28" applyFont="1" applyBorder="1" applyAlignment="1">
      <alignment vertical="center"/>
      <protection/>
    </xf>
    <xf numFmtId="0" fontId="0" fillId="0" borderId="0" xfId="28" applyFont="1" applyBorder="1" applyAlignment="1">
      <alignment horizontal="center" vertical="center"/>
      <protection/>
    </xf>
    <xf numFmtId="43" fontId="56" fillId="0" borderId="0" xfId="23" applyFont="1" applyBorder="1" applyAlignment="1">
      <alignment horizontal="right" vertical="center"/>
    </xf>
    <xf numFmtId="2" fontId="56" fillId="0" borderId="28" xfId="28" applyNumberFormat="1" applyFont="1" applyBorder="1" applyAlignment="1">
      <alignment horizontal="center" vertical="center"/>
      <protection/>
    </xf>
    <xf numFmtId="2" fontId="56" fillId="0" borderId="25" xfId="28" applyNumberFormat="1" applyFont="1" applyBorder="1" applyAlignment="1">
      <alignment horizontal="center" vertical="center"/>
      <protection/>
    </xf>
    <xf numFmtId="203" fontId="56" fillId="0" borderId="0" xfId="23" applyNumberFormat="1" applyFont="1" applyBorder="1" applyAlignment="1">
      <alignment vertical="center"/>
    </xf>
    <xf numFmtId="195" fontId="56" fillId="0" borderId="19" xfId="21" applyNumberFormat="1" applyFont="1" applyBorder="1" applyAlignment="1">
      <alignment horizontal="center" vertical="center"/>
    </xf>
    <xf numFmtId="194" fontId="56" fillId="0" borderId="25" xfId="21" applyNumberFormat="1" applyFont="1" applyBorder="1" applyAlignment="1">
      <alignment horizontal="center" vertical="center"/>
    </xf>
    <xf numFmtId="195" fontId="56" fillId="0" borderId="25" xfId="21" applyNumberFormat="1" applyFont="1" applyBorder="1" applyAlignment="1">
      <alignment horizontal="center" vertical="center"/>
    </xf>
    <xf numFmtId="190" fontId="56" fillId="0" borderId="41" xfId="21" applyFont="1" applyBorder="1" applyAlignment="1">
      <alignment horizontal="center" vertical="center"/>
    </xf>
    <xf numFmtId="0" fontId="56" fillId="0" borderId="13" xfId="28" applyFont="1" applyBorder="1" applyAlignment="1">
      <alignment horizontal="right" vertical="center"/>
      <protection/>
    </xf>
    <xf numFmtId="191" fontId="56" fillId="0" borderId="0" xfId="28" applyNumberFormat="1" applyFont="1" applyBorder="1" applyAlignment="1">
      <alignment horizontal="right" vertical="center"/>
      <protection/>
    </xf>
    <xf numFmtId="2" fontId="56" fillId="0" borderId="0" xfId="28" applyNumberFormat="1" applyFont="1" applyBorder="1" applyAlignment="1">
      <alignment vertical="center"/>
      <protection/>
    </xf>
    <xf numFmtId="0" fontId="56" fillId="0" borderId="0" xfId="28" applyFont="1" applyBorder="1" applyAlignment="1">
      <alignment horizontal="center" vertical="center"/>
      <protection/>
    </xf>
    <xf numFmtId="43" fontId="56" fillId="0" borderId="0" xfId="23" applyFont="1" applyBorder="1" applyAlignment="1">
      <alignment vertical="center"/>
    </xf>
    <xf numFmtId="0" fontId="17" fillId="3" borderId="27" xfId="28" applyFont="1" applyFill="1" applyBorder="1" applyAlignment="1">
      <alignment horizontal="center" vertical="center"/>
      <protection/>
    </xf>
    <xf numFmtId="0" fontId="17" fillId="3" borderId="15" xfId="28" applyFont="1" applyFill="1" applyBorder="1" applyAlignment="1">
      <alignment horizontal="center" vertical="center"/>
      <protection/>
    </xf>
    <xf numFmtId="192" fontId="17" fillId="3" borderId="28" xfId="28" applyNumberFormat="1" applyFont="1" applyFill="1" applyBorder="1" applyAlignment="1">
      <alignment horizontal="center" vertical="center"/>
      <protection/>
    </xf>
    <xf numFmtId="0" fontId="17" fillId="0" borderId="0" xfId="28" applyFont="1" applyFill="1" applyBorder="1" applyAlignment="1">
      <alignment horizontal="center" vertical="center"/>
      <protection/>
    </xf>
    <xf numFmtId="192" fontId="17" fillId="0" borderId="0" xfId="28" applyNumberFormat="1" applyFont="1" applyFill="1" applyBorder="1" applyAlignment="1">
      <alignment horizontal="center" vertical="center"/>
      <protection/>
    </xf>
    <xf numFmtId="0" fontId="17" fillId="0" borderId="0" xfId="28" applyFont="1" applyFill="1" applyBorder="1" applyAlignment="1">
      <alignment vertical="center"/>
      <protection/>
    </xf>
    <xf numFmtId="190" fontId="17" fillId="3" borderId="25" xfId="21" applyFont="1" applyFill="1" applyBorder="1" applyAlignment="1">
      <alignment vertical="center"/>
    </xf>
    <xf numFmtId="0" fontId="17" fillId="3" borderId="28" xfId="28" applyFont="1" applyFill="1" applyBorder="1" applyAlignment="1">
      <alignment horizontal="center" vertical="center"/>
      <protection/>
    </xf>
    <xf numFmtId="43" fontId="56" fillId="0" borderId="0" xfId="23" applyFont="1" applyBorder="1" applyAlignment="1">
      <alignment horizontal="center" vertical="center"/>
    </xf>
    <xf numFmtId="0" fontId="19" fillId="0" borderId="12" xfId="0" applyFont="1" applyBorder="1" applyAlignment="1">
      <alignment/>
    </xf>
    <xf numFmtId="0" fontId="13" fillId="0" borderId="13" xfId="0" applyFont="1" applyBorder="1" applyAlignment="1">
      <alignment horizontal="centerContinuous"/>
    </xf>
    <xf numFmtId="0" fontId="13" fillId="0" borderId="0" xfId="0" applyFont="1" applyBorder="1" applyAlignment="1">
      <alignment/>
    </xf>
    <xf numFmtId="0" fontId="13" fillId="0" borderId="0" xfId="0" applyFont="1" applyBorder="1" applyAlignment="1">
      <alignment horizontal="centerContinuous"/>
    </xf>
    <xf numFmtId="0" fontId="13" fillId="0" borderId="0" xfId="0" applyFont="1" applyBorder="1" applyAlignment="1">
      <alignment horizontal="left"/>
    </xf>
    <xf numFmtId="0" fontId="13" fillId="0" borderId="0" xfId="0" applyFont="1" applyBorder="1" applyAlignment="1">
      <alignment/>
    </xf>
    <xf numFmtId="0" fontId="13" fillId="0" borderId="0" xfId="0" applyFont="1" applyBorder="1" applyAlignment="1">
      <alignment horizontal="center"/>
    </xf>
    <xf numFmtId="0" fontId="13" fillId="0" borderId="0" xfId="0" applyFont="1" applyBorder="1" applyAlignment="1" quotePrefix="1">
      <alignment/>
    </xf>
    <xf numFmtId="0" fontId="0" fillId="0" borderId="55" xfId="0" applyBorder="1" applyAlignment="1">
      <alignment/>
    </xf>
    <xf numFmtId="0" fontId="7" fillId="0" borderId="0" xfId="0" applyFont="1" applyBorder="1" applyAlignment="1">
      <alignment/>
    </xf>
    <xf numFmtId="0" fontId="13" fillId="0" borderId="0" xfId="0" applyFont="1" applyAlignment="1">
      <alignment vertical="center"/>
    </xf>
    <xf numFmtId="0" fontId="11" fillId="0" borderId="0" xfId="0" applyFont="1" applyBorder="1" applyAlignment="1">
      <alignment/>
    </xf>
    <xf numFmtId="0" fontId="0" fillId="0" borderId="0" xfId="0" applyBorder="1" applyAlignment="1" quotePrefix="1">
      <alignment/>
    </xf>
    <xf numFmtId="0" fontId="5" fillId="0" borderId="0" xfId="0" applyFont="1" applyBorder="1" applyAlignment="1">
      <alignment horizontal="centerContinuous"/>
    </xf>
    <xf numFmtId="0" fontId="13" fillId="0" borderId="0" xfId="0" applyFont="1" applyAlignment="1">
      <alignment horizontal="left" vertical="center"/>
    </xf>
    <xf numFmtId="0" fontId="0" fillId="0" borderId="0" xfId="0" applyBorder="1" applyAlignment="1">
      <alignment horizontal="centerContinuous" vertical="center"/>
    </xf>
    <xf numFmtId="0" fontId="11" fillId="0" borderId="0" xfId="0" applyFont="1" applyBorder="1" applyAlignment="1">
      <alignment horizontal="centerContinuous" vertical="center"/>
    </xf>
    <xf numFmtId="2" fontId="7" fillId="0" borderId="0" xfId="0" applyNumberFormat="1" applyFont="1" applyBorder="1" applyAlignment="1">
      <alignment horizontal="centerContinuous" vertical="center"/>
    </xf>
    <xf numFmtId="0" fontId="7" fillId="0" borderId="0" xfId="0" applyFont="1" applyBorder="1" applyAlignment="1">
      <alignment horizontal="centerContinuous" vertical="center"/>
    </xf>
    <xf numFmtId="0" fontId="0" fillId="0" borderId="0" xfId="0" applyBorder="1" applyAlignment="1" quotePrefix="1">
      <alignment horizontal="left"/>
    </xf>
    <xf numFmtId="2" fontId="7" fillId="0" borderId="0" xfId="0" applyNumberFormat="1" applyFont="1" applyBorder="1" applyAlignment="1">
      <alignment horizontal="centerContinuous" vertical="center"/>
    </xf>
    <xf numFmtId="2" fontId="7" fillId="0" borderId="5" xfId="0" applyNumberFormat="1" applyFont="1" applyBorder="1" applyAlignment="1">
      <alignment horizontal="centerContinuous" vertical="center"/>
    </xf>
    <xf numFmtId="0" fontId="7" fillId="0" borderId="0" xfId="0" applyFont="1" applyBorder="1" applyAlignment="1">
      <alignment vertical="center"/>
    </xf>
    <xf numFmtId="0" fontId="7" fillId="0" borderId="0" xfId="0" applyFont="1" applyBorder="1" applyAlignment="1" quotePrefix="1">
      <alignment vertical="center"/>
    </xf>
    <xf numFmtId="0" fontId="58" fillId="0" borderId="0" xfId="0" applyFont="1" applyBorder="1" applyAlignment="1">
      <alignment horizontal="center" vertical="center"/>
    </xf>
    <xf numFmtId="0" fontId="11" fillId="0" borderId="13" xfId="0" applyFont="1" applyBorder="1" applyAlignment="1">
      <alignment/>
    </xf>
    <xf numFmtId="0" fontId="1" fillId="0" borderId="12" xfId="0" applyFont="1" applyBorder="1" applyAlignment="1" quotePrefix="1">
      <alignment horizontal="left"/>
    </xf>
    <xf numFmtId="0" fontId="11" fillId="0" borderId="13" xfId="0" applyFont="1" applyBorder="1" applyAlignment="1">
      <alignment/>
    </xf>
    <xf numFmtId="0" fontId="0" fillId="0" borderId="10" xfId="0" applyFill="1" applyBorder="1" applyAlignment="1">
      <alignment/>
    </xf>
    <xf numFmtId="0" fontId="11" fillId="0" borderId="44" xfId="0" applyFont="1" applyBorder="1" applyAlignment="1">
      <alignment horizontal="centerContinuous" vertical="center"/>
    </xf>
    <xf numFmtId="0" fontId="1" fillId="0" borderId="56" xfId="0" applyFont="1" applyBorder="1" applyAlignment="1" quotePrefix="1">
      <alignment horizontal="centerContinuous" vertical="center"/>
    </xf>
    <xf numFmtId="0" fontId="11" fillId="0" borderId="57" xfId="0" applyFont="1" applyBorder="1" applyAlignment="1">
      <alignment horizontal="centerContinuous" vertical="center"/>
    </xf>
    <xf numFmtId="0" fontId="11" fillId="0" borderId="57" xfId="0" applyFont="1" applyBorder="1" applyAlignment="1">
      <alignment horizontal="centerContinuous" vertical="center"/>
    </xf>
    <xf numFmtId="0" fontId="1" fillId="0" borderId="56" xfId="0" applyFont="1" applyBorder="1" applyAlignment="1">
      <alignment horizontal="centerContinuous" vertical="center"/>
    </xf>
    <xf numFmtId="0" fontId="0" fillId="0" borderId="56" xfId="0" applyBorder="1" applyAlignment="1">
      <alignment horizontal="centerContinuous"/>
    </xf>
    <xf numFmtId="0" fontId="0" fillId="0" borderId="58" xfId="0" applyBorder="1" applyAlignment="1">
      <alignment horizontal="centerContinuous"/>
    </xf>
    <xf numFmtId="0" fontId="1" fillId="0" borderId="23" xfId="0" applyFont="1" applyBorder="1" applyAlignment="1">
      <alignment horizontal="centerContinuous"/>
    </xf>
    <xf numFmtId="0" fontId="1" fillId="0" borderId="4" xfId="0" applyFont="1" applyBorder="1" applyAlignment="1">
      <alignment horizontal="centerContinuous"/>
    </xf>
    <xf numFmtId="0" fontId="0" fillId="0" borderId="3" xfId="0" applyBorder="1" applyAlignment="1">
      <alignment/>
    </xf>
    <xf numFmtId="0" fontId="1" fillId="0" borderId="3" xfId="0" applyFont="1" applyBorder="1" applyAlignment="1" quotePrefix="1">
      <alignment horizontal="left"/>
    </xf>
    <xf numFmtId="0" fontId="1" fillId="0" borderId="3" xfId="0" applyFont="1" applyBorder="1" applyAlignment="1">
      <alignment horizontal="centerContinuous"/>
    </xf>
    <xf numFmtId="0" fontId="0" fillId="0" borderId="26" xfId="0" applyBorder="1" applyAlignment="1">
      <alignment horizontal="centerContinuous"/>
    </xf>
    <xf numFmtId="0" fontId="0" fillId="5" borderId="0" xfId="0" applyFill="1" applyBorder="1" applyAlignment="1">
      <alignment/>
    </xf>
    <xf numFmtId="2" fontId="11" fillId="0" borderId="21" xfId="0" applyNumberFormat="1" applyFont="1" applyBorder="1" applyAlignment="1">
      <alignment horizontal="centerContinuous"/>
    </xf>
    <xf numFmtId="0" fontId="11" fillId="0" borderId="22" xfId="0" applyFont="1" applyBorder="1" applyAlignment="1">
      <alignment horizontal="centerContinuous"/>
    </xf>
    <xf numFmtId="0" fontId="11" fillId="0" borderId="22" xfId="0" applyFont="1" applyBorder="1" applyAlignment="1">
      <alignment/>
    </xf>
    <xf numFmtId="0" fontId="11" fillId="0" borderId="15" xfId="0" applyFont="1" applyBorder="1" applyAlignment="1">
      <alignment/>
    </xf>
    <xf numFmtId="0" fontId="1" fillId="0" borderId="4" xfId="0" applyFont="1" applyBorder="1" applyAlignment="1" quotePrefix="1">
      <alignment horizontal="left"/>
    </xf>
    <xf numFmtId="0" fontId="11" fillId="0" borderId="23" xfId="0" applyFont="1" applyBorder="1" applyAlignment="1">
      <alignment horizontal="centerContinuous"/>
    </xf>
    <xf numFmtId="0" fontId="11" fillId="0" borderId="4" xfId="0" applyFont="1" applyBorder="1" applyAlignment="1">
      <alignment horizontal="centerContinuous"/>
    </xf>
    <xf numFmtId="0" fontId="11" fillId="0" borderId="0" xfId="0" applyFont="1" applyAlignment="1">
      <alignment/>
    </xf>
    <xf numFmtId="0" fontId="1" fillId="0" borderId="10" xfId="0" applyFont="1" applyBorder="1" applyAlignment="1">
      <alignment horizontal="centerContinuous"/>
    </xf>
    <xf numFmtId="0" fontId="1" fillId="0" borderId="5" xfId="0" applyFont="1" applyBorder="1" applyAlignment="1">
      <alignment horizontal="centerContinuous"/>
    </xf>
    <xf numFmtId="0" fontId="1" fillId="0" borderId="5" xfId="0" applyFont="1" applyBorder="1" applyAlignment="1" quotePrefix="1">
      <alignment horizontal="left"/>
    </xf>
    <xf numFmtId="0" fontId="7" fillId="0" borderId="13" xfId="0" applyFont="1" applyBorder="1" applyAlignment="1">
      <alignment vertical="center"/>
    </xf>
    <xf numFmtId="0" fontId="7" fillId="0" borderId="13" xfId="0" applyFont="1" applyBorder="1" applyAlignment="1" quotePrefix="1">
      <alignment vertical="center"/>
    </xf>
    <xf numFmtId="0" fontId="11" fillId="0" borderId="13" xfId="0" applyFont="1" applyBorder="1" applyAlignment="1" quotePrefix="1">
      <alignment vertical="top"/>
    </xf>
    <xf numFmtId="0" fontId="1" fillId="0" borderId="13" xfId="0" applyFont="1" applyBorder="1" applyAlignment="1" quotePrefix="1">
      <alignment/>
    </xf>
    <xf numFmtId="0" fontId="0" fillId="0" borderId="13" xfId="0" applyBorder="1" applyAlignment="1">
      <alignment/>
    </xf>
    <xf numFmtId="0" fontId="0" fillId="0" borderId="14" xfId="0" applyBorder="1" applyAlignment="1">
      <alignment/>
    </xf>
    <xf numFmtId="0" fontId="0" fillId="0" borderId="8" xfId="0" applyBorder="1" applyAlignment="1">
      <alignment/>
    </xf>
    <xf numFmtId="0" fontId="8" fillId="0" borderId="8" xfId="0" applyFont="1" applyBorder="1" applyAlignment="1">
      <alignment/>
    </xf>
    <xf numFmtId="0" fontId="8" fillId="0" borderId="5" xfId="0" applyFont="1" applyBorder="1" applyAlignment="1">
      <alignment/>
    </xf>
    <xf numFmtId="0" fontId="11" fillId="0" borderId="15" xfId="0" applyFont="1" applyBorder="1" applyAlignment="1">
      <alignment/>
    </xf>
    <xf numFmtId="0" fontId="0" fillId="0" borderId="50" xfId="0" applyBorder="1" applyAlignment="1">
      <alignment/>
    </xf>
    <xf numFmtId="0" fontId="11" fillId="0" borderId="7" xfId="0" applyFont="1" applyBorder="1" applyAlignment="1">
      <alignment horizontal="centerContinuous"/>
    </xf>
    <xf numFmtId="0" fontId="11" fillId="0" borderId="0" xfId="0" applyFont="1" applyBorder="1" applyAlignment="1">
      <alignment/>
    </xf>
    <xf numFmtId="0" fontId="1" fillId="0" borderId="12" xfId="0" applyFont="1" applyBorder="1" applyAlignment="1">
      <alignment horizontal="left"/>
    </xf>
    <xf numFmtId="0" fontId="1" fillId="0" borderId="13" xfId="0" applyFont="1" applyBorder="1" applyAlignment="1">
      <alignment horizontal="left"/>
    </xf>
    <xf numFmtId="0" fontId="0" fillId="0" borderId="13" xfId="0" applyFont="1" applyBorder="1" applyAlignment="1">
      <alignment horizontal="right"/>
    </xf>
    <xf numFmtId="0" fontId="1" fillId="0" borderId="13" xfId="0" applyFont="1" applyBorder="1" applyAlignment="1">
      <alignment horizontal="right"/>
    </xf>
    <xf numFmtId="195" fontId="1" fillId="0" borderId="13" xfId="21" applyNumberFormat="1" applyFont="1" applyBorder="1" applyAlignment="1">
      <alignment/>
    </xf>
    <xf numFmtId="0" fontId="1" fillId="0" borderId="13" xfId="0" applyFont="1" applyBorder="1" applyAlignment="1">
      <alignment/>
    </xf>
    <xf numFmtId="0" fontId="1" fillId="0" borderId="10" xfId="0" applyFont="1" applyBorder="1" applyAlignment="1">
      <alignment/>
    </xf>
    <xf numFmtId="0" fontId="0" fillId="0" borderId="5" xfId="0" applyFont="1" applyBorder="1" applyAlignment="1">
      <alignment horizontal="right"/>
    </xf>
    <xf numFmtId="0" fontId="1" fillId="0" borderId="5" xfId="0" applyFont="1" applyBorder="1" applyAlignment="1">
      <alignment horizontal="right"/>
    </xf>
    <xf numFmtId="195" fontId="1" fillId="0" borderId="5" xfId="21" applyNumberFormat="1" applyFont="1" applyBorder="1" applyAlignment="1">
      <alignment/>
    </xf>
    <xf numFmtId="0" fontId="56" fillId="0" borderId="25" xfId="21" applyNumberFormat="1" applyFont="1" applyBorder="1" applyAlignment="1">
      <alignment horizontal="center" vertical="center"/>
    </xf>
    <xf numFmtId="194" fontId="56" fillId="0" borderId="19" xfId="21" applyNumberFormat="1" applyFont="1" applyBorder="1" applyAlignment="1">
      <alignment horizontal="center" vertical="center"/>
    </xf>
    <xf numFmtId="194" fontId="56" fillId="0" borderId="41" xfId="21" applyNumberFormat="1" applyFont="1" applyBorder="1" applyAlignment="1">
      <alignment horizontal="center" vertical="center"/>
    </xf>
    <xf numFmtId="2" fontId="56" fillId="0" borderId="25" xfId="21" applyNumberFormat="1" applyFont="1" applyBorder="1" applyAlignment="1">
      <alignment horizontal="center" vertical="center"/>
    </xf>
    <xf numFmtId="2" fontId="56" fillId="0" borderId="37" xfId="21" applyNumberFormat="1" applyFont="1" applyBorder="1" applyAlignment="1">
      <alignment horizontal="center" vertical="center"/>
    </xf>
    <xf numFmtId="14" fontId="0" fillId="0" borderId="4" xfId="0" applyNumberFormat="1" applyFont="1" applyBorder="1" applyAlignment="1">
      <alignment/>
    </xf>
    <xf numFmtId="0" fontId="0" fillId="0" borderId="4" xfId="0" applyFont="1" applyBorder="1" applyAlignment="1">
      <alignment/>
    </xf>
    <xf numFmtId="0" fontId="57" fillId="0" borderId="51" xfId="28" applyFont="1" applyBorder="1" applyAlignment="1">
      <alignment horizontal="center" vertical="center"/>
      <protection/>
    </xf>
    <xf numFmtId="0" fontId="27" fillId="0" borderId="52" xfId="28" applyFont="1" applyBorder="1" applyAlignment="1">
      <alignment vertical="center"/>
      <protection/>
    </xf>
    <xf numFmtId="0" fontId="57" fillId="0" borderId="8" xfId="28" applyFont="1" applyBorder="1" applyAlignment="1">
      <alignment vertical="center"/>
      <protection/>
    </xf>
    <xf numFmtId="222" fontId="54" fillId="0" borderId="0" xfId="23" applyNumberFormat="1" applyFont="1" applyBorder="1" applyAlignment="1">
      <alignment horizontal="right" vertical="center"/>
    </xf>
    <xf numFmtId="0" fontId="23" fillId="0" borderId="0" xfId="28" applyFont="1" applyBorder="1" applyAlignment="1">
      <alignment horizontal="left" vertical="center"/>
      <protection/>
    </xf>
    <xf numFmtId="0" fontId="47" fillId="0" borderId="59" xfId="28" applyFont="1" applyBorder="1" applyAlignment="1">
      <alignment horizontal="center" vertical="center"/>
      <protection/>
    </xf>
    <xf numFmtId="0" fontId="47" fillId="0" borderId="47" xfId="28" applyFont="1" applyBorder="1" applyAlignment="1">
      <alignment horizontal="center" vertical="center"/>
      <protection/>
    </xf>
    <xf numFmtId="0" fontId="47" fillId="0" borderId="60" xfId="28" applyFont="1" applyBorder="1" applyAlignment="1">
      <alignment horizontal="center" vertical="center"/>
      <protection/>
    </xf>
    <xf numFmtId="193" fontId="17" fillId="3" borderId="0" xfId="23" applyNumberFormat="1" applyFont="1" applyFill="1" applyBorder="1" applyAlignment="1">
      <alignment vertical="center"/>
    </xf>
    <xf numFmtId="43" fontId="17" fillId="3" borderId="0" xfId="23" applyFont="1" applyFill="1" applyBorder="1" applyAlignment="1">
      <alignment vertical="center"/>
    </xf>
    <xf numFmtId="203" fontId="17" fillId="0" borderId="0" xfId="23" applyNumberFormat="1" applyFont="1" applyBorder="1" applyAlignment="1">
      <alignment vertical="center"/>
    </xf>
    <xf numFmtId="195" fontId="17" fillId="0" borderId="0" xfId="21" applyNumberFormat="1" applyFont="1" applyBorder="1" applyAlignment="1">
      <alignment horizontal="left" vertical="center"/>
    </xf>
    <xf numFmtId="195" fontId="17" fillId="0" borderId="0" xfId="21" applyNumberFormat="1" applyFont="1" applyBorder="1" applyAlignment="1">
      <alignment vertical="center"/>
    </xf>
    <xf numFmtId="195" fontId="17" fillId="0" borderId="13" xfId="21" applyNumberFormat="1" applyFont="1" applyBorder="1" applyAlignment="1">
      <alignment vertical="center"/>
    </xf>
    <xf numFmtId="203" fontId="17" fillId="0" borderId="0" xfId="28" applyNumberFormat="1" applyFont="1" applyBorder="1" applyAlignment="1">
      <alignment vertical="center"/>
      <protection/>
    </xf>
    <xf numFmtId="0" fontId="4" fillId="0" borderId="0" xfId="0" applyFont="1" applyAlignment="1">
      <alignment horizontal="center"/>
    </xf>
    <xf numFmtId="0" fontId="8" fillId="0" borderId="12" xfId="0" applyFont="1" applyBorder="1" applyAlignment="1">
      <alignment horizontal="center"/>
    </xf>
    <xf numFmtId="0" fontId="8" fillId="0" borderId="14" xfId="0" applyFont="1" applyBorder="1" applyAlignment="1">
      <alignment horizontal="center"/>
    </xf>
    <xf numFmtId="0" fontId="0" fillId="0" borderId="17" xfId="20" applyBorder="1" applyAlignment="1">
      <alignment horizontal="center" vertical="center"/>
      <protection/>
    </xf>
    <xf numFmtId="0" fontId="0" fillId="0" borderId="54" xfId="20" applyBorder="1" applyAlignment="1">
      <alignment horizontal="center" vertical="center"/>
      <protection/>
    </xf>
    <xf numFmtId="0" fontId="0" fillId="0" borderId="3" xfId="20" applyBorder="1" applyAlignment="1">
      <alignment horizontal="center" vertical="center"/>
      <protection/>
    </xf>
    <xf numFmtId="0" fontId="0" fillId="0" borderId="16" xfId="20" applyBorder="1" applyAlignment="1">
      <alignment horizontal="center" vertical="center"/>
      <protection/>
    </xf>
    <xf numFmtId="0" fontId="8" fillId="0" borderId="0" xfId="20" applyFont="1" applyBorder="1" applyAlignment="1">
      <alignment horizontal="center"/>
      <protection/>
    </xf>
    <xf numFmtId="0" fontId="0" fillId="0" borderId="0" xfId="0" applyAlignment="1">
      <alignment horizont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0" fillId="0" borderId="18" xfId="20" applyFont="1" applyBorder="1" applyAlignment="1">
      <alignment horizontal="center" vertical="center"/>
      <protection/>
    </xf>
    <xf numFmtId="0" fontId="0" fillId="0" borderId="19" xfId="20" applyFont="1" applyBorder="1" applyAlignment="1">
      <alignment horizontal="center" vertical="center"/>
      <protection/>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24" fillId="0" borderId="45" xfId="28" applyFont="1" applyBorder="1" applyAlignment="1">
      <alignment horizontal="center" vertical="center"/>
      <protection/>
    </xf>
    <xf numFmtId="0" fontId="24" fillId="0" borderId="56" xfId="28" applyFont="1" applyBorder="1" applyAlignment="1">
      <alignment horizontal="center" vertical="center"/>
      <protection/>
    </xf>
    <xf numFmtId="0" fontId="24" fillId="0" borderId="58" xfId="28" applyFont="1" applyBorder="1" applyAlignment="1">
      <alignment horizontal="center" vertical="center"/>
      <protection/>
    </xf>
    <xf numFmtId="0" fontId="24" fillId="0" borderId="59" xfId="28" applyFont="1" applyBorder="1" applyAlignment="1">
      <alignment horizontal="center" vertical="center"/>
      <protection/>
    </xf>
    <xf numFmtId="0" fontId="24" fillId="0" borderId="22" xfId="28" applyFont="1" applyBorder="1" applyAlignment="1">
      <alignment horizontal="center" vertical="center"/>
      <protection/>
    </xf>
    <xf numFmtId="0" fontId="24" fillId="0" borderId="60" xfId="28" applyFont="1" applyBorder="1" applyAlignment="1">
      <alignment horizontal="center" vertical="center"/>
      <protection/>
    </xf>
    <xf numFmtId="43" fontId="17" fillId="0" borderId="0" xfId="28" applyNumberFormat="1" applyFont="1" applyBorder="1" applyAlignment="1">
      <alignment horizontal="center" vertical="center"/>
      <protection/>
    </xf>
    <xf numFmtId="0" fontId="17" fillId="0" borderId="0" xfId="28" applyFont="1" applyBorder="1" applyAlignment="1">
      <alignment horizontal="center" vertical="center"/>
      <protection/>
    </xf>
    <xf numFmtId="0" fontId="47" fillId="0" borderId="29" xfId="28" applyFont="1" applyBorder="1" applyAlignment="1">
      <alignment horizontal="center" vertical="center"/>
      <protection/>
    </xf>
    <xf numFmtId="0" fontId="47" fillId="0" borderId="20" xfId="28" applyFont="1" applyBorder="1" applyAlignment="1">
      <alignment horizontal="center" vertical="center"/>
      <protection/>
    </xf>
    <xf numFmtId="0" fontId="47" fillId="0" borderId="12" xfId="28" applyFont="1" applyBorder="1" applyAlignment="1">
      <alignment horizontal="center" vertical="center"/>
      <protection/>
    </xf>
    <xf numFmtId="0" fontId="47" fillId="0" borderId="61" xfId="28" applyFont="1" applyBorder="1" applyAlignment="1">
      <alignment horizontal="center" vertical="center"/>
      <protection/>
    </xf>
    <xf numFmtId="0" fontId="47" fillId="0" borderId="7" xfId="28" applyFont="1" applyBorder="1" applyAlignment="1">
      <alignment horizontal="center" vertical="center"/>
      <protection/>
    </xf>
    <xf numFmtId="0" fontId="47" fillId="0" borderId="6" xfId="28" applyFont="1" applyBorder="1" applyAlignment="1">
      <alignment horizontal="center" vertical="center"/>
      <protection/>
    </xf>
    <xf numFmtId="0" fontId="47" fillId="0" borderId="10" xfId="28" applyFont="1" applyBorder="1" applyAlignment="1">
      <alignment horizontal="center" vertical="center"/>
      <protection/>
    </xf>
    <xf numFmtId="0" fontId="47" fillId="0" borderId="62" xfId="28" applyFont="1" applyBorder="1" applyAlignment="1">
      <alignment horizontal="center" vertical="center"/>
      <protection/>
    </xf>
    <xf numFmtId="0" fontId="24" fillId="0" borderId="13" xfId="28" applyFont="1" applyBorder="1" applyAlignment="1">
      <alignment horizontal="center" vertical="center"/>
      <protection/>
    </xf>
    <xf numFmtId="0" fontId="24" fillId="0" borderId="61" xfId="28" applyFont="1" applyBorder="1" applyAlignment="1">
      <alignment horizontal="center" vertical="center"/>
      <protection/>
    </xf>
    <xf numFmtId="0" fontId="24" fillId="0" borderId="5" xfId="28" applyFont="1" applyBorder="1" applyAlignment="1">
      <alignment horizontal="center" vertical="center"/>
      <protection/>
    </xf>
    <xf numFmtId="0" fontId="24" fillId="0" borderId="62" xfId="28" applyFont="1" applyBorder="1" applyAlignment="1">
      <alignment horizontal="center" vertical="center"/>
      <protection/>
    </xf>
    <xf numFmtId="0" fontId="24" fillId="0" borderId="57" xfId="28" applyFont="1" applyBorder="1" applyAlignment="1">
      <alignment horizontal="center" vertical="center"/>
      <protection/>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5" xfId="0" applyFont="1" applyBorder="1" applyAlignment="1">
      <alignment horizontal="center" vertical="center"/>
    </xf>
    <xf numFmtId="0" fontId="11" fillId="0" borderId="11" xfId="0" applyFont="1" applyBorder="1" applyAlignment="1">
      <alignment horizontal="center" vertical="center"/>
    </xf>
    <xf numFmtId="0" fontId="13" fillId="0" borderId="0" xfId="0" applyFont="1" applyBorder="1" applyAlignment="1">
      <alignment horizontal="center"/>
    </xf>
    <xf numFmtId="0" fontId="13" fillId="0" borderId="0" xfId="0" applyFont="1" applyBorder="1" applyAlignment="1" quotePrefix="1">
      <alignment horizontal="center"/>
    </xf>
    <xf numFmtId="0" fontId="63" fillId="0" borderId="0" xfId="28" applyFont="1" applyFill="1" applyBorder="1" applyAlignment="1">
      <alignment vertical="center"/>
      <protection/>
    </xf>
    <xf numFmtId="0" fontId="17" fillId="0" borderId="5" xfId="28" applyFont="1" applyBorder="1" applyAlignment="1">
      <alignment horizontal="left" vertical="center"/>
      <protection/>
    </xf>
    <xf numFmtId="195" fontId="17" fillId="0" borderId="5" xfId="21" applyNumberFormat="1" applyFont="1" applyBorder="1" applyAlignment="1">
      <alignment vertical="center"/>
    </xf>
    <xf numFmtId="0" fontId="57" fillId="0" borderId="8" xfId="28" applyFont="1" applyBorder="1" applyAlignment="1">
      <alignment horizontal="left" vertical="center"/>
      <protection/>
    </xf>
    <xf numFmtId="0" fontId="57" fillId="0" borderId="11" xfId="28" applyFont="1" applyBorder="1" applyAlignment="1">
      <alignment vertical="center"/>
      <protection/>
    </xf>
    <xf numFmtId="43" fontId="17" fillId="0" borderId="5" xfId="28" applyNumberFormat="1" applyFont="1" applyBorder="1" applyAlignment="1">
      <alignment horizontal="center" vertical="center"/>
      <protection/>
    </xf>
  </cellXfs>
  <cellStyles count="16">
    <cellStyle name="Normal" xfId="0"/>
    <cellStyle name="Comma_CERTIFICATE" xfId="15"/>
    <cellStyle name="Currency [0]_ No.04-1" xfId="16"/>
    <cellStyle name="Currency_ No.04-1" xfId="17"/>
    <cellStyle name="Normal_ No.04-1" xfId="18"/>
    <cellStyle name="Normal_30" xfId="19"/>
    <cellStyle name="Normal_CERTIFICATE_1_S-CP-004-3" xfId="20"/>
    <cellStyle name="Comma" xfId="21"/>
    <cellStyle name="Comma [0]" xfId="22"/>
    <cellStyle name="เครื่องหมายจุลภาค_CAL PrestressPile" xfId="23"/>
    <cellStyle name="Currency" xfId="24"/>
    <cellStyle name="Currency [0]" xfId="25"/>
    <cellStyle name="Hyperlink" xfId="26"/>
    <cellStyle name="Followed Hyperlink" xfId="27"/>
    <cellStyle name="ปกติ_CAL PrestressPile"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257175</xdr:colOff>
      <xdr:row>2</xdr:row>
      <xdr:rowOff>0</xdr:rowOff>
    </xdr:from>
    <xdr:to>
      <xdr:col>8</xdr:col>
      <xdr:colOff>257175</xdr:colOff>
      <xdr:row>2</xdr:row>
      <xdr:rowOff>0</xdr:rowOff>
    </xdr:to>
    <xdr:sp>
      <xdr:nvSpPr>
        <xdr:cNvPr id="1" name="Line 3"/>
        <xdr:cNvSpPr>
          <a:spLocks/>
        </xdr:cNvSpPr>
      </xdr:nvSpPr>
      <xdr:spPr>
        <a:xfrm flipV="1">
          <a:off x="4343400" y="8953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9</xdr:col>
      <xdr:colOff>266700</xdr:colOff>
      <xdr:row>36</xdr:row>
      <xdr:rowOff>0</xdr:rowOff>
    </xdr:from>
    <xdr:to>
      <xdr:col>9</xdr:col>
      <xdr:colOff>266700</xdr:colOff>
      <xdr:row>36</xdr:row>
      <xdr:rowOff>0</xdr:rowOff>
    </xdr:to>
    <xdr:sp>
      <xdr:nvSpPr>
        <xdr:cNvPr id="2" name="Line 4"/>
        <xdr:cNvSpPr>
          <a:spLocks/>
        </xdr:cNvSpPr>
      </xdr:nvSpPr>
      <xdr:spPr>
        <a:xfrm flipV="1">
          <a:off x="4886325" y="103632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9</xdr:col>
      <xdr:colOff>266700</xdr:colOff>
      <xdr:row>36</xdr:row>
      <xdr:rowOff>0</xdr:rowOff>
    </xdr:from>
    <xdr:to>
      <xdr:col>9</xdr:col>
      <xdr:colOff>266700</xdr:colOff>
      <xdr:row>36</xdr:row>
      <xdr:rowOff>0</xdr:rowOff>
    </xdr:to>
    <xdr:sp>
      <xdr:nvSpPr>
        <xdr:cNvPr id="3" name="Line 5"/>
        <xdr:cNvSpPr>
          <a:spLocks/>
        </xdr:cNvSpPr>
      </xdr:nvSpPr>
      <xdr:spPr>
        <a:xfrm flipV="1">
          <a:off x="4886325" y="103632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9</xdr:col>
      <xdr:colOff>266700</xdr:colOff>
      <xdr:row>36</xdr:row>
      <xdr:rowOff>0</xdr:rowOff>
    </xdr:from>
    <xdr:to>
      <xdr:col>9</xdr:col>
      <xdr:colOff>266700</xdr:colOff>
      <xdr:row>36</xdr:row>
      <xdr:rowOff>0</xdr:rowOff>
    </xdr:to>
    <xdr:sp>
      <xdr:nvSpPr>
        <xdr:cNvPr id="4" name="Line 6"/>
        <xdr:cNvSpPr>
          <a:spLocks/>
        </xdr:cNvSpPr>
      </xdr:nvSpPr>
      <xdr:spPr>
        <a:xfrm flipV="1">
          <a:off x="4886325" y="103632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9</xdr:col>
      <xdr:colOff>266700</xdr:colOff>
      <xdr:row>36</xdr:row>
      <xdr:rowOff>0</xdr:rowOff>
    </xdr:from>
    <xdr:to>
      <xdr:col>9</xdr:col>
      <xdr:colOff>266700</xdr:colOff>
      <xdr:row>36</xdr:row>
      <xdr:rowOff>0</xdr:rowOff>
    </xdr:to>
    <xdr:sp>
      <xdr:nvSpPr>
        <xdr:cNvPr id="5" name="Line 7"/>
        <xdr:cNvSpPr>
          <a:spLocks/>
        </xdr:cNvSpPr>
      </xdr:nvSpPr>
      <xdr:spPr>
        <a:xfrm flipV="1">
          <a:off x="4886325" y="103632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8</xdr:col>
      <xdr:colOff>257175</xdr:colOff>
      <xdr:row>2</xdr:row>
      <xdr:rowOff>0</xdr:rowOff>
    </xdr:from>
    <xdr:to>
      <xdr:col>8</xdr:col>
      <xdr:colOff>257175</xdr:colOff>
      <xdr:row>2</xdr:row>
      <xdr:rowOff>0</xdr:rowOff>
    </xdr:to>
    <xdr:sp>
      <xdr:nvSpPr>
        <xdr:cNvPr id="6" name="Line 9"/>
        <xdr:cNvSpPr>
          <a:spLocks/>
        </xdr:cNvSpPr>
      </xdr:nvSpPr>
      <xdr:spPr>
        <a:xfrm flipV="1">
          <a:off x="4343400" y="8953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8</xdr:col>
      <xdr:colOff>295275</xdr:colOff>
      <xdr:row>22</xdr:row>
      <xdr:rowOff>19050</xdr:rowOff>
    </xdr:from>
    <xdr:to>
      <xdr:col>9</xdr:col>
      <xdr:colOff>95250</xdr:colOff>
      <xdr:row>23</xdr:row>
      <xdr:rowOff>66675</xdr:rowOff>
    </xdr:to>
    <xdr:sp>
      <xdr:nvSpPr>
        <xdr:cNvPr id="7" name="TextBox 10"/>
        <xdr:cNvSpPr txBox="1">
          <a:spLocks noChangeArrowheads="1"/>
        </xdr:cNvSpPr>
      </xdr:nvSpPr>
      <xdr:spPr>
        <a:xfrm>
          <a:off x="4381500" y="6591300"/>
          <a:ext cx="333375" cy="342900"/>
        </a:xfrm>
        <a:prstGeom prst="rect">
          <a:avLst/>
        </a:prstGeom>
        <a:noFill/>
        <a:ln w="9525" cmpd="sng">
          <a:noFill/>
        </a:ln>
      </xdr:spPr>
      <xdr:txBody>
        <a:bodyPr vertOverflow="clip" wrap="square"/>
        <a:p>
          <a:pPr algn="l">
            <a:defRPr/>
          </a:pPr>
          <a:r>
            <a:rPr lang="en-US" cap="none" sz="1400" b="0" i="0" u="none" baseline="0">
              <a:latin typeface="AngsanaUPC"/>
              <a:ea typeface="AngsanaUPC"/>
              <a:cs typeface="AngsanaUPC"/>
            </a:rPr>
            <a:t>pu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0</xdr:row>
      <xdr:rowOff>0</xdr:rowOff>
    </xdr:from>
    <xdr:to>
      <xdr:col>4</xdr:col>
      <xdr:colOff>552450</xdr:colOff>
      <xdr:row>0</xdr:row>
      <xdr:rowOff>0</xdr:rowOff>
    </xdr:to>
    <xdr:sp>
      <xdr:nvSpPr>
        <xdr:cNvPr id="1" name="Line 1"/>
        <xdr:cNvSpPr>
          <a:spLocks/>
        </xdr:cNvSpPr>
      </xdr:nvSpPr>
      <xdr:spPr>
        <a:xfrm>
          <a:off x="2705100" y="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5</xdr:col>
      <xdr:colOff>247650</xdr:colOff>
      <xdr:row>0</xdr:row>
      <xdr:rowOff>0</xdr:rowOff>
    </xdr:from>
    <xdr:to>
      <xdr:col>5</xdr:col>
      <xdr:colOff>495300</xdr:colOff>
      <xdr:row>0</xdr:row>
      <xdr:rowOff>0</xdr:rowOff>
    </xdr:to>
    <xdr:sp>
      <xdr:nvSpPr>
        <xdr:cNvPr id="2" name="TextBox 2"/>
        <xdr:cNvSpPr txBox="1">
          <a:spLocks noChangeArrowheads="1"/>
        </xdr:cNvSpPr>
      </xdr:nvSpPr>
      <xdr:spPr>
        <a:xfrm>
          <a:off x="3295650" y="0"/>
          <a:ext cx="247650" cy="0"/>
        </a:xfrm>
        <a:prstGeom prst="rect">
          <a:avLst/>
        </a:prstGeom>
        <a:noFill/>
        <a:ln w="73025" cmpd="dbl">
          <a:noFill/>
        </a:ln>
      </xdr:spPr>
      <xdr:txBody>
        <a:bodyPr vertOverflow="clip" wrap="square"/>
        <a:p>
          <a:pPr algn="l">
            <a:defRPr/>
          </a:pPr>
          <a:r>
            <a:rPr lang="en-US" cap="none" sz="1400" b="0" i="0" u="none" baseline="0"/>
            <a:t>)</a:t>
          </a:r>
        </a:p>
      </xdr:txBody>
    </xdr:sp>
    <xdr:clientData/>
  </xdr:twoCellAnchor>
  <xdr:twoCellAnchor>
    <xdr:from>
      <xdr:col>5</xdr:col>
      <xdr:colOff>247650</xdr:colOff>
      <xdr:row>0</xdr:row>
      <xdr:rowOff>0</xdr:rowOff>
    </xdr:from>
    <xdr:to>
      <xdr:col>5</xdr:col>
      <xdr:colOff>495300</xdr:colOff>
      <xdr:row>0</xdr:row>
      <xdr:rowOff>0</xdr:rowOff>
    </xdr:to>
    <xdr:sp>
      <xdr:nvSpPr>
        <xdr:cNvPr id="3" name="TextBox 3"/>
        <xdr:cNvSpPr txBox="1">
          <a:spLocks noChangeArrowheads="1"/>
        </xdr:cNvSpPr>
      </xdr:nvSpPr>
      <xdr:spPr>
        <a:xfrm>
          <a:off x="3295650" y="0"/>
          <a:ext cx="247650" cy="0"/>
        </a:xfrm>
        <a:prstGeom prst="rect">
          <a:avLst/>
        </a:prstGeom>
        <a:noFill/>
        <a:ln w="73025" cmpd="dbl">
          <a:noFill/>
        </a:ln>
      </xdr:spPr>
      <xdr:txBody>
        <a:bodyPr vertOverflow="clip" wrap="square"/>
        <a:p>
          <a:pPr algn="l">
            <a:defRPr/>
          </a:pPr>
          <a:r>
            <a:rPr lang="en-US" cap="none" sz="1400" b="0" i="0" u="none" baseline="0"/>
            <a:t>)</a:t>
          </a:r>
        </a:p>
      </xdr:txBody>
    </xdr:sp>
    <xdr:clientData/>
  </xdr:twoCellAnchor>
  <xdr:twoCellAnchor>
    <xdr:from>
      <xdr:col>5</xdr:col>
      <xdr:colOff>247650</xdr:colOff>
      <xdr:row>0</xdr:row>
      <xdr:rowOff>0</xdr:rowOff>
    </xdr:from>
    <xdr:to>
      <xdr:col>5</xdr:col>
      <xdr:colOff>495300</xdr:colOff>
      <xdr:row>0</xdr:row>
      <xdr:rowOff>0</xdr:rowOff>
    </xdr:to>
    <xdr:sp>
      <xdr:nvSpPr>
        <xdr:cNvPr id="4" name="TextBox 4"/>
        <xdr:cNvSpPr txBox="1">
          <a:spLocks noChangeArrowheads="1"/>
        </xdr:cNvSpPr>
      </xdr:nvSpPr>
      <xdr:spPr>
        <a:xfrm>
          <a:off x="3295650" y="0"/>
          <a:ext cx="247650" cy="0"/>
        </a:xfrm>
        <a:prstGeom prst="rect">
          <a:avLst/>
        </a:prstGeom>
        <a:noFill/>
        <a:ln w="73025" cmpd="dbl">
          <a:noFill/>
        </a:ln>
      </xdr:spPr>
      <xdr:txBody>
        <a:bodyPr vertOverflow="clip" wrap="square"/>
        <a:p>
          <a:pPr algn="l">
            <a:defRPr/>
          </a:pPr>
          <a:r>
            <a:rPr lang="en-US" cap="none" sz="1400" b="0" i="0" u="none" baseline="0"/>
            <a:t>)</a:t>
          </a:r>
        </a:p>
      </xdr:txBody>
    </xdr:sp>
    <xdr:clientData/>
  </xdr:twoCellAnchor>
  <xdr:twoCellAnchor>
    <xdr:from>
      <xdr:col>5</xdr:col>
      <xdr:colOff>247650</xdr:colOff>
      <xdr:row>0</xdr:row>
      <xdr:rowOff>0</xdr:rowOff>
    </xdr:from>
    <xdr:to>
      <xdr:col>5</xdr:col>
      <xdr:colOff>495300</xdr:colOff>
      <xdr:row>0</xdr:row>
      <xdr:rowOff>0</xdr:rowOff>
    </xdr:to>
    <xdr:sp>
      <xdr:nvSpPr>
        <xdr:cNvPr id="5" name="TextBox 5"/>
        <xdr:cNvSpPr txBox="1">
          <a:spLocks noChangeArrowheads="1"/>
        </xdr:cNvSpPr>
      </xdr:nvSpPr>
      <xdr:spPr>
        <a:xfrm>
          <a:off x="3295650" y="0"/>
          <a:ext cx="247650" cy="0"/>
        </a:xfrm>
        <a:prstGeom prst="rect">
          <a:avLst/>
        </a:prstGeom>
        <a:noFill/>
        <a:ln w="73025" cmpd="dbl">
          <a:noFill/>
        </a:ln>
      </xdr:spPr>
      <xdr:txBody>
        <a:bodyPr vertOverflow="clip" wrap="square"/>
        <a:p>
          <a:pPr algn="l">
            <a:defRPr/>
          </a:pPr>
          <a:r>
            <a:rPr lang="en-US" cap="none" sz="1400" b="0" i="0" u="none" baseline="0"/>
            <a:t>)</a:t>
          </a:r>
        </a:p>
      </xdr:txBody>
    </xdr:sp>
    <xdr:clientData/>
  </xdr:twoCellAnchor>
  <xdr:twoCellAnchor>
    <xdr:from>
      <xdr:col>5</xdr:col>
      <xdr:colOff>247650</xdr:colOff>
      <xdr:row>0</xdr:row>
      <xdr:rowOff>0</xdr:rowOff>
    </xdr:from>
    <xdr:to>
      <xdr:col>5</xdr:col>
      <xdr:colOff>495300</xdr:colOff>
      <xdr:row>0</xdr:row>
      <xdr:rowOff>0</xdr:rowOff>
    </xdr:to>
    <xdr:sp>
      <xdr:nvSpPr>
        <xdr:cNvPr id="6" name="TextBox 6"/>
        <xdr:cNvSpPr txBox="1">
          <a:spLocks noChangeArrowheads="1"/>
        </xdr:cNvSpPr>
      </xdr:nvSpPr>
      <xdr:spPr>
        <a:xfrm>
          <a:off x="3295650" y="0"/>
          <a:ext cx="247650" cy="0"/>
        </a:xfrm>
        <a:prstGeom prst="rect">
          <a:avLst/>
        </a:prstGeom>
        <a:noFill/>
        <a:ln w="73025" cmpd="dbl">
          <a:noFill/>
        </a:ln>
      </xdr:spPr>
      <xdr:txBody>
        <a:bodyPr vertOverflow="clip" wrap="square"/>
        <a:p>
          <a:pPr algn="l">
            <a:defRPr/>
          </a:pPr>
          <a:r>
            <a:rPr lang="en-US" cap="none" sz="1400" b="0" i="0" u="none" baseline="0"/>
            <a:t>)</a:t>
          </a:r>
        </a:p>
      </xdr:txBody>
    </xdr:sp>
    <xdr:clientData/>
  </xdr:twoCellAnchor>
  <xdr:twoCellAnchor>
    <xdr:from>
      <xdr:col>5</xdr:col>
      <xdr:colOff>247650</xdr:colOff>
      <xdr:row>0</xdr:row>
      <xdr:rowOff>0</xdr:rowOff>
    </xdr:from>
    <xdr:to>
      <xdr:col>5</xdr:col>
      <xdr:colOff>495300</xdr:colOff>
      <xdr:row>0</xdr:row>
      <xdr:rowOff>0</xdr:rowOff>
    </xdr:to>
    <xdr:sp>
      <xdr:nvSpPr>
        <xdr:cNvPr id="7" name="TextBox 7"/>
        <xdr:cNvSpPr txBox="1">
          <a:spLocks noChangeArrowheads="1"/>
        </xdr:cNvSpPr>
      </xdr:nvSpPr>
      <xdr:spPr>
        <a:xfrm>
          <a:off x="3295650" y="0"/>
          <a:ext cx="247650" cy="0"/>
        </a:xfrm>
        <a:prstGeom prst="rect">
          <a:avLst/>
        </a:prstGeom>
        <a:noFill/>
        <a:ln w="73025" cmpd="dbl">
          <a:noFill/>
        </a:ln>
      </xdr:spPr>
      <xdr:txBody>
        <a:bodyPr vertOverflow="clip" wrap="square"/>
        <a:p>
          <a:pPr algn="l">
            <a:defRPr/>
          </a:pPr>
          <a:r>
            <a:rPr lang="en-US" cap="none" sz="1400" b="0" i="0" u="none" baseline="0"/>
            <a:t>)</a:t>
          </a:r>
        </a:p>
      </xdr:txBody>
    </xdr:sp>
    <xdr:clientData/>
  </xdr:twoCellAnchor>
  <xdr:twoCellAnchor>
    <xdr:from>
      <xdr:col>5</xdr:col>
      <xdr:colOff>247650</xdr:colOff>
      <xdr:row>0</xdr:row>
      <xdr:rowOff>0</xdr:rowOff>
    </xdr:from>
    <xdr:to>
      <xdr:col>5</xdr:col>
      <xdr:colOff>495300</xdr:colOff>
      <xdr:row>0</xdr:row>
      <xdr:rowOff>0</xdr:rowOff>
    </xdr:to>
    <xdr:sp>
      <xdr:nvSpPr>
        <xdr:cNvPr id="8" name="TextBox 8"/>
        <xdr:cNvSpPr txBox="1">
          <a:spLocks noChangeArrowheads="1"/>
        </xdr:cNvSpPr>
      </xdr:nvSpPr>
      <xdr:spPr>
        <a:xfrm>
          <a:off x="3295650" y="0"/>
          <a:ext cx="247650" cy="0"/>
        </a:xfrm>
        <a:prstGeom prst="rect">
          <a:avLst/>
        </a:prstGeom>
        <a:noFill/>
        <a:ln w="73025" cmpd="dbl">
          <a:noFill/>
        </a:ln>
      </xdr:spPr>
      <xdr:txBody>
        <a:bodyPr vertOverflow="clip" wrap="square"/>
        <a:p>
          <a:pPr algn="l">
            <a:defRPr/>
          </a:pPr>
          <a:r>
            <a:rPr lang="en-US" cap="none" sz="1400" b="0" i="0" u="none" baseline="0"/>
            <a:t>)</a:t>
          </a:r>
        </a:p>
      </xdr:txBody>
    </xdr:sp>
    <xdr:clientData/>
  </xdr:twoCellAnchor>
  <xdr:twoCellAnchor>
    <xdr:from>
      <xdr:col>5</xdr:col>
      <xdr:colOff>247650</xdr:colOff>
      <xdr:row>0</xdr:row>
      <xdr:rowOff>0</xdr:rowOff>
    </xdr:from>
    <xdr:to>
      <xdr:col>5</xdr:col>
      <xdr:colOff>495300</xdr:colOff>
      <xdr:row>0</xdr:row>
      <xdr:rowOff>0</xdr:rowOff>
    </xdr:to>
    <xdr:sp>
      <xdr:nvSpPr>
        <xdr:cNvPr id="9" name="TextBox 9"/>
        <xdr:cNvSpPr txBox="1">
          <a:spLocks noChangeArrowheads="1"/>
        </xdr:cNvSpPr>
      </xdr:nvSpPr>
      <xdr:spPr>
        <a:xfrm>
          <a:off x="3295650" y="0"/>
          <a:ext cx="247650" cy="0"/>
        </a:xfrm>
        <a:prstGeom prst="rect">
          <a:avLst/>
        </a:prstGeom>
        <a:noFill/>
        <a:ln w="73025" cmpd="dbl">
          <a:noFill/>
        </a:ln>
      </xdr:spPr>
      <xdr:txBody>
        <a:bodyPr vertOverflow="clip" wrap="square"/>
        <a:p>
          <a:pPr algn="l">
            <a:defRPr/>
          </a:pPr>
          <a:r>
            <a:rPr lang="en-US" cap="none" sz="1400" b="0" i="0" u="none" baseline="0"/>
            <a:t>)</a:t>
          </a:r>
        </a:p>
      </xdr:txBody>
    </xdr:sp>
    <xdr:clientData/>
  </xdr:twoCellAnchor>
  <xdr:twoCellAnchor>
    <xdr:from>
      <xdr:col>5</xdr:col>
      <xdr:colOff>247650</xdr:colOff>
      <xdr:row>0</xdr:row>
      <xdr:rowOff>0</xdr:rowOff>
    </xdr:from>
    <xdr:to>
      <xdr:col>6</xdr:col>
      <xdr:colOff>352425</xdr:colOff>
      <xdr:row>0</xdr:row>
      <xdr:rowOff>0</xdr:rowOff>
    </xdr:to>
    <xdr:sp>
      <xdr:nvSpPr>
        <xdr:cNvPr id="10" name="TextBox 10"/>
        <xdr:cNvSpPr txBox="1">
          <a:spLocks noChangeArrowheads="1"/>
        </xdr:cNvSpPr>
      </xdr:nvSpPr>
      <xdr:spPr>
        <a:xfrm>
          <a:off x="3295650" y="0"/>
          <a:ext cx="762000" cy="0"/>
        </a:xfrm>
        <a:prstGeom prst="rect">
          <a:avLst/>
        </a:prstGeom>
        <a:noFill/>
        <a:ln w="73025" cmpd="dbl">
          <a:noFill/>
        </a:ln>
      </xdr:spPr>
      <xdr:txBody>
        <a:bodyPr vertOverflow="clip" wrap="square"/>
        <a:p>
          <a:pPr algn="l">
            <a:defRPr/>
          </a:pPr>
          <a:r>
            <a:rPr lang="en-US" cap="none" sz="1400" b="0" i="0" u="none" baseline="0"/>
            <a:t>)               +  </a:t>
          </a:r>
        </a:p>
      </xdr:txBody>
    </xdr:sp>
    <xdr:clientData/>
  </xdr:twoCellAnchor>
  <xdr:twoCellAnchor>
    <xdr:from>
      <xdr:col>8</xdr:col>
      <xdr:colOff>247650</xdr:colOff>
      <xdr:row>0</xdr:row>
      <xdr:rowOff>0</xdr:rowOff>
    </xdr:from>
    <xdr:to>
      <xdr:col>8</xdr:col>
      <xdr:colOff>361950</xdr:colOff>
      <xdr:row>0</xdr:row>
      <xdr:rowOff>0</xdr:rowOff>
    </xdr:to>
    <xdr:sp>
      <xdr:nvSpPr>
        <xdr:cNvPr id="11" name="TextBox 11"/>
        <xdr:cNvSpPr txBox="1">
          <a:spLocks noChangeArrowheads="1"/>
        </xdr:cNvSpPr>
      </xdr:nvSpPr>
      <xdr:spPr>
        <a:xfrm>
          <a:off x="5381625" y="0"/>
          <a:ext cx="114300" cy="0"/>
        </a:xfrm>
        <a:prstGeom prst="rect">
          <a:avLst/>
        </a:prstGeom>
        <a:noFill/>
        <a:ln w="73025" cmpd="dbl">
          <a:noFill/>
        </a:ln>
      </xdr:spPr>
      <xdr:txBody>
        <a:bodyPr vertOverflow="clip" wrap="square"/>
        <a:p>
          <a:pPr algn="l">
            <a:defRPr/>
          </a:pPr>
          <a:r>
            <a:rPr lang="en-US" cap="none" sz="1400" b="0" i="0" u="none" baseline="0"/>
            <a:t>)  </a:t>
          </a:r>
        </a:p>
      </xdr:txBody>
    </xdr:sp>
    <xdr:clientData/>
  </xdr:twoCellAnchor>
  <xdr:twoCellAnchor>
    <xdr:from>
      <xdr:col>5</xdr:col>
      <xdr:colOff>247650</xdr:colOff>
      <xdr:row>0</xdr:row>
      <xdr:rowOff>0</xdr:rowOff>
    </xdr:from>
    <xdr:to>
      <xdr:col>5</xdr:col>
      <xdr:colOff>495300</xdr:colOff>
      <xdr:row>0</xdr:row>
      <xdr:rowOff>0</xdr:rowOff>
    </xdr:to>
    <xdr:sp>
      <xdr:nvSpPr>
        <xdr:cNvPr id="12" name="TextBox 12"/>
        <xdr:cNvSpPr txBox="1">
          <a:spLocks noChangeArrowheads="1"/>
        </xdr:cNvSpPr>
      </xdr:nvSpPr>
      <xdr:spPr>
        <a:xfrm>
          <a:off x="3295650" y="0"/>
          <a:ext cx="247650" cy="0"/>
        </a:xfrm>
        <a:prstGeom prst="rect">
          <a:avLst/>
        </a:prstGeom>
        <a:noFill/>
        <a:ln w="73025" cmpd="dbl">
          <a:noFill/>
        </a:ln>
      </xdr:spPr>
      <xdr:txBody>
        <a:bodyPr vertOverflow="clip" wrap="square"/>
        <a:p>
          <a:pPr algn="l">
            <a:defRPr/>
          </a:pPr>
          <a:r>
            <a:rPr lang="en-US" cap="none" sz="1400" b="0" i="0" u="none" baseline="0"/>
            <a:t>)</a:t>
          </a:r>
        </a:p>
      </xdr:txBody>
    </xdr:sp>
    <xdr:clientData/>
  </xdr:twoCellAnchor>
  <xdr:twoCellAnchor>
    <xdr:from>
      <xdr:col>5</xdr:col>
      <xdr:colOff>247650</xdr:colOff>
      <xdr:row>0</xdr:row>
      <xdr:rowOff>0</xdr:rowOff>
    </xdr:from>
    <xdr:to>
      <xdr:col>6</xdr:col>
      <xdr:colOff>352425</xdr:colOff>
      <xdr:row>0</xdr:row>
      <xdr:rowOff>0</xdr:rowOff>
    </xdr:to>
    <xdr:sp>
      <xdr:nvSpPr>
        <xdr:cNvPr id="13" name="TextBox 13"/>
        <xdr:cNvSpPr txBox="1">
          <a:spLocks noChangeArrowheads="1"/>
        </xdr:cNvSpPr>
      </xdr:nvSpPr>
      <xdr:spPr>
        <a:xfrm>
          <a:off x="3295650" y="0"/>
          <a:ext cx="762000" cy="0"/>
        </a:xfrm>
        <a:prstGeom prst="rect">
          <a:avLst/>
        </a:prstGeom>
        <a:noFill/>
        <a:ln w="73025" cmpd="dbl">
          <a:noFill/>
        </a:ln>
      </xdr:spPr>
      <xdr:txBody>
        <a:bodyPr vertOverflow="clip" wrap="square"/>
        <a:p>
          <a:pPr algn="l">
            <a:defRPr/>
          </a:pPr>
          <a:r>
            <a:rPr lang="en-US" cap="none" sz="1400" b="0" i="0" u="none" baseline="0"/>
            <a:t>)            </a:t>
          </a:r>
        </a:p>
      </xdr:txBody>
    </xdr:sp>
    <xdr:clientData/>
  </xdr:twoCellAnchor>
  <xdr:twoCellAnchor>
    <xdr:from>
      <xdr:col>4</xdr:col>
      <xdr:colOff>0</xdr:colOff>
      <xdr:row>0</xdr:row>
      <xdr:rowOff>0</xdr:rowOff>
    </xdr:from>
    <xdr:to>
      <xdr:col>4</xdr:col>
      <xdr:colOff>314325</xdr:colOff>
      <xdr:row>0</xdr:row>
      <xdr:rowOff>0</xdr:rowOff>
    </xdr:to>
    <xdr:sp>
      <xdr:nvSpPr>
        <xdr:cNvPr id="14" name="TextBox 14"/>
        <xdr:cNvSpPr txBox="1">
          <a:spLocks noChangeArrowheads="1"/>
        </xdr:cNvSpPr>
      </xdr:nvSpPr>
      <xdr:spPr>
        <a:xfrm>
          <a:off x="2381250" y="0"/>
          <a:ext cx="314325" cy="0"/>
        </a:xfrm>
        <a:prstGeom prst="rect">
          <a:avLst/>
        </a:prstGeom>
        <a:noFill/>
        <a:ln w="73025" cmpd="dbl">
          <a:noFill/>
        </a:ln>
      </xdr:spPr>
      <xdr:txBody>
        <a:bodyPr vertOverflow="clip" wrap="square"/>
        <a:p>
          <a:pPr algn="l">
            <a:defRPr/>
          </a:pPr>
          <a:r>
            <a:rPr lang="en-US" cap="none" sz="1400" b="0" i="0" u="none" baseline="0"/>
            <a:t>-DB</a:t>
          </a:r>
        </a:p>
      </xdr:txBody>
    </xdr:sp>
    <xdr:clientData/>
  </xdr:twoCellAnchor>
  <xdr:twoCellAnchor>
    <xdr:from>
      <xdr:col>4</xdr:col>
      <xdr:colOff>0</xdr:colOff>
      <xdr:row>0</xdr:row>
      <xdr:rowOff>0</xdr:rowOff>
    </xdr:from>
    <xdr:to>
      <xdr:col>4</xdr:col>
      <xdr:colOff>314325</xdr:colOff>
      <xdr:row>0</xdr:row>
      <xdr:rowOff>0</xdr:rowOff>
    </xdr:to>
    <xdr:sp>
      <xdr:nvSpPr>
        <xdr:cNvPr id="15" name="TextBox 15"/>
        <xdr:cNvSpPr txBox="1">
          <a:spLocks noChangeArrowheads="1"/>
        </xdr:cNvSpPr>
      </xdr:nvSpPr>
      <xdr:spPr>
        <a:xfrm>
          <a:off x="2381250" y="0"/>
          <a:ext cx="314325" cy="0"/>
        </a:xfrm>
        <a:prstGeom prst="rect">
          <a:avLst/>
        </a:prstGeom>
        <a:noFill/>
        <a:ln w="73025" cmpd="dbl">
          <a:noFill/>
        </a:ln>
      </xdr:spPr>
      <xdr:txBody>
        <a:bodyPr vertOverflow="clip" wrap="square"/>
        <a:p>
          <a:pPr algn="l">
            <a:defRPr/>
          </a:pPr>
          <a:r>
            <a:rPr lang="en-US" cap="none" sz="1400" b="0" i="0" u="none" baseline="0"/>
            <a:t>-DB</a:t>
          </a:r>
        </a:p>
      </xdr:txBody>
    </xdr:sp>
    <xdr:clientData/>
  </xdr:twoCellAnchor>
  <xdr:twoCellAnchor>
    <xdr:from>
      <xdr:col>0</xdr:col>
      <xdr:colOff>95250</xdr:colOff>
      <xdr:row>9</xdr:row>
      <xdr:rowOff>161925</xdr:rowOff>
    </xdr:from>
    <xdr:to>
      <xdr:col>3</xdr:col>
      <xdr:colOff>428625</xdr:colOff>
      <xdr:row>16</xdr:row>
      <xdr:rowOff>57150</xdr:rowOff>
    </xdr:to>
    <xdr:grpSp>
      <xdr:nvGrpSpPr>
        <xdr:cNvPr id="16" name="Group 17"/>
        <xdr:cNvGrpSpPr>
          <a:grpSpLocks/>
        </xdr:cNvGrpSpPr>
      </xdr:nvGrpSpPr>
      <xdr:grpSpPr>
        <a:xfrm>
          <a:off x="95250" y="2571750"/>
          <a:ext cx="1943100" cy="1885950"/>
          <a:chOff x="10" y="242"/>
          <a:chExt cx="204" cy="198"/>
        </a:xfrm>
        <a:solidFill>
          <a:srgbClr val="FFFFFF"/>
        </a:solidFill>
      </xdr:grpSpPr>
      <xdr:sp>
        <xdr:nvSpPr>
          <xdr:cNvPr id="17" name="Line 18"/>
          <xdr:cNvSpPr>
            <a:spLocks/>
          </xdr:cNvSpPr>
        </xdr:nvSpPr>
        <xdr:spPr>
          <a:xfrm flipV="1">
            <a:off x="176" y="341"/>
            <a:ext cx="34" cy="1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8" name="Line 19"/>
          <xdr:cNvSpPr>
            <a:spLocks/>
          </xdr:cNvSpPr>
        </xdr:nvSpPr>
        <xdr:spPr>
          <a:xfrm>
            <a:off x="176" y="392"/>
            <a:ext cx="33" cy="11"/>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9" name="Line 20"/>
          <xdr:cNvSpPr>
            <a:spLocks/>
          </xdr:cNvSpPr>
        </xdr:nvSpPr>
        <xdr:spPr>
          <a:xfrm flipH="1" flipV="1">
            <a:off x="95" y="341"/>
            <a:ext cx="33" cy="1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20" name="Line 21"/>
          <xdr:cNvSpPr>
            <a:spLocks/>
          </xdr:cNvSpPr>
        </xdr:nvSpPr>
        <xdr:spPr>
          <a:xfrm flipV="1">
            <a:off x="95" y="392"/>
            <a:ext cx="33" cy="1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21" name="Line 22"/>
          <xdr:cNvSpPr>
            <a:spLocks/>
          </xdr:cNvSpPr>
        </xdr:nvSpPr>
        <xdr:spPr>
          <a:xfrm>
            <a:off x="90" y="291"/>
            <a:ext cx="12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22" name="Line 23"/>
          <xdr:cNvSpPr>
            <a:spLocks/>
          </xdr:cNvSpPr>
        </xdr:nvSpPr>
        <xdr:spPr>
          <a:xfrm>
            <a:off x="90" y="268"/>
            <a:ext cx="124"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23" name="Line 24"/>
          <xdr:cNvSpPr>
            <a:spLocks/>
          </xdr:cNvSpPr>
        </xdr:nvSpPr>
        <xdr:spPr>
          <a:xfrm>
            <a:off x="74" y="302"/>
            <a:ext cx="0" cy="138"/>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24" name="Line 25"/>
          <xdr:cNvSpPr>
            <a:spLocks/>
          </xdr:cNvSpPr>
        </xdr:nvSpPr>
        <xdr:spPr>
          <a:xfrm>
            <a:off x="209" y="315"/>
            <a:ext cx="0" cy="26"/>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25" name="Line 26"/>
          <xdr:cNvSpPr>
            <a:spLocks/>
          </xdr:cNvSpPr>
        </xdr:nvSpPr>
        <xdr:spPr>
          <a:xfrm>
            <a:off x="95" y="315"/>
            <a:ext cx="0" cy="26"/>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26" name="Line 27"/>
          <xdr:cNvSpPr>
            <a:spLocks/>
          </xdr:cNvSpPr>
        </xdr:nvSpPr>
        <xdr:spPr>
          <a:xfrm>
            <a:off x="95" y="402"/>
            <a:ext cx="0" cy="27"/>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27" name="Line 28"/>
          <xdr:cNvSpPr>
            <a:spLocks/>
          </xdr:cNvSpPr>
        </xdr:nvSpPr>
        <xdr:spPr>
          <a:xfrm>
            <a:off x="209" y="403"/>
            <a:ext cx="0" cy="2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28" name="Line 29"/>
          <xdr:cNvSpPr>
            <a:spLocks/>
          </xdr:cNvSpPr>
        </xdr:nvSpPr>
        <xdr:spPr>
          <a:xfrm>
            <a:off x="101" y="310"/>
            <a:ext cx="104"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29" name="Line 30"/>
          <xdr:cNvSpPr>
            <a:spLocks/>
          </xdr:cNvSpPr>
        </xdr:nvSpPr>
        <xdr:spPr>
          <a:xfrm>
            <a:off x="100" y="433"/>
            <a:ext cx="104"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0" name="Line 31"/>
          <xdr:cNvSpPr>
            <a:spLocks/>
          </xdr:cNvSpPr>
        </xdr:nvSpPr>
        <xdr:spPr>
          <a:xfrm>
            <a:off x="128" y="350"/>
            <a:ext cx="0" cy="43"/>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1" name="Line 32"/>
          <xdr:cNvSpPr>
            <a:spLocks/>
          </xdr:cNvSpPr>
        </xdr:nvSpPr>
        <xdr:spPr>
          <a:xfrm>
            <a:off x="176" y="351"/>
            <a:ext cx="0" cy="41"/>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2" name="Line 33"/>
          <xdr:cNvSpPr>
            <a:spLocks/>
          </xdr:cNvSpPr>
        </xdr:nvSpPr>
        <xdr:spPr>
          <a:xfrm flipV="1">
            <a:off x="95" y="310"/>
            <a:ext cx="6" cy="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3" name="Line 34"/>
          <xdr:cNvSpPr>
            <a:spLocks/>
          </xdr:cNvSpPr>
        </xdr:nvSpPr>
        <xdr:spPr>
          <a:xfrm flipV="1">
            <a:off x="204" y="428"/>
            <a:ext cx="5" cy="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4" name="Line 35"/>
          <xdr:cNvSpPr>
            <a:spLocks/>
          </xdr:cNvSpPr>
        </xdr:nvSpPr>
        <xdr:spPr>
          <a:xfrm flipH="1" flipV="1">
            <a:off x="204" y="310"/>
            <a:ext cx="5" cy="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5" name="Line 36"/>
          <xdr:cNvSpPr>
            <a:spLocks/>
          </xdr:cNvSpPr>
        </xdr:nvSpPr>
        <xdr:spPr>
          <a:xfrm flipH="1" flipV="1">
            <a:off x="95" y="428"/>
            <a:ext cx="6" cy="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6" name="Line 37"/>
          <xdr:cNvSpPr>
            <a:spLocks/>
          </xdr:cNvSpPr>
        </xdr:nvSpPr>
        <xdr:spPr>
          <a:xfrm>
            <a:off x="95" y="262"/>
            <a:ext cx="1" cy="12"/>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7" name="Line 38"/>
          <xdr:cNvSpPr>
            <a:spLocks/>
          </xdr:cNvSpPr>
        </xdr:nvSpPr>
        <xdr:spPr>
          <a:xfrm>
            <a:off x="209" y="261"/>
            <a:ext cx="1" cy="13"/>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8" name="Text 1532"/>
          <xdr:cNvSpPr txBox="1">
            <a:spLocks noChangeArrowheads="1"/>
          </xdr:cNvSpPr>
        </xdr:nvSpPr>
        <xdr:spPr>
          <a:xfrm>
            <a:off x="144" y="242"/>
            <a:ext cx="33" cy="29"/>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A1</a:t>
            </a:r>
          </a:p>
        </xdr:txBody>
      </xdr:sp>
      <xdr:sp>
        <xdr:nvSpPr>
          <xdr:cNvPr id="39" name="Text 1567"/>
          <xdr:cNvSpPr txBox="1">
            <a:spLocks noChangeArrowheads="1"/>
          </xdr:cNvSpPr>
        </xdr:nvSpPr>
        <xdr:spPr>
          <a:xfrm>
            <a:off x="100" y="263"/>
            <a:ext cx="28" cy="28"/>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A2</a:t>
            </a:r>
          </a:p>
        </xdr:txBody>
      </xdr:sp>
      <xdr:sp>
        <xdr:nvSpPr>
          <xdr:cNvPr id="40" name="Text 1568"/>
          <xdr:cNvSpPr txBox="1">
            <a:spLocks noChangeArrowheads="1"/>
          </xdr:cNvSpPr>
        </xdr:nvSpPr>
        <xdr:spPr>
          <a:xfrm>
            <a:off x="181" y="263"/>
            <a:ext cx="28" cy="27"/>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A2</a:t>
            </a:r>
          </a:p>
        </xdr:txBody>
      </xdr:sp>
      <xdr:sp>
        <xdr:nvSpPr>
          <xdr:cNvPr id="41" name="Text 1569"/>
          <xdr:cNvSpPr txBox="1">
            <a:spLocks noChangeArrowheads="1"/>
          </xdr:cNvSpPr>
        </xdr:nvSpPr>
        <xdr:spPr>
          <a:xfrm>
            <a:off x="143" y="263"/>
            <a:ext cx="33" cy="27"/>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A3</a:t>
            </a:r>
          </a:p>
        </xdr:txBody>
      </xdr:sp>
      <xdr:sp>
        <xdr:nvSpPr>
          <xdr:cNvPr id="42" name="Text 1572"/>
          <xdr:cNvSpPr txBox="1">
            <a:spLocks noChangeArrowheads="1"/>
          </xdr:cNvSpPr>
        </xdr:nvSpPr>
        <xdr:spPr>
          <a:xfrm>
            <a:off x="43" y="308"/>
            <a:ext cx="28" cy="32"/>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B2</a:t>
            </a:r>
          </a:p>
        </xdr:txBody>
      </xdr:sp>
      <xdr:sp>
        <xdr:nvSpPr>
          <xdr:cNvPr id="43" name="Text 1573"/>
          <xdr:cNvSpPr txBox="1">
            <a:spLocks noChangeArrowheads="1"/>
          </xdr:cNvSpPr>
        </xdr:nvSpPr>
        <xdr:spPr>
          <a:xfrm>
            <a:off x="44" y="403"/>
            <a:ext cx="28" cy="27"/>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B2</a:t>
            </a:r>
          </a:p>
        </xdr:txBody>
      </xdr:sp>
      <xdr:sp>
        <xdr:nvSpPr>
          <xdr:cNvPr id="44" name="Text 1574"/>
          <xdr:cNvSpPr txBox="1">
            <a:spLocks noChangeArrowheads="1"/>
          </xdr:cNvSpPr>
        </xdr:nvSpPr>
        <xdr:spPr>
          <a:xfrm>
            <a:off x="43" y="357"/>
            <a:ext cx="28" cy="31"/>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B4</a:t>
            </a:r>
          </a:p>
        </xdr:txBody>
      </xdr:sp>
      <xdr:sp>
        <xdr:nvSpPr>
          <xdr:cNvPr id="45" name="Text 1575"/>
          <xdr:cNvSpPr txBox="1">
            <a:spLocks noChangeArrowheads="1"/>
          </xdr:cNvSpPr>
        </xdr:nvSpPr>
        <xdr:spPr>
          <a:xfrm>
            <a:off x="43" y="328"/>
            <a:ext cx="28" cy="27"/>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B3</a:t>
            </a:r>
          </a:p>
        </xdr:txBody>
      </xdr:sp>
      <xdr:sp>
        <xdr:nvSpPr>
          <xdr:cNvPr id="46" name="Text 1576"/>
          <xdr:cNvSpPr txBox="1">
            <a:spLocks noChangeArrowheads="1"/>
          </xdr:cNvSpPr>
        </xdr:nvSpPr>
        <xdr:spPr>
          <a:xfrm>
            <a:off x="44" y="379"/>
            <a:ext cx="28" cy="31"/>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B3</a:t>
            </a:r>
          </a:p>
        </xdr:txBody>
      </xdr:sp>
      <xdr:sp>
        <xdr:nvSpPr>
          <xdr:cNvPr id="47" name="Line 48"/>
          <xdr:cNvSpPr>
            <a:spLocks/>
          </xdr:cNvSpPr>
        </xdr:nvSpPr>
        <xdr:spPr>
          <a:xfrm flipV="1">
            <a:off x="92" y="264"/>
            <a:ext cx="8" cy="7"/>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48" name="Line 49"/>
          <xdr:cNvSpPr>
            <a:spLocks/>
          </xdr:cNvSpPr>
        </xdr:nvSpPr>
        <xdr:spPr>
          <a:xfrm flipV="1">
            <a:off x="206" y="264"/>
            <a:ext cx="7" cy="7"/>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49" name="Line 50"/>
          <xdr:cNvSpPr>
            <a:spLocks/>
          </xdr:cNvSpPr>
        </xdr:nvSpPr>
        <xdr:spPr>
          <a:xfrm>
            <a:off x="95" y="286"/>
            <a:ext cx="0" cy="12"/>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50" name="Line 51"/>
          <xdr:cNvSpPr>
            <a:spLocks/>
          </xdr:cNvSpPr>
        </xdr:nvSpPr>
        <xdr:spPr>
          <a:xfrm flipV="1">
            <a:off x="91" y="288"/>
            <a:ext cx="8" cy="7"/>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51" name="Line 52"/>
          <xdr:cNvSpPr>
            <a:spLocks/>
          </xdr:cNvSpPr>
        </xdr:nvSpPr>
        <xdr:spPr>
          <a:xfrm>
            <a:off x="128" y="286"/>
            <a:ext cx="0" cy="12"/>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52" name="Line 53"/>
          <xdr:cNvSpPr>
            <a:spLocks/>
          </xdr:cNvSpPr>
        </xdr:nvSpPr>
        <xdr:spPr>
          <a:xfrm flipV="1">
            <a:off x="124" y="288"/>
            <a:ext cx="8" cy="7"/>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53" name="Line 54"/>
          <xdr:cNvSpPr>
            <a:spLocks/>
          </xdr:cNvSpPr>
        </xdr:nvSpPr>
        <xdr:spPr>
          <a:xfrm>
            <a:off x="209" y="285"/>
            <a:ext cx="0" cy="12"/>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54" name="Line 55"/>
          <xdr:cNvSpPr>
            <a:spLocks/>
          </xdr:cNvSpPr>
        </xdr:nvSpPr>
        <xdr:spPr>
          <a:xfrm flipV="1">
            <a:off x="206" y="288"/>
            <a:ext cx="7" cy="7"/>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55" name="Line 56"/>
          <xdr:cNvSpPr>
            <a:spLocks/>
          </xdr:cNvSpPr>
        </xdr:nvSpPr>
        <xdr:spPr>
          <a:xfrm>
            <a:off x="176" y="286"/>
            <a:ext cx="0" cy="12"/>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56" name="Line 57"/>
          <xdr:cNvSpPr>
            <a:spLocks/>
          </xdr:cNvSpPr>
        </xdr:nvSpPr>
        <xdr:spPr>
          <a:xfrm flipV="1">
            <a:off x="173" y="288"/>
            <a:ext cx="7" cy="7"/>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nvGrpSpPr>
          <xdr:cNvPr id="57" name="Group 58"/>
          <xdr:cNvGrpSpPr>
            <a:grpSpLocks/>
          </xdr:cNvGrpSpPr>
        </xdr:nvGrpSpPr>
        <xdr:grpSpPr>
          <a:xfrm>
            <a:off x="66" y="306"/>
            <a:ext cx="15" cy="7"/>
            <a:chOff x="943" y="334"/>
            <a:chExt cx="16" cy="8"/>
          </a:xfrm>
          <a:solidFill>
            <a:srgbClr val="FFFFFF"/>
          </a:solidFill>
        </xdr:grpSpPr>
        <xdr:sp>
          <xdr:nvSpPr>
            <xdr:cNvPr id="58" name="Line 59"/>
            <xdr:cNvSpPr>
              <a:spLocks/>
            </xdr:cNvSpPr>
          </xdr:nvSpPr>
          <xdr:spPr>
            <a:xfrm>
              <a:off x="943" y="338"/>
              <a:ext cx="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59" name="Line 60"/>
            <xdr:cNvSpPr>
              <a:spLocks/>
            </xdr:cNvSpPr>
          </xdr:nvSpPr>
          <xdr:spPr>
            <a:xfrm flipV="1">
              <a:off x="948" y="334"/>
              <a:ext cx="8" cy="8"/>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grpSp>
        <xdr:nvGrpSpPr>
          <xdr:cNvPr id="60" name="Group 61"/>
          <xdr:cNvGrpSpPr>
            <a:grpSpLocks/>
          </xdr:cNvGrpSpPr>
        </xdr:nvGrpSpPr>
        <xdr:grpSpPr>
          <a:xfrm>
            <a:off x="66" y="337"/>
            <a:ext cx="15" cy="7"/>
            <a:chOff x="943" y="334"/>
            <a:chExt cx="16" cy="8"/>
          </a:xfrm>
          <a:solidFill>
            <a:srgbClr val="FFFFFF"/>
          </a:solidFill>
        </xdr:grpSpPr>
        <xdr:sp>
          <xdr:nvSpPr>
            <xdr:cNvPr id="61" name="Line 62"/>
            <xdr:cNvSpPr>
              <a:spLocks/>
            </xdr:cNvSpPr>
          </xdr:nvSpPr>
          <xdr:spPr>
            <a:xfrm>
              <a:off x="943" y="338"/>
              <a:ext cx="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62" name="Line 63"/>
            <xdr:cNvSpPr>
              <a:spLocks/>
            </xdr:cNvSpPr>
          </xdr:nvSpPr>
          <xdr:spPr>
            <a:xfrm flipV="1">
              <a:off x="948" y="334"/>
              <a:ext cx="8" cy="8"/>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grpSp>
        <xdr:nvGrpSpPr>
          <xdr:cNvPr id="63" name="Group 64"/>
          <xdr:cNvGrpSpPr>
            <a:grpSpLocks/>
          </xdr:cNvGrpSpPr>
        </xdr:nvGrpSpPr>
        <xdr:grpSpPr>
          <a:xfrm>
            <a:off x="66" y="347"/>
            <a:ext cx="15" cy="7"/>
            <a:chOff x="943" y="334"/>
            <a:chExt cx="16" cy="8"/>
          </a:xfrm>
          <a:solidFill>
            <a:srgbClr val="FFFFFF"/>
          </a:solidFill>
        </xdr:grpSpPr>
        <xdr:sp>
          <xdr:nvSpPr>
            <xdr:cNvPr id="64" name="Line 65"/>
            <xdr:cNvSpPr>
              <a:spLocks/>
            </xdr:cNvSpPr>
          </xdr:nvSpPr>
          <xdr:spPr>
            <a:xfrm>
              <a:off x="943" y="338"/>
              <a:ext cx="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65" name="Line 66"/>
            <xdr:cNvSpPr>
              <a:spLocks/>
            </xdr:cNvSpPr>
          </xdr:nvSpPr>
          <xdr:spPr>
            <a:xfrm flipV="1">
              <a:off x="948" y="334"/>
              <a:ext cx="8" cy="8"/>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grpSp>
        <xdr:nvGrpSpPr>
          <xdr:cNvPr id="66" name="Group 67"/>
          <xdr:cNvGrpSpPr>
            <a:grpSpLocks/>
          </xdr:cNvGrpSpPr>
        </xdr:nvGrpSpPr>
        <xdr:grpSpPr>
          <a:xfrm>
            <a:off x="66" y="389"/>
            <a:ext cx="15" cy="7"/>
            <a:chOff x="943" y="334"/>
            <a:chExt cx="16" cy="8"/>
          </a:xfrm>
          <a:solidFill>
            <a:srgbClr val="FFFFFF"/>
          </a:solidFill>
        </xdr:grpSpPr>
        <xdr:sp>
          <xdr:nvSpPr>
            <xdr:cNvPr id="67" name="Line 68"/>
            <xdr:cNvSpPr>
              <a:spLocks/>
            </xdr:cNvSpPr>
          </xdr:nvSpPr>
          <xdr:spPr>
            <a:xfrm>
              <a:off x="943" y="338"/>
              <a:ext cx="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68" name="Line 69"/>
            <xdr:cNvSpPr>
              <a:spLocks/>
            </xdr:cNvSpPr>
          </xdr:nvSpPr>
          <xdr:spPr>
            <a:xfrm flipV="1">
              <a:off x="948" y="334"/>
              <a:ext cx="8" cy="8"/>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grpSp>
        <xdr:nvGrpSpPr>
          <xdr:cNvPr id="69" name="Group 70"/>
          <xdr:cNvGrpSpPr>
            <a:grpSpLocks/>
          </xdr:cNvGrpSpPr>
        </xdr:nvGrpSpPr>
        <xdr:grpSpPr>
          <a:xfrm>
            <a:off x="66" y="398"/>
            <a:ext cx="15" cy="7"/>
            <a:chOff x="943" y="334"/>
            <a:chExt cx="16" cy="8"/>
          </a:xfrm>
          <a:solidFill>
            <a:srgbClr val="FFFFFF"/>
          </a:solidFill>
        </xdr:grpSpPr>
        <xdr:sp>
          <xdr:nvSpPr>
            <xdr:cNvPr id="70" name="Line 71"/>
            <xdr:cNvSpPr>
              <a:spLocks/>
            </xdr:cNvSpPr>
          </xdr:nvSpPr>
          <xdr:spPr>
            <a:xfrm>
              <a:off x="943" y="338"/>
              <a:ext cx="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71" name="Line 72"/>
            <xdr:cNvSpPr>
              <a:spLocks/>
            </xdr:cNvSpPr>
          </xdr:nvSpPr>
          <xdr:spPr>
            <a:xfrm flipV="1">
              <a:off x="948" y="334"/>
              <a:ext cx="8" cy="8"/>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grpSp>
        <xdr:nvGrpSpPr>
          <xdr:cNvPr id="72" name="Group 73"/>
          <xdr:cNvGrpSpPr>
            <a:grpSpLocks/>
          </xdr:cNvGrpSpPr>
        </xdr:nvGrpSpPr>
        <xdr:grpSpPr>
          <a:xfrm>
            <a:off x="66" y="430"/>
            <a:ext cx="15" cy="7"/>
            <a:chOff x="943" y="334"/>
            <a:chExt cx="16" cy="8"/>
          </a:xfrm>
          <a:solidFill>
            <a:srgbClr val="FFFFFF"/>
          </a:solidFill>
        </xdr:grpSpPr>
        <xdr:sp>
          <xdr:nvSpPr>
            <xdr:cNvPr id="73" name="Line 74"/>
            <xdr:cNvSpPr>
              <a:spLocks/>
            </xdr:cNvSpPr>
          </xdr:nvSpPr>
          <xdr:spPr>
            <a:xfrm>
              <a:off x="943" y="338"/>
              <a:ext cx="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74" name="Line 75"/>
            <xdr:cNvSpPr>
              <a:spLocks/>
            </xdr:cNvSpPr>
          </xdr:nvSpPr>
          <xdr:spPr>
            <a:xfrm flipV="1">
              <a:off x="948" y="334"/>
              <a:ext cx="8" cy="8"/>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sp>
        <xdr:nvSpPr>
          <xdr:cNvPr id="75" name="Line 76"/>
          <xdr:cNvSpPr>
            <a:spLocks/>
          </xdr:cNvSpPr>
        </xdr:nvSpPr>
        <xdr:spPr>
          <a:xfrm>
            <a:off x="36" y="302"/>
            <a:ext cx="0" cy="138"/>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nvGrpSpPr>
          <xdr:cNvPr id="76" name="Group 77"/>
          <xdr:cNvGrpSpPr>
            <a:grpSpLocks/>
          </xdr:cNvGrpSpPr>
        </xdr:nvGrpSpPr>
        <xdr:grpSpPr>
          <a:xfrm>
            <a:off x="28" y="306"/>
            <a:ext cx="15" cy="7"/>
            <a:chOff x="943" y="334"/>
            <a:chExt cx="16" cy="8"/>
          </a:xfrm>
          <a:solidFill>
            <a:srgbClr val="FFFFFF"/>
          </a:solidFill>
        </xdr:grpSpPr>
        <xdr:sp>
          <xdr:nvSpPr>
            <xdr:cNvPr id="77" name="Line 78"/>
            <xdr:cNvSpPr>
              <a:spLocks/>
            </xdr:cNvSpPr>
          </xdr:nvSpPr>
          <xdr:spPr>
            <a:xfrm>
              <a:off x="943" y="338"/>
              <a:ext cx="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78" name="Line 79"/>
            <xdr:cNvSpPr>
              <a:spLocks/>
            </xdr:cNvSpPr>
          </xdr:nvSpPr>
          <xdr:spPr>
            <a:xfrm flipV="1">
              <a:off x="948" y="334"/>
              <a:ext cx="8" cy="8"/>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grpSp>
        <xdr:nvGrpSpPr>
          <xdr:cNvPr id="79" name="Group 80"/>
          <xdr:cNvGrpSpPr>
            <a:grpSpLocks/>
          </xdr:cNvGrpSpPr>
        </xdr:nvGrpSpPr>
        <xdr:grpSpPr>
          <a:xfrm>
            <a:off x="28" y="430"/>
            <a:ext cx="15" cy="7"/>
            <a:chOff x="943" y="334"/>
            <a:chExt cx="16" cy="8"/>
          </a:xfrm>
          <a:solidFill>
            <a:srgbClr val="FFFFFF"/>
          </a:solidFill>
        </xdr:grpSpPr>
        <xdr:sp>
          <xdr:nvSpPr>
            <xdr:cNvPr id="80" name="Line 81"/>
            <xdr:cNvSpPr>
              <a:spLocks/>
            </xdr:cNvSpPr>
          </xdr:nvSpPr>
          <xdr:spPr>
            <a:xfrm>
              <a:off x="943" y="338"/>
              <a:ext cx="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81" name="Line 82"/>
            <xdr:cNvSpPr>
              <a:spLocks/>
            </xdr:cNvSpPr>
          </xdr:nvSpPr>
          <xdr:spPr>
            <a:xfrm flipV="1">
              <a:off x="948" y="334"/>
              <a:ext cx="8" cy="8"/>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sp>
        <xdr:nvSpPr>
          <xdr:cNvPr id="82" name="Text 1574"/>
          <xdr:cNvSpPr txBox="1">
            <a:spLocks noChangeArrowheads="1"/>
          </xdr:cNvSpPr>
        </xdr:nvSpPr>
        <xdr:spPr>
          <a:xfrm>
            <a:off x="10" y="357"/>
            <a:ext cx="28" cy="30"/>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B1</a:t>
            </a:r>
          </a:p>
        </xdr:txBody>
      </xdr:sp>
    </xdr:grpSp>
    <xdr:clientData/>
  </xdr:twoCellAnchor>
  <xdr:twoCellAnchor>
    <xdr:from>
      <xdr:col>11</xdr:col>
      <xdr:colOff>333375</xdr:colOff>
      <xdr:row>30</xdr:row>
      <xdr:rowOff>180975</xdr:rowOff>
    </xdr:from>
    <xdr:to>
      <xdr:col>15</xdr:col>
      <xdr:colOff>276225</xdr:colOff>
      <xdr:row>33</xdr:row>
      <xdr:rowOff>123825</xdr:rowOff>
    </xdr:to>
    <xdr:sp>
      <xdr:nvSpPr>
        <xdr:cNvPr id="83" name="Line 84"/>
        <xdr:cNvSpPr>
          <a:spLocks/>
        </xdr:cNvSpPr>
      </xdr:nvSpPr>
      <xdr:spPr>
        <a:xfrm flipH="1" flipV="1">
          <a:off x="7572375" y="8477250"/>
          <a:ext cx="241935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11</xdr:col>
      <xdr:colOff>114300</xdr:colOff>
      <xdr:row>146</xdr:row>
      <xdr:rowOff>219075</xdr:rowOff>
    </xdr:from>
    <xdr:to>
      <xdr:col>16</xdr:col>
      <xdr:colOff>200025</xdr:colOff>
      <xdr:row>150</xdr:row>
      <xdr:rowOff>161925</xdr:rowOff>
    </xdr:to>
    <xdr:sp>
      <xdr:nvSpPr>
        <xdr:cNvPr id="84" name="Line 85"/>
        <xdr:cNvSpPr>
          <a:spLocks/>
        </xdr:cNvSpPr>
      </xdr:nvSpPr>
      <xdr:spPr>
        <a:xfrm flipH="1">
          <a:off x="7353300" y="40528875"/>
          <a:ext cx="3390900" cy="1085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13</xdr:col>
      <xdr:colOff>190500</xdr:colOff>
      <xdr:row>7</xdr:row>
      <xdr:rowOff>123825</xdr:rowOff>
    </xdr:from>
    <xdr:to>
      <xdr:col>16</xdr:col>
      <xdr:colOff>276225</xdr:colOff>
      <xdr:row>14</xdr:row>
      <xdr:rowOff>9525</xdr:rowOff>
    </xdr:to>
    <xdr:grpSp>
      <xdr:nvGrpSpPr>
        <xdr:cNvPr id="85" name="Group 86"/>
        <xdr:cNvGrpSpPr>
          <a:grpSpLocks/>
        </xdr:cNvGrpSpPr>
      </xdr:nvGrpSpPr>
      <xdr:grpSpPr>
        <a:xfrm>
          <a:off x="8686800" y="2095500"/>
          <a:ext cx="2133600" cy="1724025"/>
          <a:chOff x="6" y="254"/>
          <a:chExt cx="224" cy="181"/>
        </a:xfrm>
        <a:solidFill>
          <a:srgbClr val="FFFFFF"/>
        </a:solidFill>
      </xdr:grpSpPr>
      <xdr:sp>
        <xdr:nvSpPr>
          <xdr:cNvPr id="86" name="Line 87"/>
          <xdr:cNvSpPr>
            <a:spLocks/>
          </xdr:cNvSpPr>
        </xdr:nvSpPr>
        <xdr:spPr>
          <a:xfrm flipH="1" flipV="1">
            <a:off x="54" y="342"/>
            <a:ext cx="19" cy="13"/>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87" name="Line 88"/>
          <xdr:cNvSpPr>
            <a:spLocks/>
          </xdr:cNvSpPr>
        </xdr:nvSpPr>
        <xdr:spPr>
          <a:xfrm flipV="1">
            <a:off x="54" y="379"/>
            <a:ext cx="19" cy="13"/>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88" name="Line 89"/>
          <xdr:cNvSpPr>
            <a:spLocks/>
          </xdr:cNvSpPr>
        </xdr:nvSpPr>
        <xdr:spPr>
          <a:xfrm>
            <a:off x="55" y="310"/>
            <a:ext cx="0" cy="33"/>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89" name="Line 90"/>
          <xdr:cNvSpPr>
            <a:spLocks/>
          </xdr:cNvSpPr>
        </xdr:nvSpPr>
        <xdr:spPr>
          <a:xfrm>
            <a:off x="55" y="391"/>
            <a:ext cx="0" cy="34"/>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90" name="Line 91"/>
          <xdr:cNvSpPr>
            <a:spLocks/>
          </xdr:cNvSpPr>
        </xdr:nvSpPr>
        <xdr:spPr>
          <a:xfrm>
            <a:off x="59" y="305"/>
            <a:ext cx="151"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91" name="Line 92"/>
          <xdr:cNvSpPr>
            <a:spLocks/>
          </xdr:cNvSpPr>
        </xdr:nvSpPr>
        <xdr:spPr>
          <a:xfrm>
            <a:off x="59" y="429"/>
            <a:ext cx="149"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92" name="Line 93"/>
          <xdr:cNvSpPr>
            <a:spLocks/>
          </xdr:cNvSpPr>
        </xdr:nvSpPr>
        <xdr:spPr>
          <a:xfrm>
            <a:off x="72" y="353"/>
            <a:ext cx="0" cy="27"/>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93" name="Line 94"/>
          <xdr:cNvSpPr>
            <a:spLocks/>
          </xdr:cNvSpPr>
        </xdr:nvSpPr>
        <xdr:spPr>
          <a:xfrm flipV="1">
            <a:off x="55" y="305"/>
            <a:ext cx="4" cy="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94" name="Line 95"/>
          <xdr:cNvSpPr>
            <a:spLocks/>
          </xdr:cNvSpPr>
        </xdr:nvSpPr>
        <xdr:spPr>
          <a:xfrm flipV="1">
            <a:off x="208" y="422"/>
            <a:ext cx="6" cy="8"/>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95" name="Line 96"/>
          <xdr:cNvSpPr>
            <a:spLocks/>
          </xdr:cNvSpPr>
        </xdr:nvSpPr>
        <xdr:spPr>
          <a:xfrm flipH="1" flipV="1">
            <a:off x="210" y="305"/>
            <a:ext cx="5" cy="7"/>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96" name="Line 97"/>
          <xdr:cNvSpPr>
            <a:spLocks/>
          </xdr:cNvSpPr>
        </xdr:nvSpPr>
        <xdr:spPr>
          <a:xfrm flipH="1" flipV="1">
            <a:off x="55" y="424"/>
            <a:ext cx="4" cy="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97" name="Line 98"/>
          <xdr:cNvSpPr>
            <a:spLocks/>
          </xdr:cNvSpPr>
        </xdr:nvSpPr>
        <xdr:spPr>
          <a:xfrm>
            <a:off x="214" y="311"/>
            <a:ext cx="0" cy="3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98" name="Line 99"/>
          <xdr:cNvSpPr>
            <a:spLocks/>
          </xdr:cNvSpPr>
        </xdr:nvSpPr>
        <xdr:spPr>
          <a:xfrm>
            <a:off x="214" y="390"/>
            <a:ext cx="0" cy="32"/>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99" name="Line 100"/>
          <xdr:cNvSpPr>
            <a:spLocks/>
          </xdr:cNvSpPr>
        </xdr:nvSpPr>
        <xdr:spPr>
          <a:xfrm>
            <a:off x="230" y="357"/>
            <a:ext cx="0" cy="21"/>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00" name="Line 101"/>
          <xdr:cNvSpPr>
            <a:spLocks/>
          </xdr:cNvSpPr>
        </xdr:nvSpPr>
        <xdr:spPr>
          <a:xfrm>
            <a:off x="214" y="345"/>
            <a:ext cx="16" cy="1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01" name="Line 102"/>
          <xdr:cNvSpPr>
            <a:spLocks/>
          </xdr:cNvSpPr>
        </xdr:nvSpPr>
        <xdr:spPr>
          <a:xfrm flipV="1">
            <a:off x="214" y="377"/>
            <a:ext cx="16" cy="13"/>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02" name="Line 103"/>
          <xdr:cNvSpPr>
            <a:spLocks/>
          </xdr:cNvSpPr>
        </xdr:nvSpPr>
        <xdr:spPr>
          <a:xfrm>
            <a:off x="50" y="282"/>
            <a:ext cx="174"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03" name="Line 104"/>
          <xdr:cNvSpPr>
            <a:spLocks/>
          </xdr:cNvSpPr>
        </xdr:nvSpPr>
        <xdr:spPr>
          <a:xfrm>
            <a:off x="55" y="276"/>
            <a:ext cx="1" cy="12"/>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04" name="Line 105"/>
          <xdr:cNvSpPr>
            <a:spLocks/>
          </xdr:cNvSpPr>
        </xdr:nvSpPr>
        <xdr:spPr>
          <a:xfrm>
            <a:off x="214" y="275"/>
            <a:ext cx="1" cy="13"/>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05" name="Text 1532"/>
          <xdr:cNvSpPr txBox="1">
            <a:spLocks noChangeArrowheads="1"/>
          </xdr:cNvSpPr>
        </xdr:nvSpPr>
        <xdr:spPr>
          <a:xfrm>
            <a:off x="130" y="254"/>
            <a:ext cx="33" cy="29"/>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A1</a:t>
            </a:r>
          </a:p>
        </xdr:txBody>
      </xdr:sp>
      <xdr:sp>
        <xdr:nvSpPr>
          <xdr:cNvPr id="106" name="Line 107"/>
          <xdr:cNvSpPr>
            <a:spLocks/>
          </xdr:cNvSpPr>
        </xdr:nvSpPr>
        <xdr:spPr>
          <a:xfrm flipV="1">
            <a:off x="52" y="278"/>
            <a:ext cx="8" cy="7"/>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07" name="Line 108"/>
          <xdr:cNvSpPr>
            <a:spLocks/>
          </xdr:cNvSpPr>
        </xdr:nvSpPr>
        <xdr:spPr>
          <a:xfrm flipV="1">
            <a:off x="212" y="278"/>
            <a:ext cx="7" cy="7"/>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08" name="Line 109"/>
          <xdr:cNvSpPr>
            <a:spLocks/>
          </xdr:cNvSpPr>
        </xdr:nvSpPr>
        <xdr:spPr>
          <a:xfrm>
            <a:off x="31" y="297"/>
            <a:ext cx="0" cy="138"/>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nvGrpSpPr>
          <xdr:cNvPr id="109" name="Group 110"/>
          <xdr:cNvGrpSpPr>
            <a:grpSpLocks/>
          </xdr:cNvGrpSpPr>
        </xdr:nvGrpSpPr>
        <xdr:grpSpPr>
          <a:xfrm>
            <a:off x="24" y="301"/>
            <a:ext cx="15" cy="7"/>
            <a:chOff x="943" y="334"/>
            <a:chExt cx="16" cy="8"/>
          </a:xfrm>
          <a:solidFill>
            <a:srgbClr val="FFFFFF"/>
          </a:solidFill>
        </xdr:grpSpPr>
        <xdr:sp>
          <xdr:nvSpPr>
            <xdr:cNvPr id="110" name="Line 111"/>
            <xdr:cNvSpPr>
              <a:spLocks/>
            </xdr:cNvSpPr>
          </xdr:nvSpPr>
          <xdr:spPr>
            <a:xfrm>
              <a:off x="943" y="338"/>
              <a:ext cx="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11" name="Line 112"/>
            <xdr:cNvSpPr>
              <a:spLocks/>
            </xdr:cNvSpPr>
          </xdr:nvSpPr>
          <xdr:spPr>
            <a:xfrm flipV="1">
              <a:off x="948" y="334"/>
              <a:ext cx="8" cy="8"/>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grpSp>
        <xdr:nvGrpSpPr>
          <xdr:cNvPr id="112" name="Group 113"/>
          <xdr:cNvGrpSpPr>
            <a:grpSpLocks/>
          </xdr:cNvGrpSpPr>
        </xdr:nvGrpSpPr>
        <xdr:grpSpPr>
          <a:xfrm>
            <a:off x="24" y="425"/>
            <a:ext cx="15" cy="7"/>
            <a:chOff x="943" y="334"/>
            <a:chExt cx="16" cy="8"/>
          </a:xfrm>
          <a:solidFill>
            <a:srgbClr val="FFFFFF"/>
          </a:solidFill>
        </xdr:grpSpPr>
        <xdr:sp>
          <xdr:nvSpPr>
            <xdr:cNvPr id="113" name="Line 114"/>
            <xdr:cNvSpPr>
              <a:spLocks/>
            </xdr:cNvSpPr>
          </xdr:nvSpPr>
          <xdr:spPr>
            <a:xfrm>
              <a:off x="943" y="338"/>
              <a:ext cx="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14" name="Line 115"/>
            <xdr:cNvSpPr>
              <a:spLocks/>
            </xdr:cNvSpPr>
          </xdr:nvSpPr>
          <xdr:spPr>
            <a:xfrm flipV="1">
              <a:off x="948" y="334"/>
              <a:ext cx="8" cy="8"/>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sp>
        <xdr:nvSpPr>
          <xdr:cNvPr id="115" name="Text 1574"/>
          <xdr:cNvSpPr txBox="1">
            <a:spLocks noChangeArrowheads="1"/>
          </xdr:cNvSpPr>
        </xdr:nvSpPr>
        <xdr:spPr>
          <a:xfrm>
            <a:off x="6" y="352"/>
            <a:ext cx="28" cy="30"/>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B1</a:t>
            </a:r>
          </a:p>
        </xdr:txBody>
      </xdr:sp>
    </xdr:grpSp>
    <xdr:clientData/>
  </xdr:twoCellAnchor>
  <xdr:twoCellAnchor>
    <xdr:from>
      <xdr:col>21</xdr:col>
      <xdr:colOff>304800</xdr:colOff>
      <xdr:row>7</xdr:row>
      <xdr:rowOff>38100</xdr:rowOff>
    </xdr:from>
    <xdr:to>
      <xdr:col>24</xdr:col>
      <xdr:colOff>180975</xdr:colOff>
      <xdr:row>13</xdr:row>
      <xdr:rowOff>285750</xdr:rowOff>
    </xdr:to>
    <xdr:grpSp>
      <xdr:nvGrpSpPr>
        <xdr:cNvPr id="116" name="Group 117"/>
        <xdr:cNvGrpSpPr>
          <a:grpSpLocks/>
        </xdr:cNvGrpSpPr>
      </xdr:nvGrpSpPr>
      <xdr:grpSpPr>
        <a:xfrm>
          <a:off x="13896975" y="2009775"/>
          <a:ext cx="1704975" cy="1771650"/>
          <a:chOff x="1459" y="211"/>
          <a:chExt cx="179" cy="186"/>
        </a:xfrm>
        <a:solidFill>
          <a:srgbClr val="FFFFFF"/>
        </a:solidFill>
      </xdr:grpSpPr>
      <xdr:sp>
        <xdr:nvSpPr>
          <xdr:cNvPr id="117" name="Line 118"/>
          <xdr:cNvSpPr>
            <a:spLocks/>
          </xdr:cNvSpPr>
        </xdr:nvSpPr>
        <xdr:spPr>
          <a:xfrm>
            <a:off x="1514" y="237"/>
            <a:ext cx="124"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18" name="Line 119"/>
          <xdr:cNvSpPr>
            <a:spLocks/>
          </xdr:cNvSpPr>
        </xdr:nvSpPr>
        <xdr:spPr>
          <a:xfrm>
            <a:off x="1633" y="272"/>
            <a:ext cx="0" cy="112"/>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19" name="Line 120"/>
          <xdr:cNvSpPr>
            <a:spLocks/>
          </xdr:cNvSpPr>
        </xdr:nvSpPr>
        <xdr:spPr>
          <a:xfrm>
            <a:off x="1519" y="272"/>
            <a:ext cx="0" cy="112"/>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20" name="Line 121"/>
          <xdr:cNvSpPr>
            <a:spLocks/>
          </xdr:cNvSpPr>
        </xdr:nvSpPr>
        <xdr:spPr>
          <a:xfrm>
            <a:off x="1525" y="267"/>
            <a:ext cx="104"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21" name="Line 122"/>
          <xdr:cNvSpPr>
            <a:spLocks/>
          </xdr:cNvSpPr>
        </xdr:nvSpPr>
        <xdr:spPr>
          <a:xfrm>
            <a:off x="1524" y="390"/>
            <a:ext cx="104"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22" name="Line 123"/>
          <xdr:cNvSpPr>
            <a:spLocks/>
          </xdr:cNvSpPr>
        </xdr:nvSpPr>
        <xdr:spPr>
          <a:xfrm flipV="1">
            <a:off x="1519" y="267"/>
            <a:ext cx="6" cy="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23" name="Line 124"/>
          <xdr:cNvSpPr>
            <a:spLocks/>
          </xdr:cNvSpPr>
        </xdr:nvSpPr>
        <xdr:spPr>
          <a:xfrm flipV="1">
            <a:off x="1628" y="385"/>
            <a:ext cx="5" cy="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24" name="Line 125"/>
          <xdr:cNvSpPr>
            <a:spLocks/>
          </xdr:cNvSpPr>
        </xdr:nvSpPr>
        <xdr:spPr>
          <a:xfrm flipH="1" flipV="1">
            <a:off x="1628" y="267"/>
            <a:ext cx="5" cy="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25" name="Line 126"/>
          <xdr:cNvSpPr>
            <a:spLocks/>
          </xdr:cNvSpPr>
        </xdr:nvSpPr>
        <xdr:spPr>
          <a:xfrm flipH="1" flipV="1">
            <a:off x="1519" y="385"/>
            <a:ext cx="6" cy="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26" name="Line 127"/>
          <xdr:cNvSpPr>
            <a:spLocks/>
          </xdr:cNvSpPr>
        </xdr:nvSpPr>
        <xdr:spPr>
          <a:xfrm>
            <a:off x="1519" y="231"/>
            <a:ext cx="1" cy="12"/>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27" name="Line 128"/>
          <xdr:cNvSpPr>
            <a:spLocks/>
          </xdr:cNvSpPr>
        </xdr:nvSpPr>
        <xdr:spPr>
          <a:xfrm>
            <a:off x="1633" y="230"/>
            <a:ext cx="1" cy="13"/>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28" name="Text 1532"/>
          <xdr:cNvSpPr txBox="1">
            <a:spLocks noChangeArrowheads="1"/>
          </xdr:cNvSpPr>
        </xdr:nvSpPr>
        <xdr:spPr>
          <a:xfrm>
            <a:off x="1568" y="211"/>
            <a:ext cx="33" cy="29"/>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A1</a:t>
            </a:r>
          </a:p>
        </xdr:txBody>
      </xdr:sp>
      <xdr:sp>
        <xdr:nvSpPr>
          <xdr:cNvPr id="129" name="Line 130"/>
          <xdr:cNvSpPr>
            <a:spLocks/>
          </xdr:cNvSpPr>
        </xdr:nvSpPr>
        <xdr:spPr>
          <a:xfrm flipV="1">
            <a:off x="1516" y="233"/>
            <a:ext cx="8" cy="7"/>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30" name="Line 131"/>
          <xdr:cNvSpPr>
            <a:spLocks/>
          </xdr:cNvSpPr>
        </xdr:nvSpPr>
        <xdr:spPr>
          <a:xfrm flipV="1">
            <a:off x="1630" y="233"/>
            <a:ext cx="7" cy="7"/>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31" name="Line 132"/>
          <xdr:cNvSpPr>
            <a:spLocks/>
          </xdr:cNvSpPr>
        </xdr:nvSpPr>
        <xdr:spPr>
          <a:xfrm>
            <a:off x="1485" y="259"/>
            <a:ext cx="0" cy="138"/>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nvGrpSpPr>
          <xdr:cNvPr id="132" name="Group 133"/>
          <xdr:cNvGrpSpPr>
            <a:grpSpLocks/>
          </xdr:cNvGrpSpPr>
        </xdr:nvGrpSpPr>
        <xdr:grpSpPr>
          <a:xfrm>
            <a:off x="1477" y="263"/>
            <a:ext cx="15" cy="7"/>
            <a:chOff x="943" y="334"/>
            <a:chExt cx="16" cy="8"/>
          </a:xfrm>
          <a:solidFill>
            <a:srgbClr val="FFFFFF"/>
          </a:solidFill>
        </xdr:grpSpPr>
        <xdr:sp>
          <xdr:nvSpPr>
            <xdr:cNvPr id="133" name="Line 134"/>
            <xdr:cNvSpPr>
              <a:spLocks/>
            </xdr:cNvSpPr>
          </xdr:nvSpPr>
          <xdr:spPr>
            <a:xfrm>
              <a:off x="943" y="338"/>
              <a:ext cx="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34" name="Line 135"/>
            <xdr:cNvSpPr>
              <a:spLocks/>
            </xdr:cNvSpPr>
          </xdr:nvSpPr>
          <xdr:spPr>
            <a:xfrm flipV="1">
              <a:off x="948" y="334"/>
              <a:ext cx="8" cy="8"/>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grpSp>
        <xdr:nvGrpSpPr>
          <xdr:cNvPr id="135" name="Group 136"/>
          <xdr:cNvGrpSpPr>
            <a:grpSpLocks/>
          </xdr:cNvGrpSpPr>
        </xdr:nvGrpSpPr>
        <xdr:grpSpPr>
          <a:xfrm>
            <a:off x="1477" y="387"/>
            <a:ext cx="15" cy="7"/>
            <a:chOff x="943" y="334"/>
            <a:chExt cx="16" cy="8"/>
          </a:xfrm>
          <a:solidFill>
            <a:srgbClr val="FFFFFF"/>
          </a:solidFill>
        </xdr:grpSpPr>
        <xdr:sp>
          <xdr:nvSpPr>
            <xdr:cNvPr id="136" name="Line 137"/>
            <xdr:cNvSpPr>
              <a:spLocks/>
            </xdr:cNvSpPr>
          </xdr:nvSpPr>
          <xdr:spPr>
            <a:xfrm>
              <a:off x="943" y="338"/>
              <a:ext cx="16"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37" name="Line 138"/>
            <xdr:cNvSpPr>
              <a:spLocks/>
            </xdr:cNvSpPr>
          </xdr:nvSpPr>
          <xdr:spPr>
            <a:xfrm flipV="1">
              <a:off x="948" y="334"/>
              <a:ext cx="8" cy="8"/>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sp>
        <xdr:nvSpPr>
          <xdr:cNvPr id="138" name="Text 1574"/>
          <xdr:cNvSpPr txBox="1">
            <a:spLocks noChangeArrowheads="1"/>
          </xdr:cNvSpPr>
        </xdr:nvSpPr>
        <xdr:spPr>
          <a:xfrm>
            <a:off x="1459" y="314"/>
            <a:ext cx="28" cy="30"/>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B1</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17</xdr:row>
      <xdr:rowOff>0</xdr:rowOff>
    </xdr:from>
    <xdr:to>
      <xdr:col>40</xdr:col>
      <xdr:colOff>161925</xdr:colOff>
      <xdr:row>18</xdr:row>
      <xdr:rowOff>0</xdr:rowOff>
    </xdr:to>
    <xdr:sp>
      <xdr:nvSpPr>
        <xdr:cNvPr id="1" name="Rectangle 453"/>
        <xdr:cNvSpPr>
          <a:spLocks/>
        </xdr:cNvSpPr>
      </xdr:nvSpPr>
      <xdr:spPr>
        <a:xfrm flipV="1">
          <a:off x="9696450" y="2733675"/>
          <a:ext cx="2695575" cy="28575"/>
        </a:xfrm>
        <a:prstGeom prst="rect">
          <a:avLst/>
        </a:prstGeom>
        <a:pattFill prst="lt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30</xdr:col>
      <xdr:colOff>0</xdr:colOff>
      <xdr:row>9</xdr:row>
      <xdr:rowOff>19050</xdr:rowOff>
    </xdr:from>
    <xdr:to>
      <xdr:col>40</xdr:col>
      <xdr:colOff>161925</xdr:colOff>
      <xdr:row>10</xdr:row>
      <xdr:rowOff>19050</xdr:rowOff>
    </xdr:to>
    <xdr:sp>
      <xdr:nvSpPr>
        <xdr:cNvPr id="2" name="Rectangle 452"/>
        <xdr:cNvSpPr>
          <a:spLocks/>
        </xdr:cNvSpPr>
      </xdr:nvSpPr>
      <xdr:spPr>
        <a:xfrm flipV="1">
          <a:off x="9696450" y="2200275"/>
          <a:ext cx="2695575" cy="28575"/>
        </a:xfrm>
        <a:prstGeom prst="rect">
          <a:avLst/>
        </a:prstGeom>
        <a:pattFill prst="lt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23</xdr:col>
      <xdr:colOff>0</xdr:colOff>
      <xdr:row>9</xdr:row>
      <xdr:rowOff>19050</xdr:rowOff>
    </xdr:from>
    <xdr:to>
      <xdr:col>29</xdr:col>
      <xdr:colOff>0</xdr:colOff>
      <xdr:row>10</xdr:row>
      <xdr:rowOff>19050</xdr:rowOff>
    </xdr:to>
    <xdr:sp>
      <xdr:nvSpPr>
        <xdr:cNvPr id="3" name="Rectangle 450"/>
        <xdr:cNvSpPr>
          <a:spLocks/>
        </xdr:cNvSpPr>
      </xdr:nvSpPr>
      <xdr:spPr>
        <a:xfrm flipV="1">
          <a:off x="6781800" y="2200275"/>
          <a:ext cx="2790825" cy="28575"/>
        </a:xfrm>
        <a:prstGeom prst="rect">
          <a:avLst/>
        </a:prstGeom>
        <a:pattFill prst="lt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xdr:col>
      <xdr:colOff>19050</xdr:colOff>
      <xdr:row>17</xdr:row>
      <xdr:rowOff>0</xdr:rowOff>
    </xdr:from>
    <xdr:to>
      <xdr:col>22</xdr:col>
      <xdr:colOff>0</xdr:colOff>
      <xdr:row>18</xdr:row>
      <xdr:rowOff>0</xdr:rowOff>
    </xdr:to>
    <xdr:sp>
      <xdr:nvSpPr>
        <xdr:cNvPr id="4" name="Rectangle 1"/>
        <xdr:cNvSpPr>
          <a:spLocks/>
        </xdr:cNvSpPr>
      </xdr:nvSpPr>
      <xdr:spPr>
        <a:xfrm>
          <a:off x="723900" y="2733675"/>
          <a:ext cx="5934075" cy="28575"/>
        </a:xfrm>
        <a:prstGeom prst="rect">
          <a:avLst/>
        </a:prstGeom>
        <a:pattFill prst="lt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xdr:col>
      <xdr:colOff>19050</xdr:colOff>
      <xdr:row>9</xdr:row>
      <xdr:rowOff>19050</xdr:rowOff>
    </xdr:from>
    <xdr:to>
      <xdr:col>22</xdr:col>
      <xdr:colOff>0</xdr:colOff>
      <xdr:row>10</xdr:row>
      <xdr:rowOff>19050</xdr:rowOff>
    </xdr:to>
    <xdr:sp>
      <xdr:nvSpPr>
        <xdr:cNvPr id="5" name="Rectangle 2"/>
        <xdr:cNvSpPr>
          <a:spLocks/>
        </xdr:cNvSpPr>
      </xdr:nvSpPr>
      <xdr:spPr>
        <a:xfrm flipV="1">
          <a:off x="723900" y="2200275"/>
          <a:ext cx="5934075" cy="28575"/>
        </a:xfrm>
        <a:prstGeom prst="rect">
          <a:avLst/>
        </a:prstGeom>
        <a:pattFill prst="lt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xdr:col>
      <xdr:colOff>95250</xdr:colOff>
      <xdr:row>2</xdr:row>
      <xdr:rowOff>0</xdr:rowOff>
    </xdr:from>
    <xdr:to>
      <xdr:col>43</xdr:col>
      <xdr:colOff>123825</xdr:colOff>
      <xdr:row>2</xdr:row>
      <xdr:rowOff>0</xdr:rowOff>
    </xdr:to>
    <xdr:sp>
      <xdr:nvSpPr>
        <xdr:cNvPr id="6" name="Line 3"/>
        <xdr:cNvSpPr>
          <a:spLocks/>
        </xdr:cNvSpPr>
      </xdr:nvSpPr>
      <xdr:spPr>
        <a:xfrm flipV="1">
          <a:off x="600075" y="552450"/>
          <a:ext cx="12249150"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xdr:col>
      <xdr:colOff>95250</xdr:colOff>
      <xdr:row>4</xdr:row>
      <xdr:rowOff>0</xdr:rowOff>
    </xdr:from>
    <xdr:to>
      <xdr:col>18</xdr:col>
      <xdr:colOff>276225</xdr:colOff>
      <xdr:row>4</xdr:row>
      <xdr:rowOff>0</xdr:rowOff>
    </xdr:to>
    <xdr:sp>
      <xdr:nvSpPr>
        <xdr:cNvPr id="7" name="Line 4"/>
        <xdr:cNvSpPr>
          <a:spLocks/>
        </xdr:cNvSpPr>
      </xdr:nvSpPr>
      <xdr:spPr>
        <a:xfrm>
          <a:off x="600075" y="1200150"/>
          <a:ext cx="4371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xdr:col>
      <xdr:colOff>0</xdr:colOff>
      <xdr:row>3</xdr:row>
      <xdr:rowOff>200025</xdr:rowOff>
    </xdr:from>
    <xdr:to>
      <xdr:col>2</xdr:col>
      <xdr:colOff>0</xdr:colOff>
      <xdr:row>4</xdr:row>
      <xdr:rowOff>114300</xdr:rowOff>
    </xdr:to>
    <xdr:sp>
      <xdr:nvSpPr>
        <xdr:cNvPr id="8" name="Line 5"/>
        <xdr:cNvSpPr>
          <a:spLocks/>
        </xdr:cNvSpPr>
      </xdr:nvSpPr>
      <xdr:spPr>
        <a:xfrm flipH="1">
          <a:off x="704850" y="1076325"/>
          <a:ext cx="0" cy="238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xdr:col>
      <xdr:colOff>85725</xdr:colOff>
      <xdr:row>3</xdr:row>
      <xdr:rowOff>0</xdr:rowOff>
    </xdr:from>
    <xdr:to>
      <xdr:col>13</xdr:col>
      <xdr:colOff>133350</xdr:colOff>
      <xdr:row>3</xdr:row>
      <xdr:rowOff>0</xdr:rowOff>
    </xdr:to>
    <xdr:sp>
      <xdr:nvSpPr>
        <xdr:cNvPr id="9" name="Line 7"/>
        <xdr:cNvSpPr>
          <a:spLocks/>
        </xdr:cNvSpPr>
      </xdr:nvSpPr>
      <xdr:spPr>
        <a:xfrm>
          <a:off x="590550" y="876300"/>
          <a:ext cx="2981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xdr:col>
      <xdr:colOff>0</xdr:colOff>
      <xdr:row>2</xdr:row>
      <xdr:rowOff>219075</xdr:rowOff>
    </xdr:from>
    <xdr:to>
      <xdr:col>2</xdr:col>
      <xdr:colOff>0</xdr:colOff>
      <xdr:row>3</xdr:row>
      <xdr:rowOff>104775</xdr:rowOff>
    </xdr:to>
    <xdr:sp>
      <xdr:nvSpPr>
        <xdr:cNvPr id="10" name="Line 8"/>
        <xdr:cNvSpPr>
          <a:spLocks/>
        </xdr:cNvSpPr>
      </xdr:nvSpPr>
      <xdr:spPr>
        <a:xfrm>
          <a:off x="704850" y="771525"/>
          <a:ext cx="0" cy="2095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13</xdr:col>
      <xdr:colOff>0</xdr:colOff>
      <xdr:row>2</xdr:row>
      <xdr:rowOff>219075</xdr:rowOff>
    </xdr:from>
    <xdr:to>
      <xdr:col>13</xdr:col>
      <xdr:colOff>0</xdr:colOff>
      <xdr:row>3</xdr:row>
      <xdr:rowOff>95250</xdr:rowOff>
    </xdr:to>
    <xdr:sp>
      <xdr:nvSpPr>
        <xdr:cNvPr id="11" name="Line 9"/>
        <xdr:cNvSpPr>
          <a:spLocks/>
        </xdr:cNvSpPr>
      </xdr:nvSpPr>
      <xdr:spPr>
        <a:xfrm>
          <a:off x="3438525" y="771525"/>
          <a:ext cx="0" cy="200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xdr:col>
      <xdr:colOff>0</xdr:colOff>
      <xdr:row>1</xdr:row>
      <xdr:rowOff>371475</xdr:rowOff>
    </xdr:from>
    <xdr:to>
      <xdr:col>2</xdr:col>
      <xdr:colOff>0</xdr:colOff>
      <xdr:row>2</xdr:row>
      <xdr:rowOff>142875</xdr:rowOff>
    </xdr:to>
    <xdr:sp>
      <xdr:nvSpPr>
        <xdr:cNvPr id="12" name="Line 10"/>
        <xdr:cNvSpPr>
          <a:spLocks/>
        </xdr:cNvSpPr>
      </xdr:nvSpPr>
      <xdr:spPr>
        <a:xfrm>
          <a:off x="704850" y="419100"/>
          <a:ext cx="0" cy="27622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32</xdr:col>
      <xdr:colOff>304800</xdr:colOff>
      <xdr:row>4</xdr:row>
      <xdr:rowOff>0</xdr:rowOff>
    </xdr:from>
    <xdr:to>
      <xdr:col>43</xdr:col>
      <xdr:colOff>114300</xdr:colOff>
      <xdr:row>4</xdr:row>
      <xdr:rowOff>0</xdr:rowOff>
    </xdr:to>
    <xdr:sp>
      <xdr:nvSpPr>
        <xdr:cNvPr id="13" name="Line 11"/>
        <xdr:cNvSpPr>
          <a:spLocks/>
        </xdr:cNvSpPr>
      </xdr:nvSpPr>
      <xdr:spPr>
        <a:xfrm>
          <a:off x="10296525" y="1200150"/>
          <a:ext cx="2543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36</xdr:col>
      <xdr:colOff>247650</xdr:colOff>
      <xdr:row>3</xdr:row>
      <xdr:rowOff>219075</xdr:rowOff>
    </xdr:from>
    <xdr:to>
      <xdr:col>36</xdr:col>
      <xdr:colOff>247650</xdr:colOff>
      <xdr:row>4</xdr:row>
      <xdr:rowOff>114300</xdr:rowOff>
    </xdr:to>
    <xdr:sp>
      <xdr:nvSpPr>
        <xdr:cNvPr id="14" name="Line 12"/>
        <xdr:cNvSpPr>
          <a:spLocks/>
        </xdr:cNvSpPr>
      </xdr:nvSpPr>
      <xdr:spPr>
        <a:xfrm>
          <a:off x="11572875" y="1095375"/>
          <a:ext cx="0" cy="2190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43</xdr:col>
      <xdr:colOff>0</xdr:colOff>
      <xdr:row>3</xdr:row>
      <xdr:rowOff>228600</xdr:rowOff>
    </xdr:from>
    <xdr:to>
      <xdr:col>43</xdr:col>
      <xdr:colOff>0</xdr:colOff>
      <xdr:row>4</xdr:row>
      <xdr:rowOff>95250</xdr:rowOff>
    </xdr:to>
    <xdr:sp>
      <xdr:nvSpPr>
        <xdr:cNvPr id="15" name="Line 13"/>
        <xdr:cNvSpPr>
          <a:spLocks/>
        </xdr:cNvSpPr>
      </xdr:nvSpPr>
      <xdr:spPr>
        <a:xfrm>
          <a:off x="12725400" y="1104900"/>
          <a:ext cx="0" cy="1905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31</xdr:col>
      <xdr:colOff>38100</xdr:colOff>
      <xdr:row>3</xdr:row>
      <xdr:rowOff>0</xdr:rowOff>
    </xdr:from>
    <xdr:to>
      <xdr:col>43</xdr:col>
      <xdr:colOff>114300</xdr:colOff>
      <xdr:row>3</xdr:row>
      <xdr:rowOff>0</xdr:rowOff>
    </xdr:to>
    <xdr:sp>
      <xdr:nvSpPr>
        <xdr:cNvPr id="16" name="Line 14"/>
        <xdr:cNvSpPr>
          <a:spLocks/>
        </xdr:cNvSpPr>
      </xdr:nvSpPr>
      <xdr:spPr>
        <a:xfrm>
          <a:off x="9839325" y="876300"/>
          <a:ext cx="3000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43</xdr:col>
      <xdr:colOff>0</xdr:colOff>
      <xdr:row>2</xdr:row>
      <xdr:rowOff>209550</xdr:rowOff>
    </xdr:from>
    <xdr:to>
      <xdr:col>43</xdr:col>
      <xdr:colOff>0</xdr:colOff>
      <xdr:row>3</xdr:row>
      <xdr:rowOff>114300</xdr:rowOff>
    </xdr:to>
    <xdr:sp>
      <xdr:nvSpPr>
        <xdr:cNvPr id="17" name="Line 15"/>
        <xdr:cNvSpPr>
          <a:spLocks/>
        </xdr:cNvSpPr>
      </xdr:nvSpPr>
      <xdr:spPr>
        <a:xfrm>
          <a:off x="12725400" y="762000"/>
          <a:ext cx="0" cy="2286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32</xdr:col>
      <xdr:colOff>0</xdr:colOff>
      <xdr:row>2</xdr:row>
      <xdr:rowOff>219075</xdr:rowOff>
    </xdr:from>
    <xdr:to>
      <xdr:col>32</xdr:col>
      <xdr:colOff>0</xdr:colOff>
      <xdr:row>3</xdr:row>
      <xdr:rowOff>123825</xdr:rowOff>
    </xdr:to>
    <xdr:sp>
      <xdr:nvSpPr>
        <xdr:cNvPr id="18" name="Line 16"/>
        <xdr:cNvSpPr>
          <a:spLocks/>
        </xdr:cNvSpPr>
      </xdr:nvSpPr>
      <xdr:spPr>
        <a:xfrm>
          <a:off x="9991725" y="771525"/>
          <a:ext cx="0" cy="2286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xdr:col>
      <xdr:colOff>66675</xdr:colOff>
      <xdr:row>23</xdr:row>
      <xdr:rowOff>0</xdr:rowOff>
    </xdr:from>
    <xdr:to>
      <xdr:col>43</xdr:col>
      <xdr:colOff>104775</xdr:colOff>
      <xdr:row>23</xdr:row>
      <xdr:rowOff>0</xdr:rowOff>
    </xdr:to>
    <xdr:sp>
      <xdr:nvSpPr>
        <xdr:cNvPr id="19" name="Line 17"/>
        <xdr:cNvSpPr>
          <a:spLocks/>
        </xdr:cNvSpPr>
      </xdr:nvSpPr>
      <xdr:spPr>
        <a:xfrm>
          <a:off x="571500" y="3495675"/>
          <a:ext cx="12258675"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xdr:col>
      <xdr:colOff>0</xdr:colOff>
      <xdr:row>22</xdr:row>
      <xdr:rowOff>190500</xdr:rowOff>
    </xdr:from>
    <xdr:to>
      <xdr:col>2</xdr:col>
      <xdr:colOff>0</xdr:colOff>
      <xdr:row>23</xdr:row>
      <xdr:rowOff>85725</xdr:rowOff>
    </xdr:to>
    <xdr:sp>
      <xdr:nvSpPr>
        <xdr:cNvPr id="20" name="Line 18"/>
        <xdr:cNvSpPr>
          <a:spLocks/>
        </xdr:cNvSpPr>
      </xdr:nvSpPr>
      <xdr:spPr>
        <a:xfrm>
          <a:off x="704850" y="3409950"/>
          <a:ext cx="0" cy="17145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0</xdr:col>
      <xdr:colOff>152400</xdr:colOff>
      <xdr:row>44</xdr:row>
      <xdr:rowOff>257175</xdr:rowOff>
    </xdr:from>
    <xdr:to>
      <xdr:col>19</xdr:col>
      <xdr:colOff>228600</xdr:colOff>
      <xdr:row>51</xdr:row>
      <xdr:rowOff>238125</xdr:rowOff>
    </xdr:to>
    <xdr:sp>
      <xdr:nvSpPr>
        <xdr:cNvPr id="21" name="Text 149"/>
        <xdr:cNvSpPr txBox="1">
          <a:spLocks noChangeArrowheads="1"/>
        </xdr:cNvSpPr>
      </xdr:nvSpPr>
      <xdr:spPr>
        <a:xfrm>
          <a:off x="152400" y="8429625"/>
          <a:ext cx="5334000" cy="1847850"/>
        </a:xfrm>
        <a:prstGeom prst="rect">
          <a:avLst/>
        </a:prstGeom>
        <a:noFill/>
        <a:ln w="1" cmpd="sng">
          <a:noFill/>
        </a:ln>
      </xdr:spPr>
      <xdr:txBody>
        <a:bodyPr vertOverflow="clip" wrap="square"/>
        <a:p>
          <a:pPr algn="l">
            <a:defRPr/>
          </a:pPr>
          <a:r>
            <a:rPr lang="en-US" cap="none" sz="1400" b="0" i="0" u="none" baseline="0">
              <a:latin typeface="AngsanaUPC"/>
              <a:ea typeface="AngsanaUPC"/>
              <a:cs typeface="AngsanaUPC"/>
            </a:rPr>
            <a:t>   </a:t>
          </a:r>
          <a:r>
            <a:rPr lang="en-US" cap="none" sz="1400" b="1" i="0" u="sng" baseline="0">
              <a:latin typeface="AngsanaUPC"/>
              <a:ea typeface="AngsanaUPC"/>
              <a:cs typeface="AngsanaUPC"/>
            </a:rPr>
            <a:t>NOTES.</a:t>
          </a:r>
          <a:r>
            <a:rPr lang="en-US" cap="none" sz="1400" b="0" i="0" u="none" baseline="0">
              <a:latin typeface="AngsanaUPC"/>
              <a:ea typeface="AngsanaUPC"/>
              <a:cs typeface="AngsanaUPC"/>
            </a:rPr>
            <a:t>
    1.  ALL DIMENSIONS ARE IN CENTIMETERS UNLESS OTHERWISE SPECIFIED
    2.  CEMENT SHALL BE PORTLAND CEMENT TYPE III 
    3.  CONCRETE CYLINDRICAL COMPRESSIVE STRENGTH SHALL NOT BE LESS THAN
         280 KSC. AND 400 KSC. AT TRANSFER AND WORKING STAGE RESPECTIVELY(4003)
    4.  PRESTRESSING REINFORCEMENT SHALL CONFORM TO THAI INDUSTRIAL STANDARD      
         </a:t>
          </a:r>
        </a:p>
      </xdr:txBody>
    </xdr:sp>
    <xdr:clientData/>
  </xdr:twoCellAnchor>
  <xdr:twoCellAnchor>
    <xdr:from>
      <xdr:col>19</xdr:col>
      <xdr:colOff>85725</xdr:colOff>
      <xdr:row>24</xdr:row>
      <xdr:rowOff>133350</xdr:rowOff>
    </xdr:from>
    <xdr:to>
      <xdr:col>25</xdr:col>
      <xdr:colOff>495300</xdr:colOff>
      <xdr:row>26</xdr:row>
      <xdr:rowOff>0</xdr:rowOff>
    </xdr:to>
    <xdr:sp>
      <xdr:nvSpPr>
        <xdr:cNvPr id="22" name="Text 156"/>
        <xdr:cNvSpPr txBox="1">
          <a:spLocks noChangeArrowheads="1"/>
        </xdr:cNvSpPr>
      </xdr:nvSpPr>
      <xdr:spPr>
        <a:xfrm>
          <a:off x="5343525" y="3838575"/>
          <a:ext cx="2762250" cy="361950"/>
        </a:xfrm>
        <a:prstGeom prst="rect">
          <a:avLst/>
        </a:prstGeom>
        <a:noFill/>
        <a:ln w="1" cmpd="sng">
          <a:noFill/>
        </a:ln>
      </xdr:spPr>
      <xdr:txBody>
        <a:bodyPr vertOverflow="clip" wrap="square" anchor="ctr"/>
        <a:p>
          <a:pPr algn="ctr">
            <a:defRPr/>
          </a:pPr>
          <a:r>
            <a:rPr lang="en-US" cap="none" sz="2200" b="1" i="0" u="sng" baseline="0">
              <a:latin typeface="AngsanaUPC"/>
              <a:ea typeface="AngsanaUPC"/>
              <a:cs typeface="AngsanaUPC"/>
            </a:rPr>
            <a:t>LONGITUDINAL  SECTION</a:t>
          </a:r>
        </a:p>
      </xdr:txBody>
    </xdr:sp>
    <xdr:clientData/>
  </xdr:twoCellAnchor>
  <xdr:twoCellAnchor>
    <xdr:from>
      <xdr:col>29</xdr:col>
      <xdr:colOff>0</xdr:colOff>
      <xdr:row>6</xdr:row>
      <xdr:rowOff>114300</xdr:rowOff>
    </xdr:from>
    <xdr:to>
      <xdr:col>29</xdr:col>
      <xdr:colOff>0</xdr:colOff>
      <xdr:row>12</xdr:row>
      <xdr:rowOff>76200</xdr:rowOff>
    </xdr:to>
    <xdr:sp>
      <xdr:nvSpPr>
        <xdr:cNvPr id="23" name="Line 21"/>
        <xdr:cNvSpPr>
          <a:spLocks/>
        </xdr:cNvSpPr>
      </xdr:nvSpPr>
      <xdr:spPr>
        <a:xfrm>
          <a:off x="9572625" y="1857375"/>
          <a:ext cx="0" cy="5238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30</xdr:col>
      <xdr:colOff>0</xdr:colOff>
      <xdr:row>6</xdr:row>
      <xdr:rowOff>114300</xdr:rowOff>
    </xdr:from>
    <xdr:to>
      <xdr:col>30</xdr:col>
      <xdr:colOff>0</xdr:colOff>
      <xdr:row>13</xdr:row>
      <xdr:rowOff>0</xdr:rowOff>
    </xdr:to>
    <xdr:sp>
      <xdr:nvSpPr>
        <xdr:cNvPr id="24" name="Line 22"/>
        <xdr:cNvSpPr>
          <a:spLocks/>
        </xdr:cNvSpPr>
      </xdr:nvSpPr>
      <xdr:spPr>
        <a:xfrm>
          <a:off x="9696450" y="1857375"/>
          <a:ext cx="0" cy="5334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29</xdr:col>
      <xdr:colOff>0</xdr:colOff>
      <xdr:row>14</xdr:row>
      <xdr:rowOff>0</xdr:rowOff>
    </xdr:from>
    <xdr:to>
      <xdr:col>29</xdr:col>
      <xdr:colOff>0</xdr:colOff>
      <xdr:row>21</xdr:row>
      <xdr:rowOff>57150</xdr:rowOff>
    </xdr:to>
    <xdr:sp>
      <xdr:nvSpPr>
        <xdr:cNvPr id="25" name="Line 23"/>
        <xdr:cNvSpPr>
          <a:spLocks/>
        </xdr:cNvSpPr>
      </xdr:nvSpPr>
      <xdr:spPr>
        <a:xfrm>
          <a:off x="9572625" y="2543175"/>
          <a:ext cx="0" cy="46672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30</xdr:col>
      <xdr:colOff>0</xdr:colOff>
      <xdr:row>14</xdr:row>
      <xdr:rowOff>0</xdr:rowOff>
    </xdr:from>
    <xdr:to>
      <xdr:col>30</xdr:col>
      <xdr:colOff>0</xdr:colOff>
      <xdr:row>21</xdr:row>
      <xdr:rowOff>66675</xdr:rowOff>
    </xdr:to>
    <xdr:sp>
      <xdr:nvSpPr>
        <xdr:cNvPr id="26" name="Line 24"/>
        <xdr:cNvSpPr>
          <a:spLocks/>
        </xdr:cNvSpPr>
      </xdr:nvSpPr>
      <xdr:spPr>
        <a:xfrm>
          <a:off x="9696450" y="2543175"/>
          <a:ext cx="0" cy="47625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28</xdr:col>
      <xdr:colOff>276225</xdr:colOff>
      <xdr:row>13</xdr:row>
      <xdr:rowOff>133350</xdr:rowOff>
    </xdr:from>
    <xdr:to>
      <xdr:col>29</xdr:col>
      <xdr:colOff>0</xdr:colOff>
      <xdr:row>13</xdr:row>
      <xdr:rowOff>152400</xdr:rowOff>
    </xdr:to>
    <xdr:sp>
      <xdr:nvSpPr>
        <xdr:cNvPr id="27" name="Arc 25"/>
        <xdr:cNvSpPr>
          <a:spLocks/>
        </xdr:cNvSpPr>
      </xdr:nvSpPr>
      <xdr:spPr>
        <a:xfrm>
          <a:off x="9572625" y="2524125"/>
          <a:ext cx="0" cy="19050"/>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43</xdr:col>
      <xdr:colOff>0</xdr:colOff>
      <xdr:row>22</xdr:row>
      <xdr:rowOff>180975</xdr:rowOff>
    </xdr:from>
    <xdr:to>
      <xdr:col>43</xdr:col>
      <xdr:colOff>0</xdr:colOff>
      <xdr:row>23</xdr:row>
      <xdr:rowOff>114300</xdr:rowOff>
    </xdr:to>
    <xdr:sp>
      <xdr:nvSpPr>
        <xdr:cNvPr id="28" name="Line 26"/>
        <xdr:cNvSpPr>
          <a:spLocks/>
        </xdr:cNvSpPr>
      </xdr:nvSpPr>
      <xdr:spPr>
        <a:xfrm>
          <a:off x="12725400" y="3400425"/>
          <a:ext cx="0" cy="20955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36</xdr:col>
      <xdr:colOff>247650</xdr:colOff>
      <xdr:row>22</xdr:row>
      <xdr:rowOff>190500</xdr:rowOff>
    </xdr:from>
    <xdr:to>
      <xdr:col>36</xdr:col>
      <xdr:colOff>247650</xdr:colOff>
      <xdr:row>23</xdr:row>
      <xdr:rowOff>104775</xdr:rowOff>
    </xdr:to>
    <xdr:sp>
      <xdr:nvSpPr>
        <xdr:cNvPr id="29" name="Line 27"/>
        <xdr:cNvSpPr>
          <a:spLocks/>
        </xdr:cNvSpPr>
      </xdr:nvSpPr>
      <xdr:spPr>
        <a:xfrm>
          <a:off x="11572875" y="3409950"/>
          <a:ext cx="0" cy="1905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22</xdr:col>
      <xdr:colOff>0</xdr:colOff>
      <xdr:row>6</xdr:row>
      <xdr:rowOff>114300</xdr:rowOff>
    </xdr:from>
    <xdr:to>
      <xdr:col>22</xdr:col>
      <xdr:colOff>0</xdr:colOff>
      <xdr:row>13</xdr:row>
      <xdr:rowOff>0</xdr:rowOff>
    </xdr:to>
    <xdr:sp>
      <xdr:nvSpPr>
        <xdr:cNvPr id="30" name="Line 29"/>
        <xdr:cNvSpPr>
          <a:spLocks/>
        </xdr:cNvSpPr>
      </xdr:nvSpPr>
      <xdr:spPr>
        <a:xfrm>
          <a:off x="6657975" y="1857375"/>
          <a:ext cx="0" cy="5334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23</xdr:col>
      <xdr:colOff>0</xdr:colOff>
      <xdr:row>6</xdr:row>
      <xdr:rowOff>114300</xdr:rowOff>
    </xdr:from>
    <xdr:to>
      <xdr:col>23</xdr:col>
      <xdr:colOff>0</xdr:colOff>
      <xdr:row>13</xdr:row>
      <xdr:rowOff>0</xdr:rowOff>
    </xdr:to>
    <xdr:sp>
      <xdr:nvSpPr>
        <xdr:cNvPr id="31" name="Line 30"/>
        <xdr:cNvSpPr>
          <a:spLocks/>
        </xdr:cNvSpPr>
      </xdr:nvSpPr>
      <xdr:spPr>
        <a:xfrm>
          <a:off x="6781800" y="1857375"/>
          <a:ext cx="0" cy="5334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22</xdr:col>
      <xdr:colOff>0</xdr:colOff>
      <xdr:row>14</xdr:row>
      <xdr:rowOff>0</xdr:rowOff>
    </xdr:from>
    <xdr:to>
      <xdr:col>22</xdr:col>
      <xdr:colOff>0</xdr:colOff>
      <xdr:row>21</xdr:row>
      <xdr:rowOff>47625</xdr:rowOff>
    </xdr:to>
    <xdr:sp>
      <xdr:nvSpPr>
        <xdr:cNvPr id="32" name="Line 31"/>
        <xdr:cNvSpPr>
          <a:spLocks/>
        </xdr:cNvSpPr>
      </xdr:nvSpPr>
      <xdr:spPr>
        <a:xfrm>
          <a:off x="6657975" y="2543175"/>
          <a:ext cx="0" cy="4572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23</xdr:col>
      <xdr:colOff>0</xdr:colOff>
      <xdr:row>14</xdr:row>
      <xdr:rowOff>0</xdr:rowOff>
    </xdr:from>
    <xdr:to>
      <xdr:col>23</xdr:col>
      <xdr:colOff>0</xdr:colOff>
      <xdr:row>21</xdr:row>
      <xdr:rowOff>47625</xdr:rowOff>
    </xdr:to>
    <xdr:sp>
      <xdr:nvSpPr>
        <xdr:cNvPr id="33" name="Line 32"/>
        <xdr:cNvSpPr>
          <a:spLocks/>
        </xdr:cNvSpPr>
      </xdr:nvSpPr>
      <xdr:spPr>
        <a:xfrm>
          <a:off x="6781800" y="2543175"/>
          <a:ext cx="0" cy="4572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21</xdr:col>
      <xdr:colOff>276225</xdr:colOff>
      <xdr:row>13</xdr:row>
      <xdr:rowOff>142875</xdr:rowOff>
    </xdr:from>
    <xdr:to>
      <xdr:col>21</xdr:col>
      <xdr:colOff>266700</xdr:colOff>
      <xdr:row>13</xdr:row>
      <xdr:rowOff>152400</xdr:rowOff>
    </xdr:to>
    <xdr:sp>
      <xdr:nvSpPr>
        <xdr:cNvPr id="34" name="Arc 33"/>
        <xdr:cNvSpPr>
          <a:spLocks/>
        </xdr:cNvSpPr>
      </xdr:nvSpPr>
      <xdr:spPr>
        <a:xfrm>
          <a:off x="6657975" y="2533650"/>
          <a:ext cx="0" cy="9525"/>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19</xdr:col>
      <xdr:colOff>409575</xdr:colOff>
      <xdr:row>42</xdr:row>
      <xdr:rowOff>247650</xdr:rowOff>
    </xdr:from>
    <xdr:to>
      <xdr:col>28</xdr:col>
      <xdr:colOff>19050</xdr:colOff>
      <xdr:row>44</xdr:row>
      <xdr:rowOff>180975</xdr:rowOff>
    </xdr:to>
    <xdr:sp>
      <xdr:nvSpPr>
        <xdr:cNvPr id="35" name="Text 272"/>
        <xdr:cNvSpPr txBox="1">
          <a:spLocks noChangeArrowheads="1"/>
        </xdr:cNvSpPr>
      </xdr:nvSpPr>
      <xdr:spPr>
        <a:xfrm>
          <a:off x="5667375" y="7886700"/>
          <a:ext cx="3648075" cy="466725"/>
        </a:xfrm>
        <a:prstGeom prst="rect">
          <a:avLst/>
        </a:prstGeom>
        <a:noFill/>
        <a:ln w="1" cmpd="sng">
          <a:noFill/>
        </a:ln>
      </xdr:spPr>
      <xdr:txBody>
        <a:bodyPr vertOverflow="clip" wrap="square"/>
        <a:p>
          <a:pPr algn="l">
            <a:defRPr/>
          </a:pPr>
          <a:r>
            <a:rPr lang="en-US" cap="none" sz="2600" b="1" i="0" u="none" baseline="0">
              <a:latin typeface="AngsanaUPC"/>
              <a:ea typeface="AngsanaUPC"/>
              <a:cs typeface="AngsanaUPC"/>
            </a:rPr>
            <a:t>I. 40  (1232)        </a:t>
          </a:r>
          <a:r>
            <a:rPr lang="en-US" cap="none" sz="1800" b="1" i="0" u="none" baseline="0">
              <a:latin typeface="AngsanaUPC"/>
              <a:ea typeface="AngsanaUPC"/>
              <a:cs typeface="AngsanaUPC"/>
            </a:rPr>
            <a:t>เสาเข็มหลัก</a:t>
          </a:r>
          <a:r>
            <a:rPr lang="en-US" cap="none" sz="2600" b="1" i="0" u="none" baseline="0">
              <a:latin typeface="AngsanaUPC"/>
              <a:ea typeface="AngsanaUPC"/>
              <a:cs typeface="AngsanaUPC"/>
            </a:rPr>
            <a:t>  </a:t>
          </a:r>
        </a:p>
      </xdr:txBody>
    </xdr:sp>
    <xdr:clientData/>
  </xdr:twoCellAnchor>
  <xdr:twoCellAnchor>
    <xdr:from>
      <xdr:col>1</xdr:col>
      <xdr:colOff>161925</xdr:colOff>
      <xdr:row>2</xdr:row>
      <xdr:rowOff>285750</xdr:rowOff>
    </xdr:from>
    <xdr:to>
      <xdr:col>2</xdr:col>
      <xdr:colOff>28575</xdr:colOff>
      <xdr:row>3</xdr:row>
      <xdr:rowOff>28575</xdr:rowOff>
    </xdr:to>
    <xdr:sp>
      <xdr:nvSpPr>
        <xdr:cNvPr id="36" name="Oval 35"/>
        <xdr:cNvSpPr>
          <a:spLocks/>
        </xdr:cNvSpPr>
      </xdr:nvSpPr>
      <xdr:spPr>
        <a:xfrm>
          <a:off x="666750" y="838200"/>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xdr:col>
      <xdr:colOff>161925</xdr:colOff>
      <xdr:row>3</xdr:row>
      <xdr:rowOff>285750</xdr:rowOff>
    </xdr:from>
    <xdr:to>
      <xdr:col>2</xdr:col>
      <xdr:colOff>28575</xdr:colOff>
      <xdr:row>4</xdr:row>
      <xdr:rowOff>28575</xdr:rowOff>
    </xdr:to>
    <xdr:sp>
      <xdr:nvSpPr>
        <xdr:cNvPr id="37" name="Oval 36"/>
        <xdr:cNvSpPr>
          <a:spLocks/>
        </xdr:cNvSpPr>
      </xdr:nvSpPr>
      <xdr:spPr>
        <a:xfrm>
          <a:off x="666750" y="1162050"/>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12</xdr:col>
      <xdr:colOff>304800</xdr:colOff>
      <xdr:row>2</xdr:row>
      <xdr:rowOff>285750</xdr:rowOff>
    </xdr:from>
    <xdr:to>
      <xdr:col>13</xdr:col>
      <xdr:colOff>38100</xdr:colOff>
      <xdr:row>3</xdr:row>
      <xdr:rowOff>28575</xdr:rowOff>
    </xdr:to>
    <xdr:sp>
      <xdr:nvSpPr>
        <xdr:cNvPr id="38" name="Oval 37"/>
        <xdr:cNvSpPr>
          <a:spLocks/>
        </xdr:cNvSpPr>
      </xdr:nvSpPr>
      <xdr:spPr>
        <a:xfrm>
          <a:off x="3409950" y="838200"/>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36</xdr:col>
      <xdr:colOff>209550</xdr:colOff>
      <xdr:row>3</xdr:row>
      <xdr:rowOff>285750</xdr:rowOff>
    </xdr:from>
    <xdr:to>
      <xdr:col>36</xdr:col>
      <xdr:colOff>276225</xdr:colOff>
      <xdr:row>4</xdr:row>
      <xdr:rowOff>28575</xdr:rowOff>
    </xdr:to>
    <xdr:sp>
      <xdr:nvSpPr>
        <xdr:cNvPr id="39" name="Oval 38"/>
        <xdr:cNvSpPr>
          <a:spLocks/>
        </xdr:cNvSpPr>
      </xdr:nvSpPr>
      <xdr:spPr>
        <a:xfrm>
          <a:off x="11534775" y="1162050"/>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xdr:col>
      <xdr:colOff>171450</xdr:colOff>
      <xdr:row>22</xdr:row>
      <xdr:rowOff>238125</xdr:rowOff>
    </xdr:from>
    <xdr:to>
      <xdr:col>2</xdr:col>
      <xdr:colOff>38100</xdr:colOff>
      <xdr:row>23</xdr:row>
      <xdr:rowOff>28575</xdr:rowOff>
    </xdr:to>
    <xdr:sp>
      <xdr:nvSpPr>
        <xdr:cNvPr id="40" name="Oval 39"/>
        <xdr:cNvSpPr>
          <a:spLocks/>
        </xdr:cNvSpPr>
      </xdr:nvSpPr>
      <xdr:spPr>
        <a:xfrm>
          <a:off x="676275" y="3457575"/>
          <a:ext cx="66675" cy="666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43</xdr:col>
      <xdr:colOff>0</xdr:colOff>
      <xdr:row>1</xdr:row>
      <xdr:rowOff>400050</xdr:rowOff>
    </xdr:from>
    <xdr:to>
      <xdr:col>43</xdr:col>
      <xdr:colOff>0</xdr:colOff>
      <xdr:row>2</xdr:row>
      <xdr:rowOff>114300</xdr:rowOff>
    </xdr:to>
    <xdr:sp>
      <xdr:nvSpPr>
        <xdr:cNvPr id="41" name="Line 40"/>
        <xdr:cNvSpPr>
          <a:spLocks/>
        </xdr:cNvSpPr>
      </xdr:nvSpPr>
      <xdr:spPr>
        <a:xfrm>
          <a:off x="12725400" y="447675"/>
          <a:ext cx="0" cy="2190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xdr:col>
      <xdr:colOff>47625</xdr:colOff>
      <xdr:row>7</xdr:row>
      <xdr:rowOff>85725</xdr:rowOff>
    </xdr:from>
    <xdr:to>
      <xdr:col>2</xdr:col>
      <xdr:colOff>47625</xdr:colOff>
      <xdr:row>19</xdr:row>
      <xdr:rowOff>9525</xdr:rowOff>
    </xdr:to>
    <xdr:sp>
      <xdr:nvSpPr>
        <xdr:cNvPr id="42" name="Line 41"/>
        <xdr:cNvSpPr>
          <a:spLocks/>
        </xdr:cNvSpPr>
      </xdr:nvSpPr>
      <xdr:spPr>
        <a:xfrm>
          <a:off x="752475" y="2152650"/>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xdr:col>
      <xdr:colOff>9525</xdr:colOff>
      <xdr:row>7</xdr:row>
      <xdr:rowOff>85725</xdr:rowOff>
    </xdr:from>
    <xdr:to>
      <xdr:col>3</xdr:col>
      <xdr:colOff>9525</xdr:colOff>
      <xdr:row>19</xdr:row>
      <xdr:rowOff>9525</xdr:rowOff>
    </xdr:to>
    <xdr:sp>
      <xdr:nvSpPr>
        <xdr:cNvPr id="43" name="Line 42"/>
        <xdr:cNvSpPr>
          <a:spLocks/>
        </xdr:cNvSpPr>
      </xdr:nvSpPr>
      <xdr:spPr>
        <a:xfrm>
          <a:off x="828675" y="2152650"/>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26</xdr:col>
      <xdr:colOff>0</xdr:colOff>
      <xdr:row>7</xdr:row>
      <xdr:rowOff>85725</xdr:rowOff>
    </xdr:from>
    <xdr:to>
      <xdr:col>26</xdr:col>
      <xdr:colOff>0</xdr:colOff>
      <xdr:row>19</xdr:row>
      <xdr:rowOff>19050</xdr:rowOff>
    </xdr:to>
    <xdr:sp>
      <xdr:nvSpPr>
        <xdr:cNvPr id="44" name="Line 43"/>
        <xdr:cNvSpPr>
          <a:spLocks/>
        </xdr:cNvSpPr>
      </xdr:nvSpPr>
      <xdr:spPr>
        <a:xfrm>
          <a:off x="8172450" y="2152650"/>
          <a:ext cx="0" cy="6477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27</xdr:col>
      <xdr:colOff>0</xdr:colOff>
      <xdr:row>7</xdr:row>
      <xdr:rowOff>85725</xdr:rowOff>
    </xdr:from>
    <xdr:to>
      <xdr:col>27</xdr:col>
      <xdr:colOff>0</xdr:colOff>
      <xdr:row>19</xdr:row>
      <xdr:rowOff>9525</xdr:rowOff>
    </xdr:to>
    <xdr:sp>
      <xdr:nvSpPr>
        <xdr:cNvPr id="45" name="Line 44"/>
        <xdr:cNvSpPr>
          <a:spLocks/>
        </xdr:cNvSpPr>
      </xdr:nvSpPr>
      <xdr:spPr>
        <a:xfrm>
          <a:off x="8734425" y="2152650"/>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28</xdr:col>
      <xdr:colOff>0</xdr:colOff>
      <xdr:row>7</xdr:row>
      <xdr:rowOff>85725</xdr:rowOff>
    </xdr:from>
    <xdr:to>
      <xdr:col>28</xdr:col>
      <xdr:colOff>0</xdr:colOff>
      <xdr:row>19</xdr:row>
      <xdr:rowOff>9525</xdr:rowOff>
    </xdr:to>
    <xdr:sp>
      <xdr:nvSpPr>
        <xdr:cNvPr id="46" name="Line 45"/>
        <xdr:cNvSpPr>
          <a:spLocks/>
        </xdr:cNvSpPr>
      </xdr:nvSpPr>
      <xdr:spPr>
        <a:xfrm>
          <a:off x="9296400" y="2152650"/>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24</xdr:col>
      <xdr:colOff>200025</xdr:colOff>
      <xdr:row>4</xdr:row>
      <xdr:rowOff>114300</xdr:rowOff>
    </xdr:from>
    <xdr:to>
      <xdr:col>24</xdr:col>
      <xdr:colOff>200025</xdr:colOff>
      <xdr:row>19</xdr:row>
      <xdr:rowOff>38100</xdr:rowOff>
    </xdr:to>
    <xdr:sp>
      <xdr:nvSpPr>
        <xdr:cNvPr id="47" name="Line 46"/>
        <xdr:cNvSpPr>
          <a:spLocks/>
        </xdr:cNvSpPr>
      </xdr:nvSpPr>
      <xdr:spPr>
        <a:xfrm>
          <a:off x="7248525" y="1314450"/>
          <a:ext cx="0" cy="150495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24</xdr:col>
      <xdr:colOff>200025</xdr:colOff>
      <xdr:row>4</xdr:row>
      <xdr:rowOff>114300</xdr:rowOff>
    </xdr:from>
    <xdr:to>
      <xdr:col>27</xdr:col>
      <xdr:colOff>133350</xdr:colOff>
      <xdr:row>4</xdr:row>
      <xdr:rowOff>114300</xdr:rowOff>
    </xdr:to>
    <xdr:sp>
      <xdr:nvSpPr>
        <xdr:cNvPr id="48" name="Line 47"/>
        <xdr:cNvSpPr>
          <a:spLocks/>
        </xdr:cNvSpPr>
      </xdr:nvSpPr>
      <xdr:spPr>
        <a:xfrm flipV="1">
          <a:off x="7248525" y="1314450"/>
          <a:ext cx="1619250"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24</xdr:col>
      <xdr:colOff>438150</xdr:colOff>
      <xdr:row>4</xdr:row>
      <xdr:rowOff>114300</xdr:rowOff>
    </xdr:from>
    <xdr:to>
      <xdr:col>24</xdr:col>
      <xdr:colOff>438150</xdr:colOff>
      <xdr:row>10</xdr:row>
      <xdr:rowOff>0</xdr:rowOff>
    </xdr:to>
    <xdr:sp>
      <xdr:nvSpPr>
        <xdr:cNvPr id="49" name="Line 48"/>
        <xdr:cNvSpPr>
          <a:spLocks/>
        </xdr:cNvSpPr>
      </xdr:nvSpPr>
      <xdr:spPr>
        <a:xfrm>
          <a:off x="7486650" y="1314450"/>
          <a:ext cx="0" cy="89535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24</xdr:col>
      <xdr:colOff>200025</xdr:colOff>
      <xdr:row>17</xdr:row>
      <xdr:rowOff>9525</xdr:rowOff>
    </xdr:from>
    <xdr:to>
      <xdr:col>24</xdr:col>
      <xdr:colOff>228600</xdr:colOff>
      <xdr:row>19</xdr:row>
      <xdr:rowOff>28575</xdr:rowOff>
    </xdr:to>
    <xdr:sp>
      <xdr:nvSpPr>
        <xdr:cNvPr id="50" name="Arc 49"/>
        <xdr:cNvSpPr>
          <a:spLocks/>
        </xdr:cNvSpPr>
      </xdr:nvSpPr>
      <xdr:spPr>
        <a:xfrm flipV="1">
          <a:off x="7248525" y="2743200"/>
          <a:ext cx="28575" cy="66675"/>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24</xdr:col>
      <xdr:colOff>228600</xdr:colOff>
      <xdr:row>3</xdr:row>
      <xdr:rowOff>123825</xdr:rowOff>
    </xdr:from>
    <xdr:to>
      <xdr:col>27</xdr:col>
      <xdr:colOff>428625</xdr:colOff>
      <xdr:row>4</xdr:row>
      <xdr:rowOff>76200</xdr:rowOff>
    </xdr:to>
    <xdr:sp>
      <xdr:nvSpPr>
        <xdr:cNvPr id="51" name="Text 875"/>
        <xdr:cNvSpPr txBox="1">
          <a:spLocks noChangeArrowheads="1"/>
        </xdr:cNvSpPr>
      </xdr:nvSpPr>
      <xdr:spPr>
        <a:xfrm>
          <a:off x="7277100" y="1000125"/>
          <a:ext cx="1885950" cy="276225"/>
        </a:xfrm>
        <a:prstGeom prst="rect">
          <a:avLst/>
        </a:prstGeom>
        <a:noFill/>
        <a:ln w="1" cmpd="sng">
          <a:noFill/>
        </a:ln>
      </xdr:spPr>
      <xdr:txBody>
        <a:bodyPr vertOverflow="clip" wrap="square"/>
        <a:p>
          <a:pPr algn="l">
            <a:defRPr/>
          </a:pPr>
          <a:r>
            <a:rPr lang="en-US" cap="none" sz="1800" b="0" i="0" u="none" baseline="0">
              <a:latin typeface="AngsanaUPC"/>
              <a:ea typeface="AngsanaUPC"/>
              <a:cs typeface="AngsanaUPC"/>
            </a:rPr>
            <a:t>PC.WIRE OR STRAND</a:t>
          </a:r>
        </a:p>
      </xdr:txBody>
    </xdr:sp>
    <xdr:clientData/>
  </xdr:twoCellAnchor>
  <xdr:twoCellAnchor>
    <xdr:from>
      <xdr:col>17</xdr:col>
      <xdr:colOff>133350</xdr:colOff>
      <xdr:row>47</xdr:row>
      <xdr:rowOff>0</xdr:rowOff>
    </xdr:from>
    <xdr:to>
      <xdr:col>17</xdr:col>
      <xdr:colOff>133350</xdr:colOff>
      <xdr:row>47</xdr:row>
      <xdr:rowOff>0</xdr:rowOff>
    </xdr:to>
    <xdr:sp>
      <xdr:nvSpPr>
        <xdr:cNvPr id="52" name="Oval 51"/>
        <xdr:cNvSpPr>
          <a:spLocks/>
        </xdr:cNvSpPr>
      </xdr:nvSpPr>
      <xdr:spPr>
        <a:xfrm>
          <a:off x="4267200" y="8972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54</xdr:col>
      <xdr:colOff>495300</xdr:colOff>
      <xdr:row>52</xdr:row>
      <xdr:rowOff>0</xdr:rowOff>
    </xdr:from>
    <xdr:to>
      <xdr:col>55</xdr:col>
      <xdr:colOff>209550</xdr:colOff>
      <xdr:row>52</xdr:row>
      <xdr:rowOff>0</xdr:rowOff>
    </xdr:to>
    <xdr:sp>
      <xdr:nvSpPr>
        <xdr:cNvPr id="53" name="Text 1062"/>
        <xdr:cNvSpPr txBox="1">
          <a:spLocks noChangeArrowheads="1"/>
        </xdr:cNvSpPr>
      </xdr:nvSpPr>
      <xdr:spPr>
        <a:xfrm>
          <a:off x="17783175" y="10306050"/>
          <a:ext cx="257175" cy="0"/>
        </a:xfrm>
        <a:prstGeom prst="rect">
          <a:avLst/>
        </a:prstGeom>
        <a:noFill/>
        <a:ln w="1" cmpd="sng">
          <a:noFill/>
        </a:ln>
      </xdr:spPr>
      <xdr:txBody>
        <a:bodyPr vertOverflow="clip" wrap="square" anchor="ctr" vert="vert"/>
        <a:p>
          <a:pPr algn="ctr">
            <a:defRPr/>
          </a:pPr>
          <a:r>
            <a:rPr lang="en-US" cap="none" sz="1400" b="0" i="0" u="none" baseline="0">
              <a:latin typeface="AngsanaUPC"/>
              <a:ea typeface="AngsanaUPC"/>
              <a:cs typeface="AngsanaUPC"/>
            </a:rPr>
            <a:t>CHK.</a:t>
          </a:r>
        </a:p>
      </xdr:txBody>
    </xdr:sp>
    <xdr:clientData/>
  </xdr:twoCellAnchor>
  <xdr:twoCellAnchor>
    <xdr:from>
      <xdr:col>54</xdr:col>
      <xdr:colOff>504825</xdr:colOff>
      <xdr:row>52</xdr:row>
      <xdr:rowOff>0</xdr:rowOff>
    </xdr:from>
    <xdr:to>
      <xdr:col>55</xdr:col>
      <xdr:colOff>238125</xdr:colOff>
      <xdr:row>52</xdr:row>
      <xdr:rowOff>0</xdr:rowOff>
    </xdr:to>
    <xdr:sp>
      <xdr:nvSpPr>
        <xdr:cNvPr id="54" name="Text 1063"/>
        <xdr:cNvSpPr txBox="1">
          <a:spLocks noChangeArrowheads="1"/>
        </xdr:cNvSpPr>
      </xdr:nvSpPr>
      <xdr:spPr>
        <a:xfrm>
          <a:off x="17792700" y="10306050"/>
          <a:ext cx="276225" cy="0"/>
        </a:xfrm>
        <a:prstGeom prst="rect">
          <a:avLst/>
        </a:prstGeom>
        <a:noFill/>
        <a:ln w="1" cmpd="sng">
          <a:noFill/>
        </a:ln>
      </xdr:spPr>
      <xdr:txBody>
        <a:bodyPr vertOverflow="clip" wrap="square" anchor="ctr" vert="vert"/>
        <a:p>
          <a:pPr algn="ctr">
            <a:defRPr/>
          </a:pPr>
          <a:r>
            <a:rPr lang="en-US" cap="none" sz="1400" b="0" i="0" u="none" baseline="0">
              <a:latin typeface="AngsanaUPC"/>
              <a:ea typeface="AngsanaUPC"/>
              <a:cs typeface="AngsanaUPC"/>
            </a:rPr>
            <a:t>DWN.</a:t>
          </a:r>
        </a:p>
      </xdr:txBody>
    </xdr:sp>
    <xdr:clientData/>
  </xdr:twoCellAnchor>
  <xdr:twoCellAnchor>
    <xdr:from>
      <xdr:col>56</xdr:col>
      <xdr:colOff>228600</xdr:colOff>
      <xdr:row>52</xdr:row>
      <xdr:rowOff>0</xdr:rowOff>
    </xdr:from>
    <xdr:to>
      <xdr:col>56</xdr:col>
      <xdr:colOff>466725</xdr:colOff>
      <xdr:row>52</xdr:row>
      <xdr:rowOff>0</xdr:rowOff>
    </xdr:to>
    <xdr:sp>
      <xdr:nvSpPr>
        <xdr:cNvPr id="55" name="Text 1066"/>
        <xdr:cNvSpPr txBox="1">
          <a:spLocks noChangeArrowheads="1"/>
        </xdr:cNvSpPr>
      </xdr:nvSpPr>
      <xdr:spPr>
        <a:xfrm>
          <a:off x="18602325" y="10306050"/>
          <a:ext cx="238125" cy="0"/>
        </a:xfrm>
        <a:prstGeom prst="rect">
          <a:avLst/>
        </a:prstGeom>
        <a:noFill/>
        <a:ln w="1" cmpd="sng">
          <a:noFill/>
        </a:ln>
      </xdr:spPr>
      <xdr:txBody>
        <a:bodyPr vertOverflow="clip" wrap="square" anchor="ctr" vert="vert"/>
        <a:p>
          <a:pPr algn="ctr">
            <a:defRPr/>
          </a:pPr>
          <a:r>
            <a:rPr lang="en-US" cap="none" sz="1400" b="0" i="0" u="none" baseline="0">
              <a:latin typeface="AngsanaUPC"/>
              <a:ea typeface="AngsanaUPC"/>
              <a:cs typeface="AngsanaUPC"/>
            </a:rPr>
            <a:t>SCALE.</a:t>
          </a:r>
        </a:p>
      </xdr:txBody>
    </xdr:sp>
    <xdr:clientData/>
  </xdr:twoCellAnchor>
  <xdr:twoCellAnchor>
    <xdr:from>
      <xdr:col>3</xdr:col>
      <xdr:colOff>171450</xdr:colOff>
      <xdr:row>7</xdr:row>
      <xdr:rowOff>85725</xdr:rowOff>
    </xdr:from>
    <xdr:to>
      <xdr:col>3</xdr:col>
      <xdr:colOff>171450</xdr:colOff>
      <xdr:row>19</xdr:row>
      <xdr:rowOff>9525</xdr:rowOff>
    </xdr:to>
    <xdr:sp>
      <xdr:nvSpPr>
        <xdr:cNvPr id="56" name="Line 55"/>
        <xdr:cNvSpPr>
          <a:spLocks/>
        </xdr:cNvSpPr>
      </xdr:nvSpPr>
      <xdr:spPr>
        <a:xfrm>
          <a:off x="990600" y="2152650"/>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6</xdr:col>
      <xdr:colOff>19050</xdr:colOff>
      <xdr:row>7</xdr:row>
      <xdr:rowOff>85725</xdr:rowOff>
    </xdr:from>
    <xdr:to>
      <xdr:col>6</xdr:col>
      <xdr:colOff>19050</xdr:colOff>
      <xdr:row>19</xdr:row>
      <xdr:rowOff>0</xdr:rowOff>
    </xdr:to>
    <xdr:sp>
      <xdr:nvSpPr>
        <xdr:cNvPr id="57" name="Line 56"/>
        <xdr:cNvSpPr>
          <a:spLocks/>
        </xdr:cNvSpPr>
      </xdr:nvSpPr>
      <xdr:spPr>
        <a:xfrm>
          <a:off x="1409700" y="2152650"/>
          <a:ext cx="0" cy="62865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7</xdr:col>
      <xdr:colOff>0</xdr:colOff>
      <xdr:row>7</xdr:row>
      <xdr:rowOff>85725</xdr:rowOff>
    </xdr:from>
    <xdr:to>
      <xdr:col>7</xdr:col>
      <xdr:colOff>0</xdr:colOff>
      <xdr:row>19</xdr:row>
      <xdr:rowOff>9525</xdr:rowOff>
    </xdr:to>
    <xdr:sp>
      <xdr:nvSpPr>
        <xdr:cNvPr id="58" name="Line 57"/>
        <xdr:cNvSpPr>
          <a:spLocks/>
        </xdr:cNvSpPr>
      </xdr:nvSpPr>
      <xdr:spPr>
        <a:xfrm>
          <a:off x="1581150" y="2152650"/>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37</xdr:col>
      <xdr:colOff>171450</xdr:colOff>
      <xdr:row>23</xdr:row>
      <xdr:rowOff>38100</xdr:rowOff>
    </xdr:from>
    <xdr:to>
      <xdr:col>42</xdr:col>
      <xdr:colOff>47625</xdr:colOff>
      <xdr:row>24</xdr:row>
      <xdr:rowOff>142875</xdr:rowOff>
    </xdr:to>
    <xdr:sp>
      <xdr:nvSpPr>
        <xdr:cNvPr id="59" name="Text 1378"/>
        <xdr:cNvSpPr txBox="1">
          <a:spLocks noChangeArrowheads="1"/>
        </xdr:cNvSpPr>
      </xdr:nvSpPr>
      <xdr:spPr>
        <a:xfrm>
          <a:off x="11830050" y="3533775"/>
          <a:ext cx="828675" cy="314325"/>
        </a:xfrm>
        <a:prstGeom prst="rect">
          <a:avLst/>
        </a:prstGeom>
        <a:noFill/>
        <a:ln w="1" cmpd="sng">
          <a:noFill/>
        </a:ln>
      </xdr:spPr>
      <xdr:txBody>
        <a:bodyPr vertOverflow="clip" wrap="square"/>
        <a:p>
          <a:pPr algn="l">
            <a:defRPr/>
          </a:pPr>
          <a:r>
            <a:rPr lang="en-US" cap="none" sz="1800" b="0" i="0" u="none" baseline="0">
              <a:latin typeface="AngsanaUPC"/>
              <a:ea typeface="AngsanaUPC"/>
              <a:cs typeface="AngsanaUPC"/>
            </a:rPr>
            <a:t>STIRRUP</a:t>
          </a:r>
        </a:p>
      </xdr:txBody>
    </xdr:sp>
    <xdr:clientData/>
  </xdr:twoCellAnchor>
  <xdr:twoCellAnchor>
    <xdr:from>
      <xdr:col>10</xdr:col>
      <xdr:colOff>0</xdr:colOff>
      <xdr:row>23</xdr:row>
      <xdr:rowOff>28575</xdr:rowOff>
    </xdr:from>
    <xdr:to>
      <xdr:col>10</xdr:col>
      <xdr:colOff>0</xdr:colOff>
      <xdr:row>24</xdr:row>
      <xdr:rowOff>133350</xdr:rowOff>
    </xdr:to>
    <xdr:sp>
      <xdr:nvSpPr>
        <xdr:cNvPr id="60" name="Text 1380"/>
        <xdr:cNvSpPr txBox="1">
          <a:spLocks noChangeArrowheads="1"/>
        </xdr:cNvSpPr>
      </xdr:nvSpPr>
      <xdr:spPr>
        <a:xfrm>
          <a:off x="2438400" y="3524250"/>
          <a:ext cx="0" cy="314325"/>
        </a:xfrm>
        <a:prstGeom prst="rect">
          <a:avLst/>
        </a:prstGeom>
        <a:noFill/>
        <a:ln w="1" cmpd="sng">
          <a:noFill/>
        </a:ln>
      </xdr:spPr>
      <xdr:txBody>
        <a:bodyPr vertOverflow="clip" wrap="square"/>
        <a:p>
          <a:pPr algn="l">
            <a:defRPr/>
          </a:pPr>
          <a:r>
            <a:rPr lang="en-US" cap="none" sz="1800" b="0" i="0" u="none" baseline="0">
              <a:latin typeface="AngsanaUPC"/>
              <a:ea typeface="AngsanaUPC"/>
              <a:cs typeface="AngsanaUPC"/>
            </a:rPr>
            <a:t>STIRRUP</a:t>
          </a:r>
        </a:p>
      </xdr:txBody>
    </xdr:sp>
    <xdr:clientData/>
  </xdr:twoCellAnchor>
  <xdr:twoCellAnchor>
    <xdr:from>
      <xdr:col>5</xdr:col>
      <xdr:colOff>38100</xdr:colOff>
      <xdr:row>8</xdr:row>
      <xdr:rowOff>0</xdr:rowOff>
    </xdr:from>
    <xdr:to>
      <xdr:col>5</xdr:col>
      <xdr:colOff>38100</xdr:colOff>
      <xdr:row>19</xdr:row>
      <xdr:rowOff>19050</xdr:rowOff>
    </xdr:to>
    <xdr:sp>
      <xdr:nvSpPr>
        <xdr:cNvPr id="61" name="Line 60"/>
        <xdr:cNvSpPr>
          <a:spLocks/>
        </xdr:cNvSpPr>
      </xdr:nvSpPr>
      <xdr:spPr>
        <a:xfrm>
          <a:off x="1238250" y="2162175"/>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42</xdr:col>
      <xdr:colOff>85725</xdr:colOff>
      <xdr:row>1</xdr:row>
      <xdr:rowOff>466725</xdr:rowOff>
    </xdr:from>
    <xdr:to>
      <xdr:col>43</xdr:col>
      <xdr:colOff>38100</xdr:colOff>
      <xdr:row>2</xdr:row>
      <xdr:rowOff>28575</xdr:rowOff>
    </xdr:to>
    <xdr:sp>
      <xdr:nvSpPr>
        <xdr:cNvPr id="62" name="Oval 61"/>
        <xdr:cNvSpPr>
          <a:spLocks/>
        </xdr:cNvSpPr>
      </xdr:nvSpPr>
      <xdr:spPr>
        <a:xfrm>
          <a:off x="12696825" y="514350"/>
          <a:ext cx="66675" cy="666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42</xdr:col>
      <xdr:colOff>85725</xdr:colOff>
      <xdr:row>2</xdr:row>
      <xdr:rowOff>276225</xdr:rowOff>
    </xdr:from>
    <xdr:to>
      <xdr:col>43</xdr:col>
      <xdr:colOff>38100</xdr:colOff>
      <xdr:row>3</xdr:row>
      <xdr:rowOff>19050</xdr:rowOff>
    </xdr:to>
    <xdr:sp>
      <xdr:nvSpPr>
        <xdr:cNvPr id="63" name="Oval 62"/>
        <xdr:cNvSpPr>
          <a:spLocks/>
        </xdr:cNvSpPr>
      </xdr:nvSpPr>
      <xdr:spPr>
        <a:xfrm>
          <a:off x="12696825" y="828675"/>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40</xdr:col>
      <xdr:colOff>38100</xdr:colOff>
      <xdr:row>46</xdr:row>
      <xdr:rowOff>66675</xdr:rowOff>
    </xdr:from>
    <xdr:to>
      <xdr:col>43</xdr:col>
      <xdr:colOff>247650</xdr:colOff>
      <xdr:row>47</xdr:row>
      <xdr:rowOff>123825</xdr:rowOff>
    </xdr:to>
    <xdr:sp>
      <xdr:nvSpPr>
        <xdr:cNvPr id="64" name="Text 1410"/>
        <xdr:cNvSpPr txBox="1">
          <a:spLocks noChangeArrowheads="1"/>
        </xdr:cNvSpPr>
      </xdr:nvSpPr>
      <xdr:spPr>
        <a:xfrm>
          <a:off x="12268200" y="8772525"/>
          <a:ext cx="704850" cy="323850"/>
        </a:xfrm>
        <a:prstGeom prst="rect">
          <a:avLst/>
        </a:prstGeom>
        <a:noFill/>
        <a:ln w="1" cmpd="sng">
          <a:noFill/>
        </a:ln>
      </xdr:spPr>
      <xdr:txBody>
        <a:bodyPr vertOverflow="clip" wrap="square"/>
        <a:p>
          <a:pPr algn="l">
            <a:defRPr/>
          </a:pPr>
          <a:r>
            <a:rPr lang="en-US" cap="none" sz="1600" b="1" i="0" u="none" baseline="0">
              <a:latin typeface="AngsanaUPC"/>
              <a:ea typeface="AngsanaUPC"/>
              <a:cs typeface="AngsanaUPC"/>
            </a:rPr>
            <a:t>DWG.-</a:t>
          </a:r>
        </a:p>
      </xdr:txBody>
    </xdr:sp>
    <xdr:clientData/>
  </xdr:twoCellAnchor>
  <xdr:twoCellAnchor>
    <xdr:from>
      <xdr:col>42</xdr:col>
      <xdr:colOff>76200</xdr:colOff>
      <xdr:row>3</xdr:row>
      <xdr:rowOff>285750</xdr:rowOff>
    </xdr:from>
    <xdr:to>
      <xdr:col>43</xdr:col>
      <xdr:colOff>28575</xdr:colOff>
      <xdr:row>4</xdr:row>
      <xdr:rowOff>28575</xdr:rowOff>
    </xdr:to>
    <xdr:sp>
      <xdr:nvSpPr>
        <xdr:cNvPr id="65" name="Oval 65"/>
        <xdr:cNvSpPr>
          <a:spLocks/>
        </xdr:cNvSpPr>
      </xdr:nvSpPr>
      <xdr:spPr>
        <a:xfrm>
          <a:off x="12687300" y="1162050"/>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42</xdr:col>
      <xdr:colOff>85725</xdr:colOff>
      <xdr:row>22</xdr:row>
      <xdr:rowOff>238125</xdr:rowOff>
    </xdr:from>
    <xdr:to>
      <xdr:col>43</xdr:col>
      <xdr:colOff>38100</xdr:colOff>
      <xdr:row>23</xdr:row>
      <xdr:rowOff>28575</xdr:rowOff>
    </xdr:to>
    <xdr:sp>
      <xdr:nvSpPr>
        <xdr:cNvPr id="66" name="Oval 66"/>
        <xdr:cNvSpPr>
          <a:spLocks/>
        </xdr:cNvSpPr>
      </xdr:nvSpPr>
      <xdr:spPr>
        <a:xfrm>
          <a:off x="12696825" y="3457575"/>
          <a:ext cx="66675" cy="666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xdr:col>
      <xdr:colOff>161925</xdr:colOff>
      <xdr:row>1</xdr:row>
      <xdr:rowOff>466725</xdr:rowOff>
    </xdr:from>
    <xdr:to>
      <xdr:col>2</xdr:col>
      <xdr:colOff>28575</xdr:colOff>
      <xdr:row>2</xdr:row>
      <xdr:rowOff>28575</xdr:rowOff>
    </xdr:to>
    <xdr:sp>
      <xdr:nvSpPr>
        <xdr:cNvPr id="67" name="Oval 67"/>
        <xdr:cNvSpPr>
          <a:spLocks/>
        </xdr:cNvSpPr>
      </xdr:nvSpPr>
      <xdr:spPr>
        <a:xfrm>
          <a:off x="666750" y="514350"/>
          <a:ext cx="66675" cy="666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7</xdr:col>
      <xdr:colOff>161925</xdr:colOff>
      <xdr:row>3</xdr:row>
      <xdr:rowOff>257175</xdr:rowOff>
    </xdr:from>
    <xdr:to>
      <xdr:col>8</xdr:col>
      <xdr:colOff>38100</xdr:colOff>
      <xdr:row>4</xdr:row>
      <xdr:rowOff>95250</xdr:rowOff>
    </xdr:to>
    <xdr:grpSp>
      <xdr:nvGrpSpPr>
        <xdr:cNvPr id="68" name="Group 490"/>
        <xdr:cNvGrpSpPr>
          <a:grpSpLocks/>
        </xdr:cNvGrpSpPr>
      </xdr:nvGrpSpPr>
      <xdr:grpSpPr>
        <a:xfrm>
          <a:off x="1743075" y="1133475"/>
          <a:ext cx="66675" cy="161925"/>
          <a:chOff x="191" y="118"/>
          <a:chExt cx="7" cy="17"/>
        </a:xfrm>
        <a:solidFill>
          <a:srgbClr val="FFFFFF"/>
        </a:solidFill>
      </xdr:grpSpPr>
      <xdr:sp>
        <xdr:nvSpPr>
          <xdr:cNvPr id="69" name="Line 6"/>
          <xdr:cNvSpPr>
            <a:spLocks/>
          </xdr:cNvSpPr>
        </xdr:nvSpPr>
        <xdr:spPr>
          <a:xfrm flipH="1">
            <a:off x="194" y="118"/>
            <a:ext cx="0" cy="1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70" name="Oval 68"/>
          <xdr:cNvSpPr>
            <a:spLocks/>
          </xdr:cNvSpPr>
        </xdr:nvSpPr>
        <xdr:spPr>
          <a:xfrm>
            <a:off x="191" y="122"/>
            <a:ext cx="7" cy="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clientData/>
  </xdr:twoCellAnchor>
  <xdr:twoCellAnchor>
    <xdr:from>
      <xdr:col>7</xdr:col>
      <xdr:colOff>171450</xdr:colOff>
      <xdr:row>22</xdr:row>
      <xdr:rowOff>209550</xdr:rowOff>
    </xdr:from>
    <xdr:to>
      <xdr:col>8</xdr:col>
      <xdr:colOff>47625</xdr:colOff>
      <xdr:row>23</xdr:row>
      <xdr:rowOff>95250</xdr:rowOff>
    </xdr:to>
    <xdr:grpSp>
      <xdr:nvGrpSpPr>
        <xdr:cNvPr id="71" name="Group 485"/>
        <xdr:cNvGrpSpPr>
          <a:grpSpLocks/>
        </xdr:cNvGrpSpPr>
      </xdr:nvGrpSpPr>
      <xdr:grpSpPr>
        <a:xfrm>
          <a:off x="1752600" y="3429000"/>
          <a:ext cx="66675" cy="161925"/>
          <a:chOff x="184" y="359"/>
          <a:chExt cx="7" cy="17"/>
        </a:xfrm>
        <a:solidFill>
          <a:srgbClr val="FFFFFF"/>
        </a:solidFill>
      </xdr:grpSpPr>
      <xdr:sp>
        <xdr:nvSpPr>
          <xdr:cNvPr id="72" name="Line 28"/>
          <xdr:cNvSpPr>
            <a:spLocks/>
          </xdr:cNvSpPr>
        </xdr:nvSpPr>
        <xdr:spPr>
          <a:xfrm>
            <a:off x="187" y="359"/>
            <a:ext cx="0" cy="17"/>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73" name="Oval 69"/>
          <xdr:cNvSpPr>
            <a:spLocks/>
          </xdr:cNvSpPr>
        </xdr:nvSpPr>
        <xdr:spPr>
          <a:xfrm>
            <a:off x="184" y="363"/>
            <a:ext cx="7" cy="7"/>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clientData/>
  </xdr:twoCellAnchor>
  <xdr:twoCellAnchor>
    <xdr:from>
      <xdr:col>22</xdr:col>
      <xdr:colOff>57150</xdr:colOff>
      <xdr:row>13</xdr:row>
      <xdr:rowOff>9525</xdr:rowOff>
    </xdr:from>
    <xdr:to>
      <xdr:col>23</xdr:col>
      <xdr:colOff>114300</xdr:colOff>
      <xdr:row>13</xdr:row>
      <xdr:rowOff>123825</xdr:rowOff>
    </xdr:to>
    <xdr:sp>
      <xdr:nvSpPr>
        <xdr:cNvPr id="74" name="Line 70"/>
        <xdr:cNvSpPr>
          <a:spLocks/>
        </xdr:cNvSpPr>
      </xdr:nvSpPr>
      <xdr:spPr>
        <a:xfrm flipV="1">
          <a:off x="6715125" y="2400300"/>
          <a:ext cx="180975" cy="1143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22</xdr:col>
      <xdr:colOff>66675</xdr:colOff>
      <xdr:row>13</xdr:row>
      <xdr:rowOff>114300</xdr:rowOff>
    </xdr:from>
    <xdr:to>
      <xdr:col>23</xdr:col>
      <xdr:colOff>0</xdr:colOff>
      <xdr:row>14</xdr:row>
      <xdr:rowOff>9525</xdr:rowOff>
    </xdr:to>
    <xdr:sp>
      <xdr:nvSpPr>
        <xdr:cNvPr id="75" name="Arc 71"/>
        <xdr:cNvSpPr>
          <a:spLocks/>
        </xdr:cNvSpPr>
      </xdr:nvSpPr>
      <xdr:spPr>
        <a:xfrm>
          <a:off x="6724650" y="2505075"/>
          <a:ext cx="57150" cy="47625"/>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23</xdr:col>
      <xdr:colOff>0</xdr:colOff>
      <xdr:row>12</xdr:row>
      <xdr:rowOff>76200</xdr:rowOff>
    </xdr:from>
    <xdr:to>
      <xdr:col>23</xdr:col>
      <xdr:colOff>85725</xdr:colOff>
      <xdr:row>13</xdr:row>
      <xdr:rowOff>28575</xdr:rowOff>
    </xdr:to>
    <xdr:sp>
      <xdr:nvSpPr>
        <xdr:cNvPr id="76" name="Arc 72"/>
        <xdr:cNvSpPr>
          <a:spLocks/>
        </xdr:cNvSpPr>
      </xdr:nvSpPr>
      <xdr:spPr>
        <a:xfrm flipH="1" flipV="1">
          <a:off x="6781800" y="2381250"/>
          <a:ext cx="85725" cy="38100"/>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22</xdr:col>
      <xdr:colOff>0</xdr:colOff>
      <xdr:row>12</xdr:row>
      <xdr:rowOff>76200</xdr:rowOff>
    </xdr:from>
    <xdr:to>
      <xdr:col>22</xdr:col>
      <xdr:colOff>66675</xdr:colOff>
      <xdr:row>13</xdr:row>
      <xdr:rowOff>19050</xdr:rowOff>
    </xdr:to>
    <xdr:sp>
      <xdr:nvSpPr>
        <xdr:cNvPr id="77" name="Arc 73"/>
        <xdr:cNvSpPr>
          <a:spLocks/>
        </xdr:cNvSpPr>
      </xdr:nvSpPr>
      <xdr:spPr>
        <a:xfrm flipH="1" flipV="1">
          <a:off x="6657975" y="2381250"/>
          <a:ext cx="66675" cy="28575"/>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21</xdr:col>
      <xdr:colOff>200025</xdr:colOff>
      <xdr:row>13</xdr:row>
      <xdr:rowOff>114300</xdr:rowOff>
    </xdr:from>
    <xdr:to>
      <xdr:col>22</xdr:col>
      <xdr:colOff>0</xdr:colOff>
      <xdr:row>14</xdr:row>
      <xdr:rowOff>9525</xdr:rowOff>
    </xdr:to>
    <xdr:sp>
      <xdr:nvSpPr>
        <xdr:cNvPr id="78" name="Arc 74"/>
        <xdr:cNvSpPr>
          <a:spLocks/>
        </xdr:cNvSpPr>
      </xdr:nvSpPr>
      <xdr:spPr>
        <a:xfrm>
          <a:off x="6581775" y="2505075"/>
          <a:ext cx="76200" cy="47625"/>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29</xdr:col>
      <xdr:colOff>57150</xdr:colOff>
      <xdr:row>13</xdr:row>
      <xdr:rowOff>9525</xdr:rowOff>
    </xdr:from>
    <xdr:to>
      <xdr:col>31</xdr:col>
      <xdr:colOff>9525</xdr:colOff>
      <xdr:row>13</xdr:row>
      <xdr:rowOff>123825</xdr:rowOff>
    </xdr:to>
    <xdr:sp>
      <xdr:nvSpPr>
        <xdr:cNvPr id="79" name="Line 75"/>
        <xdr:cNvSpPr>
          <a:spLocks/>
        </xdr:cNvSpPr>
      </xdr:nvSpPr>
      <xdr:spPr>
        <a:xfrm flipV="1">
          <a:off x="9629775" y="2400300"/>
          <a:ext cx="180975" cy="1143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28</xdr:col>
      <xdr:colOff>180975</xdr:colOff>
      <xdr:row>13</xdr:row>
      <xdr:rowOff>9525</xdr:rowOff>
    </xdr:from>
    <xdr:to>
      <xdr:col>29</xdr:col>
      <xdr:colOff>85725</xdr:colOff>
      <xdr:row>13</xdr:row>
      <xdr:rowOff>123825</xdr:rowOff>
    </xdr:to>
    <xdr:sp>
      <xdr:nvSpPr>
        <xdr:cNvPr id="80" name="Line 76"/>
        <xdr:cNvSpPr>
          <a:spLocks/>
        </xdr:cNvSpPr>
      </xdr:nvSpPr>
      <xdr:spPr>
        <a:xfrm flipV="1">
          <a:off x="9477375" y="2400300"/>
          <a:ext cx="180975" cy="1143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30</xdr:col>
      <xdr:colOff>0</xdr:colOff>
      <xdr:row>13</xdr:row>
      <xdr:rowOff>0</xdr:rowOff>
    </xdr:from>
    <xdr:to>
      <xdr:col>30</xdr:col>
      <xdr:colOff>76200</xdr:colOff>
      <xdr:row>13</xdr:row>
      <xdr:rowOff>38100</xdr:rowOff>
    </xdr:to>
    <xdr:sp>
      <xdr:nvSpPr>
        <xdr:cNvPr id="81" name="Arc 77"/>
        <xdr:cNvSpPr>
          <a:spLocks/>
        </xdr:cNvSpPr>
      </xdr:nvSpPr>
      <xdr:spPr>
        <a:xfrm flipH="1" flipV="1">
          <a:off x="9696450" y="2390775"/>
          <a:ext cx="76200" cy="38100"/>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29</xdr:col>
      <xdr:colOff>0</xdr:colOff>
      <xdr:row>12</xdr:row>
      <xdr:rowOff>66675</xdr:rowOff>
    </xdr:from>
    <xdr:to>
      <xdr:col>29</xdr:col>
      <xdr:colOff>57150</xdr:colOff>
      <xdr:row>13</xdr:row>
      <xdr:rowOff>38100</xdr:rowOff>
    </xdr:to>
    <xdr:sp>
      <xdr:nvSpPr>
        <xdr:cNvPr id="82" name="Arc 78"/>
        <xdr:cNvSpPr>
          <a:spLocks/>
        </xdr:cNvSpPr>
      </xdr:nvSpPr>
      <xdr:spPr>
        <a:xfrm flipH="1" flipV="1">
          <a:off x="9572625" y="2371725"/>
          <a:ext cx="57150" cy="57150"/>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29</xdr:col>
      <xdr:colOff>85725</xdr:colOff>
      <xdr:row>13</xdr:row>
      <xdr:rowOff>114300</xdr:rowOff>
    </xdr:from>
    <xdr:to>
      <xdr:col>30</xdr:col>
      <xdr:colOff>0</xdr:colOff>
      <xdr:row>14</xdr:row>
      <xdr:rowOff>9525</xdr:rowOff>
    </xdr:to>
    <xdr:sp>
      <xdr:nvSpPr>
        <xdr:cNvPr id="83" name="Arc 79"/>
        <xdr:cNvSpPr>
          <a:spLocks/>
        </xdr:cNvSpPr>
      </xdr:nvSpPr>
      <xdr:spPr>
        <a:xfrm>
          <a:off x="9658350" y="2505075"/>
          <a:ext cx="38100" cy="47625"/>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28</xdr:col>
      <xdr:colOff>219075</xdr:colOff>
      <xdr:row>13</xdr:row>
      <xdr:rowOff>104775</xdr:rowOff>
    </xdr:from>
    <xdr:to>
      <xdr:col>29</xdr:col>
      <xdr:colOff>0</xdr:colOff>
      <xdr:row>14</xdr:row>
      <xdr:rowOff>9525</xdr:rowOff>
    </xdr:to>
    <xdr:sp>
      <xdr:nvSpPr>
        <xdr:cNvPr id="84" name="Arc 80"/>
        <xdr:cNvSpPr>
          <a:spLocks/>
        </xdr:cNvSpPr>
      </xdr:nvSpPr>
      <xdr:spPr>
        <a:xfrm>
          <a:off x="9515475" y="2495550"/>
          <a:ext cx="57150" cy="57150"/>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24</xdr:col>
      <xdr:colOff>0</xdr:colOff>
      <xdr:row>7</xdr:row>
      <xdr:rowOff>85725</xdr:rowOff>
    </xdr:from>
    <xdr:to>
      <xdr:col>24</xdr:col>
      <xdr:colOff>0</xdr:colOff>
      <xdr:row>19</xdr:row>
      <xdr:rowOff>19050</xdr:rowOff>
    </xdr:to>
    <xdr:sp>
      <xdr:nvSpPr>
        <xdr:cNvPr id="85" name="Line 81"/>
        <xdr:cNvSpPr>
          <a:spLocks/>
        </xdr:cNvSpPr>
      </xdr:nvSpPr>
      <xdr:spPr>
        <a:xfrm>
          <a:off x="7048500" y="2152650"/>
          <a:ext cx="0" cy="6477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25</xdr:col>
      <xdr:colOff>9525</xdr:colOff>
      <xdr:row>7</xdr:row>
      <xdr:rowOff>76200</xdr:rowOff>
    </xdr:from>
    <xdr:to>
      <xdr:col>25</xdr:col>
      <xdr:colOff>9525</xdr:colOff>
      <xdr:row>19</xdr:row>
      <xdr:rowOff>9525</xdr:rowOff>
    </xdr:to>
    <xdr:sp>
      <xdr:nvSpPr>
        <xdr:cNvPr id="86" name="Line 82"/>
        <xdr:cNvSpPr>
          <a:spLocks/>
        </xdr:cNvSpPr>
      </xdr:nvSpPr>
      <xdr:spPr>
        <a:xfrm>
          <a:off x="7620000" y="2143125"/>
          <a:ext cx="0" cy="6477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21</xdr:col>
      <xdr:colOff>190500</xdr:colOff>
      <xdr:row>13</xdr:row>
      <xdr:rowOff>0</xdr:rowOff>
    </xdr:from>
    <xdr:to>
      <xdr:col>22</xdr:col>
      <xdr:colOff>95250</xdr:colOff>
      <xdr:row>13</xdr:row>
      <xdr:rowOff>123825</xdr:rowOff>
    </xdr:to>
    <xdr:sp>
      <xdr:nvSpPr>
        <xdr:cNvPr id="87" name="Line 83"/>
        <xdr:cNvSpPr>
          <a:spLocks/>
        </xdr:cNvSpPr>
      </xdr:nvSpPr>
      <xdr:spPr>
        <a:xfrm flipV="1">
          <a:off x="6572250" y="2390775"/>
          <a:ext cx="180975" cy="12382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35</xdr:col>
      <xdr:colOff>95250</xdr:colOff>
      <xdr:row>45</xdr:row>
      <xdr:rowOff>0</xdr:rowOff>
    </xdr:from>
    <xdr:to>
      <xdr:col>35</xdr:col>
      <xdr:colOff>95250</xdr:colOff>
      <xdr:row>48</xdr:row>
      <xdr:rowOff>0</xdr:rowOff>
    </xdr:to>
    <xdr:sp>
      <xdr:nvSpPr>
        <xdr:cNvPr id="88" name="Line 84"/>
        <xdr:cNvSpPr>
          <a:spLocks/>
        </xdr:cNvSpPr>
      </xdr:nvSpPr>
      <xdr:spPr>
        <a:xfrm>
          <a:off x="11087100" y="8439150"/>
          <a:ext cx="0" cy="8001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xdr:col>
      <xdr:colOff>47625</xdr:colOff>
      <xdr:row>20</xdr:row>
      <xdr:rowOff>28575</xdr:rowOff>
    </xdr:from>
    <xdr:to>
      <xdr:col>5</xdr:col>
      <xdr:colOff>85725</xdr:colOff>
      <xdr:row>22</xdr:row>
      <xdr:rowOff>85725</xdr:rowOff>
    </xdr:to>
    <xdr:grpSp>
      <xdr:nvGrpSpPr>
        <xdr:cNvPr id="89" name="Group 85"/>
        <xdr:cNvGrpSpPr>
          <a:grpSpLocks/>
        </xdr:cNvGrpSpPr>
      </xdr:nvGrpSpPr>
      <xdr:grpSpPr>
        <a:xfrm>
          <a:off x="866775" y="2895600"/>
          <a:ext cx="419100" cy="409575"/>
          <a:chOff x="81" y="304"/>
          <a:chExt cx="44" cy="43"/>
        </a:xfrm>
        <a:solidFill>
          <a:srgbClr val="FFFFFF"/>
        </a:solidFill>
      </xdr:grpSpPr>
      <xdr:sp>
        <xdr:nvSpPr>
          <xdr:cNvPr id="90" name="Line 86"/>
          <xdr:cNvSpPr>
            <a:spLocks/>
          </xdr:cNvSpPr>
        </xdr:nvSpPr>
        <xdr:spPr>
          <a:xfrm>
            <a:off x="81" y="327"/>
            <a:ext cx="21"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91" name="Line 87"/>
          <xdr:cNvSpPr>
            <a:spLocks/>
          </xdr:cNvSpPr>
        </xdr:nvSpPr>
        <xdr:spPr>
          <a:xfrm flipH="1">
            <a:off x="81" y="304"/>
            <a:ext cx="0" cy="23"/>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92" name="Drawing 1350"/>
          <xdr:cNvSpPr>
            <a:spLocks/>
          </xdr:cNvSpPr>
        </xdr:nvSpPr>
        <xdr:spPr>
          <a:xfrm>
            <a:off x="103" y="305"/>
            <a:ext cx="22" cy="42"/>
          </a:xfrm>
          <a:custGeom>
            <a:pathLst>
              <a:path h="16384" w="16384">
                <a:moveTo>
                  <a:pt x="16384" y="8602"/>
                </a:moveTo>
                <a:lnTo>
                  <a:pt x="0" y="0"/>
                </a:lnTo>
                <a:lnTo>
                  <a:pt x="0" y="16384"/>
                </a:lnTo>
                <a:lnTo>
                  <a:pt x="16384" y="8602"/>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93" name="Oval 89"/>
          <xdr:cNvSpPr>
            <a:spLocks/>
          </xdr:cNvSpPr>
        </xdr:nvSpPr>
        <xdr:spPr>
          <a:xfrm>
            <a:off x="91" y="311"/>
            <a:ext cx="26" cy="3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94" name="Text 459"/>
          <xdr:cNvSpPr txBox="1">
            <a:spLocks noChangeArrowheads="1"/>
          </xdr:cNvSpPr>
        </xdr:nvSpPr>
        <xdr:spPr>
          <a:xfrm>
            <a:off x="96" y="310"/>
            <a:ext cx="18" cy="28"/>
          </a:xfrm>
          <a:prstGeom prst="rect">
            <a:avLst/>
          </a:prstGeom>
          <a:noFill/>
          <a:ln w="1" cmpd="sng">
            <a:noFill/>
          </a:ln>
        </xdr:spPr>
        <xdr:txBody>
          <a:bodyPr vertOverflow="clip" wrap="square"/>
          <a:p>
            <a:pPr algn="l">
              <a:defRPr/>
            </a:pPr>
            <a:r>
              <a:rPr lang="en-US" cap="none" sz="1600" b="1" i="0" u="none" baseline="0">
                <a:latin typeface="AngsanaUPC"/>
                <a:ea typeface="AngsanaUPC"/>
                <a:cs typeface="AngsanaUPC"/>
              </a:rPr>
              <a:t>1</a:t>
            </a:r>
          </a:p>
        </xdr:txBody>
      </xdr:sp>
    </xdr:grpSp>
    <xdr:clientData/>
  </xdr:twoCellAnchor>
  <xdr:twoCellAnchor>
    <xdr:from>
      <xdr:col>15</xdr:col>
      <xdr:colOff>0</xdr:colOff>
      <xdr:row>57</xdr:row>
      <xdr:rowOff>219075</xdr:rowOff>
    </xdr:from>
    <xdr:to>
      <xdr:col>16</xdr:col>
      <xdr:colOff>190500</xdr:colOff>
      <xdr:row>61</xdr:row>
      <xdr:rowOff>209550</xdr:rowOff>
    </xdr:to>
    <xdr:grpSp>
      <xdr:nvGrpSpPr>
        <xdr:cNvPr id="95" name="Group 91"/>
        <xdr:cNvGrpSpPr>
          <a:grpSpLocks/>
        </xdr:cNvGrpSpPr>
      </xdr:nvGrpSpPr>
      <xdr:grpSpPr>
        <a:xfrm>
          <a:off x="3733800" y="11858625"/>
          <a:ext cx="314325" cy="1057275"/>
          <a:chOff x="384" y="183"/>
          <a:chExt cx="33" cy="111"/>
        </a:xfrm>
        <a:solidFill>
          <a:srgbClr val="FFFFFF"/>
        </a:solidFill>
      </xdr:grpSpPr>
      <xdr:sp>
        <xdr:nvSpPr>
          <xdr:cNvPr id="96" name="Line 92"/>
          <xdr:cNvSpPr>
            <a:spLocks/>
          </xdr:cNvSpPr>
        </xdr:nvSpPr>
        <xdr:spPr>
          <a:xfrm>
            <a:off x="392" y="184"/>
            <a:ext cx="0" cy="46"/>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97" name="Line 93"/>
          <xdr:cNvSpPr>
            <a:spLocks/>
          </xdr:cNvSpPr>
        </xdr:nvSpPr>
        <xdr:spPr>
          <a:xfrm>
            <a:off x="405" y="183"/>
            <a:ext cx="0" cy="48"/>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98" name="Line 94"/>
          <xdr:cNvSpPr>
            <a:spLocks/>
          </xdr:cNvSpPr>
        </xdr:nvSpPr>
        <xdr:spPr>
          <a:xfrm>
            <a:off x="392" y="245"/>
            <a:ext cx="0" cy="48"/>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99" name="Line 95"/>
          <xdr:cNvSpPr>
            <a:spLocks/>
          </xdr:cNvSpPr>
        </xdr:nvSpPr>
        <xdr:spPr>
          <a:xfrm>
            <a:off x="405" y="247"/>
            <a:ext cx="0" cy="47"/>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00" name="Line 96"/>
          <xdr:cNvSpPr>
            <a:spLocks/>
          </xdr:cNvSpPr>
        </xdr:nvSpPr>
        <xdr:spPr>
          <a:xfrm flipV="1">
            <a:off x="399" y="231"/>
            <a:ext cx="18" cy="12"/>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01" name="Arc 97"/>
          <xdr:cNvSpPr>
            <a:spLocks/>
          </xdr:cNvSpPr>
        </xdr:nvSpPr>
        <xdr:spPr>
          <a:xfrm flipH="1" flipV="1">
            <a:off x="405" y="229"/>
            <a:ext cx="9" cy="4"/>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02" name="Line 98"/>
          <xdr:cNvSpPr>
            <a:spLocks/>
          </xdr:cNvSpPr>
        </xdr:nvSpPr>
        <xdr:spPr>
          <a:xfrm flipV="1">
            <a:off x="384" y="230"/>
            <a:ext cx="18" cy="12"/>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03" name="Arc 99"/>
          <xdr:cNvSpPr>
            <a:spLocks/>
          </xdr:cNvSpPr>
        </xdr:nvSpPr>
        <xdr:spPr>
          <a:xfrm>
            <a:off x="401" y="243"/>
            <a:ext cx="4" cy="4"/>
          </a:xfrm>
          <a:prstGeom prst="arc">
            <a:avLst>
              <a:gd name="adj" fmla="val 5543296"/>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04" name="Arc 100"/>
          <xdr:cNvSpPr>
            <a:spLocks/>
          </xdr:cNvSpPr>
        </xdr:nvSpPr>
        <xdr:spPr>
          <a:xfrm flipH="1" flipV="1">
            <a:off x="392" y="229"/>
            <a:ext cx="8" cy="3"/>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05" name="Arc 101"/>
          <xdr:cNvSpPr>
            <a:spLocks/>
          </xdr:cNvSpPr>
        </xdr:nvSpPr>
        <xdr:spPr>
          <a:xfrm>
            <a:off x="385" y="241"/>
            <a:ext cx="7" cy="5"/>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clientData/>
  </xdr:twoCellAnchor>
  <xdr:twoCellAnchor>
    <xdr:from>
      <xdr:col>31</xdr:col>
      <xdr:colOff>161925</xdr:colOff>
      <xdr:row>2</xdr:row>
      <xdr:rowOff>285750</xdr:rowOff>
    </xdr:from>
    <xdr:to>
      <xdr:col>32</xdr:col>
      <xdr:colOff>38100</xdr:colOff>
      <xdr:row>3</xdr:row>
      <xdr:rowOff>28575</xdr:rowOff>
    </xdr:to>
    <xdr:sp>
      <xdr:nvSpPr>
        <xdr:cNvPr id="106" name="Oval 102"/>
        <xdr:cNvSpPr>
          <a:spLocks/>
        </xdr:cNvSpPr>
      </xdr:nvSpPr>
      <xdr:spPr>
        <a:xfrm>
          <a:off x="9963150" y="838200"/>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24</xdr:col>
      <xdr:colOff>438150</xdr:colOff>
      <xdr:row>7</xdr:row>
      <xdr:rowOff>57150</xdr:rowOff>
    </xdr:from>
    <xdr:to>
      <xdr:col>24</xdr:col>
      <xdr:colOff>476250</xdr:colOff>
      <xdr:row>9</xdr:row>
      <xdr:rowOff>19050</xdr:rowOff>
    </xdr:to>
    <xdr:sp>
      <xdr:nvSpPr>
        <xdr:cNvPr id="107" name="Arc 104"/>
        <xdr:cNvSpPr>
          <a:spLocks/>
        </xdr:cNvSpPr>
      </xdr:nvSpPr>
      <xdr:spPr>
        <a:xfrm flipV="1">
          <a:off x="7486650" y="2124075"/>
          <a:ext cx="38100" cy="76200"/>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17</xdr:col>
      <xdr:colOff>523875</xdr:colOff>
      <xdr:row>5</xdr:row>
      <xdr:rowOff>133350</xdr:rowOff>
    </xdr:from>
    <xdr:to>
      <xdr:col>19</xdr:col>
      <xdr:colOff>0</xdr:colOff>
      <xdr:row>6</xdr:row>
      <xdr:rowOff>257175</xdr:rowOff>
    </xdr:to>
    <xdr:grpSp>
      <xdr:nvGrpSpPr>
        <xdr:cNvPr id="108" name="Group 105"/>
        <xdr:cNvGrpSpPr>
          <a:grpSpLocks/>
        </xdr:cNvGrpSpPr>
      </xdr:nvGrpSpPr>
      <xdr:grpSpPr>
        <a:xfrm>
          <a:off x="4657725" y="1600200"/>
          <a:ext cx="600075" cy="400050"/>
          <a:chOff x="884" y="147"/>
          <a:chExt cx="63" cy="42"/>
        </a:xfrm>
        <a:solidFill>
          <a:srgbClr val="FFFFFF"/>
        </a:solidFill>
      </xdr:grpSpPr>
      <xdr:sp>
        <xdr:nvSpPr>
          <xdr:cNvPr id="109" name="Line 106"/>
          <xdr:cNvSpPr>
            <a:spLocks/>
          </xdr:cNvSpPr>
        </xdr:nvSpPr>
        <xdr:spPr>
          <a:xfrm flipH="1">
            <a:off x="884" y="168"/>
            <a:ext cx="0" cy="2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10" name="Drawing 1675"/>
          <xdr:cNvSpPr>
            <a:spLocks/>
          </xdr:cNvSpPr>
        </xdr:nvSpPr>
        <xdr:spPr>
          <a:xfrm>
            <a:off x="925" y="147"/>
            <a:ext cx="22" cy="42"/>
          </a:xfrm>
          <a:custGeom>
            <a:pathLst>
              <a:path h="16384" w="16384">
                <a:moveTo>
                  <a:pt x="16384" y="8602"/>
                </a:moveTo>
                <a:lnTo>
                  <a:pt x="0" y="0"/>
                </a:lnTo>
                <a:lnTo>
                  <a:pt x="0" y="16384"/>
                </a:lnTo>
                <a:lnTo>
                  <a:pt x="16384" y="8602"/>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11" name="Oval 108"/>
          <xdr:cNvSpPr>
            <a:spLocks/>
          </xdr:cNvSpPr>
        </xdr:nvSpPr>
        <xdr:spPr>
          <a:xfrm>
            <a:off x="913" y="153"/>
            <a:ext cx="26" cy="31"/>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12" name="Text 1674"/>
          <xdr:cNvSpPr txBox="1">
            <a:spLocks noChangeArrowheads="1"/>
          </xdr:cNvSpPr>
        </xdr:nvSpPr>
        <xdr:spPr>
          <a:xfrm>
            <a:off x="918" y="152"/>
            <a:ext cx="18" cy="28"/>
          </a:xfrm>
          <a:prstGeom prst="rect">
            <a:avLst/>
          </a:prstGeom>
          <a:noFill/>
          <a:ln w="12700" cmpd="sng">
            <a:noFill/>
          </a:ln>
        </xdr:spPr>
        <xdr:txBody>
          <a:bodyPr vertOverflow="clip" wrap="square"/>
          <a:p>
            <a:pPr algn="l">
              <a:defRPr/>
            </a:pPr>
            <a:r>
              <a:rPr lang="en-US" cap="none" sz="1600" b="1" i="0" u="none" baseline="0">
                <a:latin typeface="AngsanaUPC"/>
                <a:ea typeface="AngsanaUPC"/>
                <a:cs typeface="AngsanaUPC"/>
              </a:rPr>
              <a:t>2</a:t>
            </a:r>
          </a:p>
        </xdr:txBody>
      </xdr:sp>
      <xdr:sp>
        <xdr:nvSpPr>
          <xdr:cNvPr id="113" name="Line 110"/>
          <xdr:cNvSpPr>
            <a:spLocks/>
          </xdr:cNvSpPr>
        </xdr:nvSpPr>
        <xdr:spPr>
          <a:xfrm>
            <a:off x="884" y="168"/>
            <a:ext cx="29"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clientData/>
  </xdr:twoCellAnchor>
  <xdr:twoCellAnchor>
    <xdr:from>
      <xdr:col>17</xdr:col>
      <xdr:colOff>533400</xdr:colOff>
      <xdr:row>23</xdr:row>
      <xdr:rowOff>95250</xdr:rowOff>
    </xdr:from>
    <xdr:to>
      <xdr:col>19</xdr:col>
      <xdr:colOff>9525</xdr:colOff>
      <xdr:row>25</xdr:row>
      <xdr:rowOff>38100</xdr:rowOff>
    </xdr:to>
    <xdr:grpSp>
      <xdr:nvGrpSpPr>
        <xdr:cNvPr id="114" name="Group 111"/>
        <xdr:cNvGrpSpPr>
          <a:grpSpLocks/>
        </xdr:cNvGrpSpPr>
      </xdr:nvGrpSpPr>
      <xdr:grpSpPr>
        <a:xfrm>
          <a:off x="4667250" y="3590925"/>
          <a:ext cx="600075" cy="400050"/>
          <a:chOff x="884" y="305"/>
          <a:chExt cx="63" cy="42"/>
        </a:xfrm>
        <a:solidFill>
          <a:srgbClr val="FFFFFF"/>
        </a:solidFill>
      </xdr:grpSpPr>
      <xdr:sp>
        <xdr:nvSpPr>
          <xdr:cNvPr id="115" name="Drawing 1678"/>
          <xdr:cNvSpPr>
            <a:spLocks/>
          </xdr:cNvSpPr>
        </xdr:nvSpPr>
        <xdr:spPr>
          <a:xfrm>
            <a:off x="925" y="305"/>
            <a:ext cx="22" cy="42"/>
          </a:xfrm>
          <a:custGeom>
            <a:pathLst>
              <a:path h="16384" w="16384">
                <a:moveTo>
                  <a:pt x="16384" y="8602"/>
                </a:moveTo>
                <a:lnTo>
                  <a:pt x="0" y="0"/>
                </a:lnTo>
                <a:lnTo>
                  <a:pt x="0" y="16384"/>
                </a:lnTo>
                <a:lnTo>
                  <a:pt x="16384" y="8602"/>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16" name="Line 113"/>
          <xdr:cNvSpPr>
            <a:spLocks/>
          </xdr:cNvSpPr>
        </xdr:nvSpPr>
        <xdr:spPr>
          <a:xfrm flipH="1">
            <a:off x="884" y="308"/>
            <a:ext cx="0" cy="2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17" name="Oval 114"/>
          <xdr:cNvSpPr>
            <a:spLocks/>
          </xdr:cNvSpPr>
        </xdr:nvSpPr>
        <xdr:spPr>
          <a:xfrm>
            <a:off x="913" y="311"/>
            <a:ext cx="26" cy="3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118" name="Text 1679"/>
          <xdr:cNvSpPr txBox="1">
            <a:spLocks noChangeArrowheads="1"/>
          </xdr:cNvSpPr>
        </xdr:nvSpPr>
        <xdr:spPr>
          <a:xfrm>
            <a:off x="920" y="311"/>
            <a:ext cx="18" cy="28"/>
          </a:xfrm>
          <a:prstGeom prst="rect">
            <a:avLst/>
          </a:prstGeom>
          <a:noFill/>
          <a:ln w="1" cmpd="sng">
            <a:noFill/>
          </a:ln>
        </xdr:spPr>
        <xdr:txBody>
          <a:bodyPr vertOverflow="clip" wrap="square"/>
          <a:p>
            <a:pPr algn="l">
              <a:defRPr/>
            </a:pPr>
            <a:r>
              <a:rPr lang="en-US" cap="none" sz="1600" b="1" i="0" u="none" baseline="0">
                <a:latin typeface="AngsanaUPC"/>
                <a:ea typeface="AngsanaUPC"/>
                <a:cs typeface="AngsanaUPC"/>
              </a:rPr>
              <a:t>2</a:t>
            </a:r>
          </a:p>
        </xdr:txBody>
      </xdr:sp>
      <xdr:sp>
        <xdr:nvSpPr>
          <xdr:cNvPr id="119" name="Line 116"/>
          <xdr:cNvSpPr>
            <a:spLocks/>
          </xdr:cNvSpPr>
        </xdr:nvSpPr>
        <xdr:spPr>
          <a:xfrm>
            <a:off x="884" y="327"/>
            <a:ext cx="29"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clientData/>
  </xdr:twoCellAnchor>
  <xdr:twoCellAnchor>
    <xdr:from>
      <xdr:col>3</xdr:col>
      <xdr:colOff>85725</xdr:colOff>
      <xdr:row>7</xdr:row>
      <xdr:rowOff>85725</xdr:rowOff>
    </xdr:from>
    <xdr:to>
      <xdr:col>3</xdr:col>
      <xdr:colOff>85725</xdr:colOff>
      <xdr:row>19</xdr:row>
      <xdr:rowOff>9525</xdr:rowOff>
    </xdr:to>
    <xdr:sp>
      <xdr:nvSpPr>
        <xdr:cNvPr id="120" name="Line 117"/>
        <xdr:cNvSpPr>
          <a:spLocks/>
        </xdr:cNvSpPr>
      </xdr:nvSpPr>
      <xdr:spPr>
        <a:xfrm>
          <a:off x="904875" y="2152650"/>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4</xdr:col>
      <xdr:colOff>66675</xdr:colOff>
      <xdr:row>7</xdr:row>
      <xdr:rowOff>85725</xdr:rowOff>
    </xdr:from>
    <xdr:to>
      <xdr:col>4</xdr:col>
      <xdr:colOff>66675</xdr:colOff>
      <xdr:row>19</xdr:row>
      <xdr:rowOff>9525</xdr:rowOff>
    </xdr:to>
    <xdr:sp>
      <xdr:nvSpPr>
        <xdr:cNvPr id="121" name="Line 118"/>
        <xdr:cNvSpPr>
          <a:spLocks/>
        </xdr:cNvSpPr>
      </xdr:nvSpPr>
      <xdr:spPr>
        <a:xfrm>
          <a:off x="1076325" y="2152650"/>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5</xdr:col>
      <xdr:colOff>123825</xdr:colOff>
      <xdr:row>7</xdr:row>
      <xdr:rowOff>85725</xdr:rowOff>
    </xdr:from>
    <xdr:to>
      <xdr:col>5</xdr:col>
      <xdr:colOff>123825</xdr:colOff>
      <xdr:row>19</xdr:row>
      <xdr:rowOff>9525</xdr:rowOff>
    </xdr:to>
    <xdr:sp>
      <xdr:nvSpPr>
        <xdr:cNvPr id="122" name="Line 119"/>
        <xdr:cNvSpPr>
          <a:spLocks/>
        </xdr:cNvSpPr>
      </xdr:nvSpPr>
      <xdr:spPr>
        <a:xfrm>
          <a:off x="1323975" y="2152650"/>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6</xdr:col>
      <xdr:colOff>104775</xdr:colOff>
      <xdr:row>7</xdr:row>
      <xdr:rowOff>85725</xdr:rowOff>
    </xdr:from>
    <xdr:to>
      <xdr:col>6</xdr:col>
      <xdr:colOff>104775</xdr:colOff>
      <xdr:row>19</xdr:row>
      <xdr:rowOff>9525</xdr:rowOff>
    </xdr:to>
    <xdr:sp>
      <xdr:nvSpPr>
        <xdr:cNvPr id="123" name="Line 120"/>
        <xdr:cNvSpPr>
          <a:spLocks/>
        </xdr:cNvSpPr>
      </xdr:nvSpPr>
      <xdr:spPr>
        <a:xfrm>
          <a:off x="1495425" y="2152650"/>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4</xdr:col>
      <xdr:colOff>142875</xdr:colOff>
      <xdr:row>7</xdr:row>
      <xdr:rowOff>85725</xdr:rowOff>
    </xdr:from>
    <xdr:to>
      <xdr:col>4</xdr:col>
      <xdr:colOff>142875</xdr:colOff>
      <xdr:row>19</xdr:row>
      <xdr:rowOff>9525</xdr:rowOff>
    </xdr:to>
    <xdr:sp>
      <xdr:nvSpPr>
        <xdr:cNvPr id="124" name="Line 121"/>
        <xdr:cNvSpPr>
          <a:spLocks/>
        </xdr:cNvSpPr>
      </xdr:nvSpPr>
      <xdr:spPr>
        <a:xfrm>
          <a:off x="1152525" y="2152650"/>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xdr:col>
      <xdr:colOff>161925</xdr:colOff>
      <xdr:row>23</xdr:row>
      <xdr:rowOff>28575</xdr:rowOff>
    </xdr:from>
    <xdr:to>
      <xdr:col>8</xdr:col>
      <xdr:colOff>0</xdr:colOff>
      <xdr:row>24</xdr:row>
      <xdr:rowOff>133350</xdr:rowOff>
    </xdr:to>
    <xdr:sp>
      <xdr:nvSpPr>
        <xdr:cNvPr id="125" name="Text 1810"/>
        <xdr:cNvSpPr txBox="1">
          <a:spLocks noChangeArrowheads="1"/>
        </xdr:cNvSpPr>
      </xdr:nvSpPr>
      <xdr:spPr>
        <a:xfrm>
          <a:off x="981075" y="3524250"/>
          <a:ext cx="790575" cy="314325"/>
        </a:xfrm>
        <a:prstGeom prst="rect">
          <a:avLst/>
        </a:prstGeom>
        <a:noFill/>
        <a:ln w="1" cmpd="sng">
          <a:noFill/>
        </a:ln>
      </xdr:spPr>
      <xdr:txBody>
        <a:bodyPr vertOverflow="clip" wrap="square"/>
        <a:p>
          <a:pPr algn="l">
            <a:defRPr/>
          </a:pPr>
          <a:r>
            <a:rPr lang="en-US" cap="none" sz="1800" b="0" i="0" u="none" baseline="0">
              <a:latin typeface="AngsanaUPC"/>
              <a:ea typeface="AngsanaUPC"/>
              <a:cs typeface="AngsanaUPC"/>
            </a:rPr>
            <a:t>STIRRUP</a:t>
          </a:r>
        </a:p>
      </xdr:txBody>
    </xdr:sp>
    <xdr:clientData/>
  </xdr:twoCellAnchor>
  <xdr:twoCellAnchor>
    <xdr:from>
      <xdr:col>36</xdr:col>
      <xdr:colOff>209550</xdr:colOff>
      <xdr:row>22</xdr:row>
      <xdr:rowOff>247650</xdr:rowOff>
    </xdr:from>
    <xdr:to>
      <xdr:col>36</xdr:col>
      <xdr:colOff>276225</xdr:colOff>
      <xdr:row>23</xdr:row>
      <xdr:rowOff>38100</xdr:rowOff>
    </xdr:to>
    <xdr:sp>
      <xdr:nvSpPr>
        <xdr:cNvPr id="126" name="Oval 123"/>
        <xdr:cNvSpPr>
          <a:spLocks/>
        </xdr:cNvSpPr>
      </xdr:nvSpPr>
      <xdr:spPr>
        <a:xfrm>
          <a:off x="11534775" y="3467100"/>
          <a:ext cx="66675" cy="666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7</xdr:col>
      <xdr:colOff>66675</xdr:colOff>
      <xdr:row>41</xdr:row>
      <xdr:rowOff>247650</xdr:rowOff>
    </xdr:from>
    <xdr:to>
      <xdr:col>11</xdr:col>
      <xdr:colOff>104775</xdr:colOff>
      <xdr:row>43</xdr:row>
      <xdr:rowOff>104775</xdr:rowOff>
    </xdr:to>
    <xdr:sp>
      <xdr:nvSpPr>
        <xdr:cNvPr id="127" name="Text 1455"/>
        <xdr:cNvSpPr txBox="1">
          <a:spLocks noChangeArrowheads="1"/>
        </xdr:cNvSpPr>
      </xdr:nvSpPr>
      <xdr:spPr>
        <a:xfrm>
          <a:off x="1647825" y="7620000"/>
          <a:ext cx="1228725" cy="390525"/>
        </a:xfrm>
        <a:prstGeom prst="rect">
          <a:avLst/>
        </a:prstGeom>
        <a:noFill/>
        <a:ln w="1" cmpd="sng">
          <a:noFill/>
        </a:ln>
      </xdr:spPr>
      <xdr:txBody>
        <a:bodyPr vertOverflow="clip" wrap="square"/>
        <a:p>
          <a:pPr algn="ctr">
            <a:defRPr/>
          </a:pPr>
          <a:r>
            <a:rPr lang="en-US" cap="none" sz="1800" b="1" i="0" u="sng" baseline="0">
              <a:latin typeface="AngsanaUPC"/>
              <a:ea typeface="AngsanaUPC"/>
              <a:cs typeface="AngsanaUPC"/>
            </a:rPr>
            <a:t>SECTION   1-1</a:t>
          </a:r>
        </a:p>
      </xdr:txBody>
    </xdr:sp>
    <xdr:clientData/>
  </xdr:twoCellAnchor>
  <xdr:twoCellAnchor>
    <xdr:from>
      <xdr:col>10</xdr:col>
      <xdr:colOff>85725</xdr:colOff>
      <xdr:row>32</xdr:row>
      <xdr:rowOff>0</xdr:rowOff>
    </xdr:from>
    <xdr:to>
      <xdr:col>11</xdr:col>
      <xdr:colOff>104775</xdr:colOff>
      <xdr:row>33</xdr:row>
      <xdr:rowOff>0</xdr:rowOff>
    </xdr:to>
    <xdr:sp>
      <xdr:nvSpPr>
        <xdr:cNvPr id="128" name="Line 125"/>
        <xdr:cNvSpPr>
          <a:spLocks/>
        </xdr:cNvSpPr>
      </xdr:nvSpPr>
      <xdr:spPr>
        <a:xfrm flipV="1">
          <a:off x="2524125" y="5562600"/>
          <a:ext cx="352425" cy="1047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10</xdr:col>
      <xdr:colOff>76200</xdr:colOff>
      <xdr:row>34</xdr:row>
      <xdr:rowOff>228600</xdr:rowOff>
    </xdr:from>
    <xdr:to>
      <xdr:col>11</xdr:col>
      <xdr:colOff>104775</xdr:colOff>
      <xdr:row>36</xdr:row>
      <xdr:rowOff>9525</xdr:rowOff>
    </xdr:to>
    <xdr:sp>
      <xdr:nvSpPr>
        <xdr:cNvPr id="129" name="Line 126"/>
        <xdr:cNvSpPr>
          <a:spLocks/>
        </xdr:cNvSpPr>
      </xdr:nvSpPr>
      <xdr:spPr>
        <a:xfrm>
          <a:off x="2514600" y="6124575"/>
          <a:ext cx="361950" cy="1143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7</xdr:col>
      <xdr:colOff>95250</xdr:colOff>
      <xdr:row>32</xdr:row>
      <xdr:rowOff>0</xdr:rowOff>
    </xdr:from>
    <xdr:to>
      <xdr:col>8</xdr:col>
      <xdr:colOff>247650</xdr:colOff>
      <xdr:row>33</xdr:row>
      <xdr:rowOff>0</xdr:rowOff>
    </xdr:to>
    <xdr:sp>
      <xdr:nvSpPr>
        <xdr:cNvPr id="130" name="Line 127"/>
        <xdr:cNvSpPr>
          <a:spLocks/>
        </xdr:cNvSpPr>
      </xdr:nvSpPr>
      <xdr:spPr>
        <a:xfrm flipH="1" flipV="1">
          <a:off x="1676400" y="5562600"/>
          <a:ext cx="342900" cy="1047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7</xdr:col>
      <xdr:colOff>95250</xdr:colOff>
      <xdr:row>34</xdr:row>
      <xdr:rowOff>228600</xdr:rowOff>
    </xdr:from>
    <xdr:to>
      <xdr:col>8</xdr:col>
      <xdr:colOff>247650</xdr:colOff>
      <xdr:row>36</xdr:row>
      <xdr:rowOff>0</xdr:rowOff>
    </xdr:to>
    <xdr:sp>
      <xdr:nvSpPr>
        <xdr:cNvPr id="131" name="Line 128"/>
        <xdr:cNvSpPr>
          <a:spLocks/>
        </xdr:cNvSpPr>
      </xdr:nvSpPr>
      <xdr:spPr>
        <a:xfrm flipV="1">
          <a:off x="1676400" y="6124575"/>
          <a:ext cx="342900" cy="1047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7</xdr:col>
      <xdr:colOff>9525</xdr:colOff>
      <xdr:row>28</xdr:row>
      <xdr:rowOff>66675</xdr:rowOff>
    </xdr:from>
    <xdr:to>
      <xdr:col>11</xdr:col>
      <xdr:colOff>247650</xdr:colOff>
      <xdr:row>28</xdr:row>
      <xdr:rowOff>66675</xdr:rowOff>
    </xdr:to>
    <xdr:sp>
      <xdr:nvSpPr>
        <xdr:cNvPr id="132" name="Line 129"/>
        <xdr:cNvSpPr>
          <a:spLocks/>
        </xdr:cNvSpPr>
      </xdr:nvSpPr>
      <xdr:spPr>
        <a:xfrm>
          <a:off x="1590675" y="4800600"/>
          <a:ext cx="1428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7</xdr:col>
      <xdr:colOff>0</xdr:colOff>
      <xdr:row>27</xdr:row>
      <xdr:rowOff>0</xdr:rowOff>
    </xdr:from>
    <xdr:to>
      <xdr:col>11</xdr:col>
      <xdr:colOff>238125</xdr:colOff>
      <xdr:row>27</xdr:row>
      <xdr:rowOff>0</xdr:rowOff>
    </xdr:to>
    <xdr:sp>
      <xdr:nvSpPr>
        <xdr:cNvPr id="133" name="Line 130"/>
        <xdr:cNvSpPr>
          <a:spLocks/>
        </xdr:cNvSpPr>
      </xdr:nvSpPr>
      <xdr:spPr>
        <a:xfrm>
          <a:off x="1581150" y="4467225"/>
          <a:ext cx="1428750"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6</xdr:col>
      <xdr:colOff>0</xdr:colOff>
      <xdr:row>29</xdr:row>
      <xdr:rowOff>95250</xdr:rowOff>
    </xdr:from>
    <xdr:to>
      <xdr:col>6</xdr:col>
      <xdr:colOff>0</xdr:colOff>
      <xdr:row>38</xdr:row>
      <xdr:rowOff>152400</xdr:rowOff>
    </xdr:to>
    <xdr:sp>
      <xdr:nvSpPr>
        <xdr:cNvPr id="134" name="Line 131"/>
        <xdr:cNvSpPr>
          <a:spLocks/>
        </xdr:cNvSpPr>
      </xdr:nvSpPr>
      <xdr:spPr>
        <a:xfrm>
          <a:off x="1390650" y="5095875"/>
          <a:ext cx="0" cy="16287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xdr:col>
      <xdr:colOff>28575</xdr:colOff>
      <xdr:row>29</xdr:row>
      <xdr:rowOff>95250</xdr:rowOff>
    </xdr:from>
    <xdr:to>
      <xdr:col>3</xdr:col>
      <xdr:colOff>28575</xdr:colOff>
      <xdr:row>38</xdr:row>
      <xdr:rowOff>152400</xdr:rowOff>
    </xdr:to>
    <xdr:sp>
      <xdr:nvSpPr>
        <xdr:cNvPr id="135" name="Line 132"/>
        <xdr:cNvSpPr>
          <a:spLocks/>
        </xdr:cNvSpPr>
      </xdr:nvSpPr>
      <xdr:spPr>
        <a:xfrm>
          <a:off x="847725" y="5095875"/>
          <a:ext cx="0" cy="16287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11</xdr:col>
      <xdr:colOff>95250</xdr:colOff>
      <xdr:row>31</xdr:row>
      <xdr:rowOff>0</xdr:rowOff>
    </xdr:from>
    <xdr:to>
      <xdr:col>11</xdr:col>
      <xdr:colOff>95250</xdr:colOff>
      <xdr:row>32</xdr:row>
      <xdr:rowOff>0</xdr:rowOff>
    </xdr:to>
    <xdr:sp>
      <xdr:nvSpPr>
        <xdr:cNvPr id="136" name="Line 133"/>
        <xdr:cNvSpPr>
          <a:spLocks/>
        </xdr:cNvSpPr>
      </xdr:nvSpPr>
      <xdr:spPr>
        <a:xfrm>
          <a:off x="2867025" y="5276850"/>
          <a:ext cx="0" cy="28575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7</xdr:col>
      <xdr:colOff>95250</xdr:colOff>
      <xdr:row>31</xdr:row>
      <xdr:rowOff>0</xdr:rowOff>
    </xdr:from>
    <xdr:to>
      <xdr:col>7</xdr:col>
      <xdr:colOff>95250</xdr:colOff>
      <xdr:row>32</xdr:row>
      <xdr:rowOff>9525</xdr:rowOff>
    </xdr:to>
    <xdr:sp>
      <xdr:nvSpPr>
        <xdr:cNvPr id="137" name="Line 134"/>
        <xdr:cNvSpPr>
          <a:spLocks/>
        </xdr:cNvSpPr>
      </xdr:nvSpPr>
      <xdr:spPr>
        <a:xfrm>
          <a:off x="1676400" y="5276850"/>
          <a:ext cx="0" cy="2952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7</xdr:col>
      <xdr:colOff>95250</xdr:colOff>
      <xdr:row>36</xdr:row>
      <xdr:rowOff>0</xdr:rowOff>
    </xdr:from>
    <xdr:to>
      <xdr:col>7</xdr:col>
      <xdr:colOff>95250</xdr:colOff>
      <xdr:row>37</xdr:row>
      <xdr:rowOff>9525</xdr:rowOff>
    </xdr:to>
    <xdr:sp>
      <xdr:nvSpPr>
        <xdr:cNvPr id="138" name="Line 135"/>
        <xdr:cNvSpPr>
          <a:spLocks/>
        </xdr:cNvSpPr>
      </xdr:nvSpPr>
      <xdr:spPr>
        <a:xfrm>
          <a:off x="1676400" y="6229350"/>
          <a:ext cx="0" cy="2952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11</xdr:col>
      <xdr:colOff>95250</xdr:colOff>
      <xdr:row>36</xdr:row>
      <xdr:rowOff>9525</xdr:rowOff>
    </xdr:from>
    <xdr:to>
      <xdr:col>11</xdr:col>
      <xdr:colOff>95250</xdr:colOff>
      <xdr:row>37</xdr:row>
      <xdr:rowOff>9525</xdr:rowOff>
    </xdr:to>
    <xdr:sp>
      <xdr:nvSpPr>
        <xdr:cNvPr id="139" name="Line 136"/>
        <xdr:cNvSpPr>
          <a:spLocks/>
        </xdr:cNvSpPr>
      </xdr:nvSpPr>
      <xdr:spPr>
        <a:xfrm>
          <a:off x="2867025" y="6238875"/>
          <a:ext cx="0" cy="28575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7</xdr:col>
      <xdr:colOff>142875</xdr:colOff>
      <xdr:row>30</xdr:row>
      <xdr:rowOff>0</xdr:rowOff>
    </xdr:from>
    <xdr:to>
      <xdr:col>11</xdr:col>
      <xdr:colOff>47625</xdr:colOff>
      <xdr:row>30</xdr:row>
      <xdr:rowOff>0</xdr:rowOff>
    </xdr:to>
    <xdr:sp>
      <xdr:nvSpPr>
        <xdr:cNvPr id="140" name="Line 137"/>
        <xdr:cNvSpPr>
          <a:spLocks/>
        </xdr:cNvSpPr>
      </xdr:nvSpPr>
      <xdr:spPr>
        <a:xfrm>
          <a:off x="1724025" y="5219700"/>
          <a:ext cx="1095375"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7</xdr:col>
      <xdr:colOff>152400</xdr:colOff>
      <xdr:row>38</xdr:row>
      <xdr:rowOff>0</xdr:rowOff>
    </xdr:from>
    <xdr:to>
      <xdr:col>11</xdr:col>
      <xdr:colOff>47625</xdr:colOff>
      <xdr:row>38</xdr:row>
      <xdr:rowOff>0</xdr:rowOff>
    </xdr:to>
    <xdr:sp>
      <xdr:nvSpPr>
        <xdr:cNvPr id="141" name="Line 138"/>
        <xdr:cNvSpPr>
          <a:spLocks/>
        </xdr:cNvSpPr>
      </xdr:nvSpPr>
      <xdr:spPr>
        <a:xfrm>
          <a:off x="1733550" y="6572250"/>
          <a:ext cx="1085850"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8</xdr:col>
      <xdr:colOff>247650</xdr:colOff>
      <xdr:row>32</xdr:row>
      <xdr:rowOff>95250</xdr:rowOff>
    </xdr:from>
    <xdr:to>
      <xdr:col>8</xdr:col>
      <xdr:colOff>247650</xdr:colOff>
      <xdr:row>35</xdr:row>
      <xdr:rowOff>9525</xdr:rowOff>
    </xdr:to>
    <xdr:sp>
      <xdr:nvSpPr>
        <xdr:cNvPr id="142" name="Line 139"/>
        <xdr:cNvSpPr>
          <a:spLocks/>
        </xdr:cNvSpPr>
      </xdr:nvSpPr>
      <xdr:spPr>
        <a:xfrm>
          <a:off x="2019300" y="5657850"/>
          <a:ext cx="0" cy="47625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10</xdr:col>
      <xdr:colOff>85725</xdr:colOff>
      <xdr:row>33</xdr:row>
      <xdr:rowOff>0</xdr:rowOff>
    </xdr:from>
    <xdr:to>
      <xdr:col>10</xdr:col>
      <xdr:colOff>85725</xdr:colOff>
      <xdr:row>35</xdr:row>
      <xdr:rowOff>0</xdr:rowOff>
    </xdr:to>
    <xdr:sp>
      <xdr:nvSpPr>
        <xdr:cNvPr id="143" name="Line 140"/>
        <xdr:cNvSpPr>
          <a:spLocks/>
        </xdr:cNvSpPr>
      </xdr:nvSpPr>
      <xdr:spPr>
        <a:xfrm>
          <a:off x="2524125" y="5667375"/>
          <a:ext cx="0" cy="4572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7</xdr:col>
      <xdr:colOff>95250</xdr:colOff>
      <xdr:row>30</xdr:row>
      <xdr:rowOff>0</xdr:rowOff>
    </xdr:from>
    <xdr:to>
      <xdr:col>7</xdr:col>
      <xdr:colOff>152400</xdr:colOff>
      <xdr:row>31</xdr:row>
      <xdr:rowOff>0</xdr:rowOff>
    </xdr:to>
    <xdr:sp>
      <xdr:nvSpPr>
        <xdr:cNvPr id="144" name="Line 141"/>
        <xdr:cNvSpPr>
          <a:spLocks/>
        </xdr:cNvSpPr>
      </xdr:nvSpPr>
      <xdr:spPr>
        <a:xfrm flipV="1">
          <a:off x="1676400" y="5219700"/>
          <a:ext cx="57150" cy="5715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11</xdr:col>
      <xdr:colOff>47625</xdr:colOff>
      <xdr:row>37</xdr:row>
      <xdr:rowOff>0</xdr:rowOff>
    </xdr:from>
    <xdr:to>
      <xdr:col>11</xdr:col>
      <xdr:colOff>104775</xdr:colOff>
      <xdr:row>38</xdr:row>
      <xdr:rowOff>0</xdr:rowOff>
    </xdr:to>
    <xdr:sp>
      <xdr:nvSpPr>
        <xdr:cNvPr id="145" name="Line 142"/>
        <xdr:cNvSpPr>
          <a:spLocks/>
        </xdr:cNvSpPr>
      </xdr:nvSpPr>
      <xdr:spPr>
        <a:xfrm flipV="1">
          <a:off x="2819400" y="6515100"/>
          <a:ext cx="57150" cy="5715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11</xdr:col>
      <xdr:colOff>38100</xdr:colOff>
      <xdr:row>30</xdr:row>
      <xdr:rowOff>0</xdr:rowOff>
    </xdr:from>
    <xdr:to>
      <xdr:col>11</xdr:col>
      <xdr:colOff>95250</xdr:colOff>
      <xdr:row>31</xdr:row>
      <xdr:rowOff>0</xdr:rowOff>
    </xdr:to>
    <xdr:sp>
      <xdr:nvSpPr>
        <xdr:cNvPr id="146" name="Line 143"/>
        <xdr:cNvSpPr>
          <a:spLocks/>
        </xdr:cNvSpPr>
      </xdr:nvSpPr>
      <xdr:spPr>
        <a:xfrm flipH="1" flipV="1">
          <a:off x="2809875" y="5219700"/>
          <a:ext cx="57150" cy="5715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7</xdr:col>
      <xdr:colOff>95250</xdr:colOff>
      <xdr:row>37</xdr:row>
      <xdr:rowOff>0</xdr:rowOff>
    </xdr:from>
    <xdr:to>
      <xdr:col>7</xdr:col>
      <xdr:colOff>161925</xdr:colOff>
      <xdr:row>38</xdr:row>
      <xdr:rowOff>9525</xdr:rowOff>
    </xdr:to>
    <xdr:sp>
      <xdr:nvSpPr>
        <xdr:cNvPr id="147" name="Line 144"/>
        <xdr:cNvSpPr>
          <a:spLocks/>
        </xdr:cNvSpPr>
      </xdr:nvSpPr>
      <xdr:spPr>
        <a:xfrm flipH="1" flipV="1">
          <a:off x="1676400" y="6515100"/>
          <a:ext cx="66675" cy="666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9</xdr:col>
      <xdr:colOff>0</xdr:colOff>
      <xdr:row>32</xdr:row>
      <xdr:rowOff>0</xdr:rowOff>
    </xdr:from>
    <xdr:to>
      <xdr:col>9</xdr:col>
      <xdr:colOff>0</xdr:colOff>
      <xdr:row>36</xdr:row>
      <xdr:rowOff>0</xdr:rowOff>
    </xdr:to>
    <xdr:sp>
      <xdr:nvSpPr>
        <xdr:cNvPr id="148" name="Line 145"/>
        <xdr:cNvSpPr>
          <a:spLocks/>
        </xdr:cNvSpPr>
      </xdr:nvSpPr>
      <xdr:spPr>
        <a:xfrm>
          <a:off x="2105025" y="5562600"/>
          <a:ext cx="0" cy="66675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10</xdr:col>
      <xdr:colOff>0</xdr:colOff>
      <xdr:row>32</xdr:row>
      <xdr:rowOff>0</xdr:rowOff>
    </xdr:from>
    <xdr:to>
      <xdr:col>10</xdr:col>
      <xdr:colOff>0</xdr:colOff>
      <xdr:row>36</xdr:row>
      <xdr:rowOff>0</xdr:rowOff>
    </xdr:to>
    <xdr:sp>
      <xdr:nvSpPr>
        <xdr:cNvPr id="149" name="Line 146"/>
        <xdr:cNvSpPr>
          <a:spLocks/>
        </xdr:cNvSpPr>
      </xdr:nvSpPr>
      <xdr:spPr>
        <a:xfrm>
          <a:off x="2438400" y="5562600"/>
          <a:ext cx="0" cy="66675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8</xdr:col>
      <xdr:colOff>47625</xdr:colOff>
      <xdr:row>31</xdr:row>
      <xdr:rowOff>57150</xdr:rowOff>
    </xdr:from>
    <xdr:to>
      <xdr:col>10</xdr:col>
      <xdr:colOff>314325</xdr:colOff>
      <xdr:row>31</xdr:row>
      <xdr:rowOff>57150</xdr:rowOff>
    </xdr:to>
    <xdr:sp>
      <xdr:nvSpPr>
        <xdr:cNvPr id="150" name="Line 147"/>
        <xdr:cNvSpPr>
          <a:spLocks/>
        </xdr:cNvSpPr>
      </xdr:nvSpPr>
      <xdr:spPr>
        <a:xfrm>
          <a:off x="1819275" y="5334000"/>
          <a:ext cx="933450"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8</xdr:col>
      <xdr:colOff>47625</xdr:colOff>
      <xdr:row>31</xdr:row>
      <xdr:rowOff>190500</xdr:rowOff>
    </xdr:from>
    <xdr:to>
      <xdr:col>9</xdr:col>
      <xdr:colOff>0</xdr:colOff>
      <xdr:row>32</xdr:row>
      <xdr:rowOff>0</xdr:rowOff>
    </xdr:to>
    <xdr:sp>
      <xdr:nvSpPr>
        <xdr:cNvPr id="151" name="Line 148"/>
        <xdr:cNvSpPr>
          <a:spLocks/>
        </xdr:cNvSpPr>
      </xdr:nvSpPr>
      <xdr:spPr>
        <a:xfrm>
          <a:off x="1819275" y="5467350"/>
          <a:ext cx="285750" cy="9525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7</xdr:col>
      <xdr:colOff>180975</xdr:colOff>
      <xdr:row>31</xdr:row>
      <xdr:rowOff>114300</xdr:rowOff>
    </xdr:from>
    <xdr:to>
      <xdr:col>8</xdr:col>
      <xdr:colOff>66675</xdr:colOff>
      <xdr:row>31</xdr:row>
      <xdr:rowOff>200025</xdr:rowOff>
    </xdr:to>
    <xdr:sp>
      <xdr:nvSpPr>
        <xdr:cNvPr id="152" name="Arc 149"/>
        <xdr:cNvSpPr>
          <a:spLocks/>
        </xdr:cNvSpPr>
      </xdr:nvSpPr>
      <xdr:spPr>
        <a:xfrm flipH="1" flipV="1">
          <a:off x="1762125" y="5391150"/>
          <a:ext cx="76200" cy="85725"/>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8</xdr:col>
      <xdr:colOff>57150</xdr:colOff>
      <xdr:row>36</xdr:row>
      <xdr:rowOff>228600</xdr:rowOff>
    </xdr:from>
    <xdr:to>
      <xdr:col>10</xdr:col>
      <xdr:colOff>276225</xdr:colOff>
      <xdr:row>36</xdr:row>
      <xdr:rowOff>228600</xdr:rowOff>
    </xdr:to>
    <xdr:sp>
      <xdr:nvSpPr>
        <xdr:cNvPr id="153" name="Line 150"/>
        <xdr:cNvSpPr>
          <a:spLocks/>
        </xdr:cNvSpPr>
      </xdr:nvSpPr>
      <xdr:spPr>
        <a:xfrm flipV="1">
          <a:off x="1828800" y="6457950"/>
          <a:ext cx="885825"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8</xdr:col>
      <xdr:colOff>57150</xdr:colOff>
      <xdr:row>35</xdr:row>
      <xdr:rowOff>95250</xdr:rowOff>
    </xdr:from>
    <xdr:to>
      <xdr:col>9</xdr:col>
      <xdr:colOff>0</xdr:colOff>
      <xdr:row>36</xdr:row>
      <xdr:rowOff>85725</xdr:rowOff>
    </xdr:to>
    <xdr:sp>
      <xdr:nvSpPr>
        <xdr:cNvPr id="154" name="Line 151"/>
        <xdr:cNvSpPr>
          <a:spLocks/>
        </xdr:cNvSpPr>
      </xdr:nvSpPr>
      <xdr:spPr>
        <a:xfrm flipH="1">
          <a:off x="1828800" y="6219825"/>
          <a:ext cx="276225" cy="9525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10</xdr:col>
      <xdr:colOff>0</xdr:colOff>
      <xdr:row>35</xdr:row>
      <xdr:rowOff>95250</xdr:rowOff>
    </xdr:from>
    <xdr:to>
      <xdr:col>10</xdr:col>
      <xdr:colOff>295275</xdr:colOff>
      <xdr:row>36</xdr:row>
      <xdr:rowOff>85725</xdr:rowOff>
    </xdr:to>
    <xdr:sp>
      <xdr:nvSpPr>
        <xdr:cNvPr id="155" name="Line 152"/>
        <xdr:cNvSpPr>
          <a:spLocks/>
        </xdr:cNvSpPr>
      </xdr:nvSpPr>
      <xdr:spPr>
        <a:xfrm>
          <a:off x="2438400" y="6219825"/>
          <a:ext cx="295275" cy="9525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10</xdr:col>
      <xdr:colOff>0</xdr:colOff>
      <xdr:row>31</xdr:row>
      <xdr:rowOff>200025</xdr:rowOff>
    </xdr:from>
    <xdr:to>
      <xdr:col>10</xdr:col>
      <xdr:colOff>304800</xdr:colOff>
      <xdr:row>32</xdr:row>
      <xdr:rowOff>0</xdr:rowOff>
    </xdr:to>
    <xdr:sp>
      <xdr:nvSpPr>
        <xdr:cNvPr id="156" name="Line 153"/>
        <xdr:cNvSpPr>
          <a:spLocks/>
        </xdr:cNvSpPr>
      </xdr:nvSpPr>
      <xdr:spPr>
        <a:xfrm flipV="1">
          <a:off x="2438400" y="5476875"/>
          <a:ext cx="304800" cy="8572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7</xdr:col>
      <xdr:colOff>180975</xdr:colOff>
      <xdr:row>36</xdr:row>
      <xdr:rowOff>85725</xdr:rowOff>
    </xdr:from>
    <xdr:to>
      <xdr:col>8</xdr:col>
      <xdr:colOff>76200</xdr:colOff>
      <xdr:row>36</xdr:row>
      <xdr:rowOff>171450</xdr:rowOff>
    </xdr:to>
    <xdr:sp>
      <xdr:nvSpPr>
        <xdr:cNvPr id="157" name="Arc 154"/>
        <xdr:cNvSpPr>
          <a:spLocks/>
        </xdr:cNvSpPr>
      </xdr:nvSpPr>
      <xdr:spPr>
        <a:xfrm flipH="1">
          <a:off x="1762125" y="6315075"/>
          <a:ext cx="85725" cy="85725"/>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7</xdr:col>
      <xdr:colOff>180975</xdr:colOff>
      <xdr:row>36</xdr:row>
      <xdr:rowOff>161925</xdr:rowOff>
    </xdr:from>
    <xdr:to>
      <xdr:col>8</xdr:col>
      <xdr:colOff>57150</xdr:colOff>
      <xdr:row>36</xdr:row>
      <xdr:rowOff>228600</xdr:rowOff>
    </xdr:to>
    <xdr:sp>
      <xdr:nvSpPr>
        <xdr:cNvPr id="158" name="Arc 155"/>
        <xdr:cNvSpPr>
          <a:spLocks/>
        </xdr:cNvSpPr>
      </xdr:nvSpPr>
      <xdr:spPr>
        <a:xfrm flipH="1" flipV="1">
          <a:off x="1762125" y="6391275"/>
          <a:ext cx="66675" cy="66675"/>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10</xdr:col>
      <xdr:colOff>295275</xdr:colOff>
      <xdr:row>31</xdr:row>
      <xdr:rowOff>57150</xdr:rowOff>
    </xdr:from>
    <xdr:to>
      <xdr:col>11</xdr:col>
      <xdr:colOff>28575</xdr:colOff>
      <xdr:row>31</xdr:row>
      <xdr:rowOff>114300</xdr:rowOff>
    </xdr:to>
    <xdr:sp>
      <xdr:nvSpPr>
        <xdr:cNvPr id="159" name="Arc 156"/>
        <xdr:cNvSpPr>
          <a:spLocks/>
        </xdr:cNvSpPr>
      </xdr:nvSpPr>
      <xdr:spPr>
        <a:xfrm>
          <a:off x="2733675" y="5334000"/>
          <a:ext cx="66675" cy="57150"/>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10</xdr:col>
      <xdr:colOff>304800</xdr:colOff>
      <xdr:row>31</xdr:row>
      <xdr:rowOff>104775</xdr:rowOff>
    </xdr:from>
    <xdr:to>
      <xdr:col>11</xdr:col>
      <xdr:colOff>28575</xdr:colOff>
      <xdr:row>31</xdr:row>
      <xdr:rowOff>200025</xdr:rowOff>
    </xdr:to>
    <xdr:sp>
      <xdr:nvSpPr>
        <xdr:cNvPr id="160" name="Arc 157"/>
        <xdr:cNvSpPr>
          <a:spLocks/>
        </xdr:cNvSpPr>
      </xdr:nvSpPr>
      <xdr:spPr>
        <a:xfrm flipV="1">
          <a:off x="2743200" y="5381625"/>
          <a:ext cx="57150" cy="95250"/>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10</xdr:col>
      <xdr:colOff>276225</xdr:colOff>
      <xdr:row>36</xdr:row>
      <xdr:rowOff>161925</xdr:rowOff>
    </xdr:from>
    <xdr:to>
      <xdr:col>11</xdr:col>
      <xdr:colOff>9525</xdr:colOff>
      <xdr:row>36</xdr:row>
      <xdr:rowOff>228600</xdr:rowOff>
    </xdr:to>
    <xdr:sp>
      <xdr:nvSpPr>
        <xdr:cNvPr id="161" name="Arc 158"/>
        <xdr:cNvSpPr>
          <a:spLocks/>
        </xdr:cNvSpPr>
      </xdr:nvSpPr>
      <xdr:spPr>
        <a:xfrm flipV="1">
          <a:off x="2714625" y="6391275"/>
          <a:ext cx="66675" cy="66675"/>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7</xdr:col>
      <xdr:colOff>104775</xdr:colOff>
      <xdr:row>27</xdr:row>
      <xdr:rowOff>238125</xdr:rowOff>
    </xdr:from>
    <xdr:to>
      <xdr:col>7</xdr:col>
      <xdr:colOff>104775</xdr:colOff>
      <xdr:row>28</xdr:row>
      <xdr:rowOff>161925</xdr:rowOff>
    </xdr:to>
    <xdr:sp>
      <xdr:nvSpPr>
        <xdr:cNvPr id="162" name="Line 159"/>
        <xdr:cNvSpPr>
          <a:spLocks/>
        </xdr:cNvSpPr>
      </xdr:nvSpPr>
      <xdr:spPr>
        <a:xfrm>
          <a:off x="1685925" y="4705350"/>
          <a:ext cx="0" cy="1905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7</xdr:col>
      <xdr:colOff>114300</xdr:colOff>
      <xdr:row>26</xdr:row>
      <xdr:rowOff>161925</xdr:rowOff>
    </xdr:from>
    <xdr:to>
      <xdr:col>7</xdr:col>
      <xdr:colOff>114300</xdr:colOff>
      <xdr:row>27</xdr:row>
      <xdr:rowOff>104775</xdr:rowOff>
    </xdr:to>
    <xdr:sp>
      <xdr:nvSpPr>
        <xdr:cNvPr id="163" name="Line 160"/>
        <xdr:cNvSpPr>
          <a:spLocks/>
        </xdr:cNvSpPr>
      </xdr:nvSpPr>
      <xdr:spPr>
        <a:xfrm>
          <a:off x="1695450" y="4362450"/>
          <a:ext cx="0" cy="20955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11</xdr:col>
      <xdr:colOff>95250</xdr:colOff>
      <xdr:row>27</xdr:row>
      <xdr:rowOff>219075</xdr:rowOff>
    </xdr:from>
    <xdr:to>
      <xdr:col>11</xdr:col>
      <xdr:colOff>95250</xdr:colOff>
      <xdr:row>28</xdr:row>
      <xdr:rowOff>152400</xdr:rowOff>
    </xdr:to>
    <xdr:sp>
      <xdr:nvSpPr>
        <xdr:cNvPr id="164" name="Line 161"/>
        <xdr:cNvSpPr>
          <a:spLocks/>
        </xdr:cNvSpPr>
      </xdr:nvSpPr>
      <xdr:spPr>
        <a:xfrm>
          <a:off x="2867025" y="4686300"/>
          <a:ext cx="0" cy="200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11</xdr:col>
      <xdr:colOff>95250</xdr:colOff>
      <xdr:row>26</xdr:row>
      <xdr:rowOff>161925</xdr:rowOff>
    </xdr:from>
    <xdr:to>
      <xdr:col>11</xdr:col>
      <xdr:colOff>95250</xdr:colOff>
      <xdr:row>27</xdr:row>
      <xdr:rowOff>104775</xdr:rowOff>
    </xdr:to>
    <xdr:sp>
      <xdr:nvSpPr>
        <xdr:cNvPr id="165" name="Line 162"/>
        <xdr:cNvSpPr>
          <a:spLocks/>
        </xdr:cNvSpPr>
      </xdr:nvSpPr>
      <xdr:spPr>
        <a:xfrm>
          <a:off x="2867025" y="4362450"/>
          <a:ext cx="0" cy="20955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7</xdr:col>
      <xdr:colOff>85725</xdr:colOff>
      <xdr:row>26</xdr:row>
      <xdr:rowOff>228600</xdr:rowOff>
    </xdr:from>
    <xdr:to>
      <xdr:col>7</xdr:col>
      <xdr:colOff>152400</xdr:colOff>
      <xdr:row>27</xdr:row>
      <xdr:rowOff>28575</xdr:rowOff>
    </xdr:to>
    <xdr:sp>
      <xdr:nvSpPr>
        <xdr:cNvPr id="166" name="Oval 163"/>
        <xdr:cNvSpPr>
          <a:spLocks/>
        </xdr:cNvSpPr>
      </xdr:nvSpPr>
      <xdr:spPr>
        <a:xfrm>
          <a:off x="1666875" y="4429125"/>
          <a:ext cx="66675" cy="666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11</xdr:col>
      <xdr:colOff>66675</xdr:colOff>
      <xdr:row>26</xdr:row>
      <xdr:rowOff>228600</xdr:rowOff>
    </xdr:from>
    <xdr:to>
      <xdr:col>11</xdr:col>
      <xdr:colOff>133350</xdr:colOff>
      <xdr:row>27</xdr:row>
      <xdr:rowOff>28575</xdr:rowOff>
    </xdr:to>
    <xdr:sp>
      <xdr:nvSpPr>
        <xdr:cNvPr id="167" name="Oval 164"/>
        <xdr:cNvSpPr>
          <a:spLocks/>
        </xdr:cNvSpPr>
      </xdr:nvSpPr>
      <xdr:spPr>
        <a:xfrm>
          <a:off x="2838450" y="4429125"/>
          <a:ext cx="66675" cy="666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11</xdr:col>
      <xdr:colOff>66675</xdr:colOff>
      <xdr:row>28</xdr:row>
      <xdr:rowOff>28575</xdr:rowOff>
    </xdr:from>
    <xdr:to>
      <xdr:col>11</xdr:col>
      <xdr:colOff>133350</xdr:colOff>
      <xdr:row>28</xdr:row>
      <xdr:rowOff>95250</xdr:rowOff>
    </xdr:to>
    <xdr:sp>
      <xdr:nvSpPr>
        <xdr:cNvPr id="168" name="Oval 165"/>
        <xdr:cNvSpPr>
          <a:spLocks/>
        </xdr:cNvSpPr>
      </xdr:nvSpPr>
      <xdr:spPr>
        <a:xfrm>
          <a:off x="2838450" y="4762500"/>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7</xdr:col>
      <xdr:colOff>66675</xdr:colOff>
      <xdr:row>28</xdr:row>
      <xdr:rowOff>28575</xdr:rowOff>
    </xdr:from>
    <xdr:to>
      <xdr:col>7</xdr:col>
      <xdr:colOff>133350</xdr:colOff>
      <xdr:row>28</xdr:row>
      <xdr:rowOff>95250</xdr:rowOff>
    </xdr:to>
    <xdr:sp>
      <xdr:nvSpPr>
        <xdr:cNvPr id="169" name="Oval 166"/>
        <xdr:cNvSpPr>
          <a:spLocks/>
        </xdr:cNvSpPr>
      </xdr:nvSpPr>
      <xdr:spPr>
        <a:xfrm>
          <a:off x="1647825" y="4762500"/>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xdr:col>
      <xdr:colOff>38100</xdr:colOff>
      <xdr:row>30</xdr:row>
      <xdr:rowOff>0</xdr:rowOff>
    </xdr:from>
    <xdr:to>
      <xdr:col>3</xdr:col>
      <xdr:colOff>123825</xdr:colOff>
      <xdr:row>30</xdr:row>
      <xdr:rowOff>0</xdr:rowOff>
    </xdr:to>
    <xdr:sp>
      <xdr:nvSpPr>
        <xdr:cNvPr id="170" name="Line 167"/>
        <xdr:cNvSpPr>
          <a:spLocks/>
        </xdr:cNvSpPr>
      </xdr:nvSpPr>
      <xdr:spPr>
        <a:xfrm>
          <a:off x="742950" y="5219700"/>
          <a:ext cx="200025"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5</xdr:col>
      <xdr:colOff>95250</xdr:colOff>
      <xdr:row>30</xdr:row>
      <xdr:rowOff>0</xdr:rowOff>
    </xdr:from>
    <xdr:to>
      <xdr:col>6</xdr:col>
      <xdr:colOff>123825</xdr:colOff>
      <xdr:row>30</xdr:row>
      <xdr:rowOff>0</xdr:rowOff>
    </xdr:to>
    <xdr:sp>
      <xdr:nvSpPr>
        <xdr:cNvPr id="171" name="Line 168"/>
        <xdr:cNvSpPr>
          <a:spLocks/>
        </xdr:cNvSpPr>
      </xdr:nvSpPr>
      <xdr:spPr>
        <a:xfrm>
          <a:off x="1295400" y="5219700"/>
          <a:ext cx="219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xdr:col>
      <xdr:colOff>38100</xdr:colOff>
      <xdr:row>38</xdr:row>
      <xdr:rowOff>0</xdr:rowOff>
    </xdr:from>
    <xdr:to>
      <xdr:col>3</xdr:col>
      <xdr:colOff>104775</xdr:colOff>
      <xdr:row>38</xdr:row>
      <xdr:rowOff>0</xdr:rowOff>
    </xdr:to>
    <xdr:sp>
      <xdr:nvSpPr>
        <xdr:cNvPr id="172" name="Line 169"/>
        <xdr:cNvSpPr>
          <a:spLocks/>
        </xdr:cNvSpPr>
      </xdr:nvSpPr>
      <xdr:spPr>
        <a:xfrm>
          <a:off x="742950" y="6572250"/>
          <a:ext cx="180975"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5</xdr:col>
      <xdr:colOff>95250</xdr:colOff>
      <xdr:row>38</xdr:row>
      <xdr:rowOff>0</xdr:rowOff>
    </xdr:from>
    <xdr:to>
      <xdr:col>6</xdr:col>
      <xdr:colOff>133350</xdr:colOff>
      <xdr:row>38</xdr:row>
      <xdr:rowOff>0</xdr:rowOff>
    </xdr:to>
    <xdr:sp>
      <xdr:nvSpPr>
        <xdr:cNvPr id="173" name="Line 170"/>
        <xdr:cNvSpPr>
          <a:spLocks/>
        </xdr:cNvSpPr>
      </xdr:nvSpPr>
      <xdr:spPr>
        <a:xfrm>
          <a:off x="1295400" y="657225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xdr:col>
      <xdr:colOff>104775</xdr:colOff>
      <xdr:row>29</xdr:row>
      <xdr:rowOff>180975</xdr:rowOff>
    </xdr:from>
    <xdr:to>
      <xdr:col>3</xdr:col>
      <xdr:colOff>57150</xdr:colOff>
      <xdr:row>30</xdr:row>
      <xdr:rowOff>28575</xdr:rowOff>
    </xdr:to>
    <xdr:sp>
      <xdr:nvSpPr>
        <xdr:cNvPr id="174" name="Oval 171"/>
        <xdr:cNvSpPr>
          <a:spLocks/>
        </xdr:cNvSpPr>
      </xdr:nvSpPr>
      <xdr:spPr>
        <a:xfrm>
          <a:off x="809625" y="5181600"/>
          <a:ext cx="66675" cy="666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5</xdr:col>
      <xdr:colOff>161925</xdr:colOff>
      <xdr:row>29</xdr:row>
      <xdr:rowOff>180975</xdr:rowOff>
    </xdr:from>
    <xdr:to>
      <xdr:col>6</xdr:col>
      <xdr:colOff>38100</xdr:colOff>
      <xdr:row>30</xdr:row>
      <xdr:rowOff>28575</xdr:rowOff>
    </xdr:to>
    <xdr:sp>
      <xdr:nvSpPr>
        <xdr:cNvPr id="175" name="Oval 172"/>
        <xdr:cNvSpPr>
          <a:spLocks/>
        </xdr:cNvSpPr>
      </xdr:nvSpPr>
      <xdr:spPr>
        <a:xfrm>
          <a:off x="1362075" y="5181600"/>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5</xdr:col>
      <xdr:colOff>161925</xdr:colOff>
      <xdr:row>37</xdr:row>
      <xdr:rowOff>19050</xdr:rowOff>
    </xdr:from>
    <xdr:to>
      <xdr:col>6</xdr:col>
      <xdr:colOff>38100</xdr:colOff>
      <xdr:row>38</xdr:row>
      <xdr:rowOff>28575</xdr:rowOff>
    </xdr:to>
    <xdr:sp>
      <xdr:nvSpPr>
        <xdr:cNvPr id="176" name="Oval 173"/>
        <xdr:cNvSpPr>
          <a:spLocks/>
        </xdr:cNvSpPr>
      </xdr:nvSpPr>
      <xdr:spPr>
        <a:xfrm>
          <a:off x="1362075" y="6534150"/>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xdr:col>
      <xdr:colOff>104775</xdr:colOff>
      <xdr:row>37</xdr:row>
      <xdr:rowOff>19050</xdr:rowOff>
    </xdr:from>
    <xdr:to>
      <xdr:col>3</xdr:col>
      <xdr:colOff>57150</xdr:colOff>
      <xdr:row>38</xdr:row>
      <xdr:rowOff>28575</xdr:rowOff>
    </xdr:to>
    <xdr:sp>
      <xdr:nvSpPr>
        <xdr:cNvPr id="177" name="Oval 174"/>
        <xdr:cNvSpPr>
          <a:spLocks/>
        </xdr:cNvSpPr>
      </xdr:nvSpPr>
      <xdr:spPr>
        <a:xfrm>
          <a:off x="809625" y="6534150"/>
          <a:ext cx="66675" cy="666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8</xdr:col>
      <xdr:colOff>57150</xdr:colOff>
      <xdr:row>31</xdr:row>
      <xdr:rowOff>76200</xdr:rowOff>
    </xdr:from>
    <xdr:to>
      <xdr:col>8</xdr:col>
      <xdr:colOff>85725</xdr:colOff>
      <xdr:row>31</xdr:row>
      <xdr:rowOff>123825</xdr:rowOff>
    </xdr:to>
    <xdr:sp>
      <xdr:nvSpPr>
        <xdr:cNvPr id="178" name="Oval 175"/>
        <xdr:cNvSpPr>
          <a:spLocks/>
        </xdr:cNvSpPr>
      </xdr:nvSpPr>
      <xdr:spPr>
        <a:xfrm>
          <a:off x="1828800" y="5353050"/>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8</xdr:col>
      <xdr:colOff>47625</xdr:colOff>
      <xdr:row>36</xdr:row>
      <xdr:rowOff>152400</xdr:rowOff>
    </xdr:from>
    <xdr:to>
      <xdr:col>8</xdr:col>
      <xdr:colOff>76200</xdr:colOff>
      <xdr:row>36</xdr:row>
      <xdr:rowOff>200025</xdr:rowOff>
    </xdr:to>
    <xdr:sp>
      <xdr:nvSpPr>
        <xdr:cNvPr id="179" name="Oval 176"/>
        <xdr:cNvSpPr>
          <a:spLocks/>
        </xdr:cNvSpPr>
      </xdr:nvSpPr>
      <xdr:spPr>
        <a:xfrm>
          <a:off x="1819275" y="6381750"/>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10</xdr:col>
      <xdr:colOff>276225</xdr:colOff>
      <xdr:row>31</xdr:row>
      <xdr:rowOff>76200</xdr:rowOff>
    </xdr:from>
    <xdr:to>
      <xdr:col>10</xdr:col>
      <xdr:colOff>304800</xdr:colOff>
      <xdr:row>31</xdr:row>
      <xdr:rowOff>123825</xdr:rowOff>
    </xdr:to>
    <xdr:sp>
      <xdr:nvSpPr>
        <xdr:cNvPr id="180" name="Oval 177"/>
        <xdr:cNvSpPr>
          <a:spLocks/>
        </xdr:cNvSpPr>
      </xdr:nvSpPr>
      <xdr:spPr>
        <a:xfrm>
          <a:off x="2714625" y="5353050"/>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10</xdr:col>
      <xdr:colOff>266700</xdr:colOff>
      <xdr:row>36</xdr:row>
      <xdr:rowOff>142875</xdr:rowOff>
    </xdr:from>
    <xdr:to>
      <xdr:col>10</xdr:col>
      <xdr:colOff>295275</xdr:colOff>
      <xdr:row>36</xdr:row>
      <xdr:rowOff>190500</xdr:rowOff>
    </xdr:to>
    <xdr:sp>
      <xdr:nvSpPr>
        <xdr:cNvPr id="181" name="Oval 178"/>
        <xdr:cNvSpPr>
          <a:spLocks/>
        </xdr:cNvSpPr>
      </xdr:nvSpPr>
      <xdr:spPr>
        <a:xfrm>
          <a:off x="2705100" y="6372225"/>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8</xdr:col>
      <xdr:colOff>257175</xdr:colOff>
      <xdr:row>27</xdr:row>
      <xdr:rowOff>247650</xdr:rowOff>
    </xdr:from>
    <xdr:to>
      <xdr:col>8</xdr:col>
      <xdr:colOff>257175</xdr:colOff>
      <xdr:row>28</xdr:row>
      <xdr:rowOff>180975</xdr:rowOff>
    </xdr:to>
    <xdr:sp>
      <xdr:nvSpPr>
        <xdr:cNvPr id="182" name="Line 179"/>
        <xdr:cNvSpPr>
          <a:spLocks/>
        </xdr:cNvSpPr>
      </xdr:nvSpPr>
      <xdr:spPr>
        <a:xfrm>
          <a:off x="2028825" y="4714875"/>
          <a:ext cx="0" cy="200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10</xdr:col>
      <xdr:colOff>95250</xdr:colOff>
      <xdr:row>27</xdr:row>
      <xdr:rowOff>257175</xdr:rowOff>
    </xdr:from>
    <xdr:to>
      <xdr:col>10</xdr:col>
      <xdr:colOff>95250</xdr:colOff>
      <xdr:row>28</xdr:row>
      <xdr:rowOff>171450</xdr:rowOff>
    </xdr:to>
    <xdr:sp>
      <xdr:nvSpPr>
        <xdr:cNvPr id="183" name="Line 180"/>
        <xdr:cNvSpPr>
          <a:spLocks/>
        </xdr:cNvSpPr>
      </xdr:nvSpPr>
      <xdr:spPr>
        <a:xfrm>
          <a:off x="2533650" y="4724400"/>
          <a:ext cx="0" cy="1809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8</xdr:col>
      <xdr:colOff>228600</xdr:colOff>
      <xdr:row>28</xdr:row>
      <xdr:rowOff>28575</xdr:rowOff>
    </xdr:from>
    <xdr:to>
      <xdr:col>8</xdr:col>
      <xdr:colOff>295275</xdr:colOff>
      <xdr:row>28</xdr:row>
      <xdr:rowOff>95250</xdr:rowOff>
    </xdr:to>
    <xdr:sp>
      <xdr:nvSpPr>
        <xdr:cNvPr id="184" name="Oval 181"/>
        <xdr:cNvSpPr>
          <a:spLocks/>
        </xdr:cNvSpPr>
      </xdr:nvSpPr>
      <xdr:spPr>
        <a:xfrm>
          <a:off x="2000250" y="4762500"/>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10</xdr:col>
      <xdr:colOff>66675</xdr:colOff>
      <xdr:row>28</xdr:row>
      <xdr:rowOff>28575</xdr:rowOff>
    </xdr:from>
    <xdr:to>
      <xdr:col>10</xdr:col>
      <xdr:colOff>133350</xdr:colOff>
      <xdr:row>28</xdr:row>
      <xdr:rowOff>95250</xdr:rowOff>
    </xdr:to>
    <xdr:sp>
      <xdr:nvSpPr>
        <xdr:cNvPr id="185" name="Oval 182"/>
        <xdr:cNvSpPr>
          <a:spLocks/>
        </xdr:cNvSpPr>
      </xdr:nvSpPr>
      <xdr:spPr>
        <a:xfrm>
          <a:off x="2505075" y="4762500"/>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9</xdr:col>
      <xdr:colOff>57150</xdr:colOff>
      <xdr:row>26</xdr:row>
      <xdr:rowOff>0</xdr:rowOff>
    </xdr:from>
    <xdr:to>
      <xdr:col>10</xdr:col>
      <xdr:colOff>66675</xdr:colOff>
      <xdr:row>27</xdr:row>
      <xdr:rowOff>19050</xdr:rowOff>
    </xdr:to>
    <xdr:sp>
      <xdr:nvSpPr>
        <xdr:cNvPr id="186" name="Text 1532"/>
        <xdr:cNvSpPr txBox="1">
          <a:spLocks noChangeArrowheads="1"/>
        </xdr:cNvSpPr>
      </xdr:nvSpPr>
      <xdr:spPr>
        <a:xfrm>
          <a:off x="2162175" y="4200525"/>
          <a:ext cx="342900" cy="285750"/>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40</a:t>
          </a:r>
        </a:p>
      </xdr:txBody>
    </xdr:sp>
    <xdr:clientData/>
  </xdr:twoCellAnchor>
  <xdr:twoCellAnchor>
    <xdr:from>
      <xdr:col>1</xdr:col>
      <xdr:colOff>57150</xdr:colOff>
      <xdr:row>33</xdr:row>
      <xdr:rowOff>66675</xdr:rowOff>
    </xdr:from>
    <xdr:to>
      <xdr:col>2</xdr:col>
      <xdr:colOff>104775</xdr:colOff>
      <xdr:row>34</xdr:row>
      <xdr:rowOff>85725</xdr:rowOff>
    </xdr:to>
    <xdr:sp>
      <xdr:nvSpPr>
        <xdr:cNvPr id="187" name="Text 1533"/>
        <xdr:cNvSpPr txBox="1">
          <a:spLocks noChangeArrowheads="1"/>
        </xdr:cNvSpPr>
      </xdr:nvSpPr>
      <xdr:spPr>
        <a:xfrm>
          <a:off x="561975" y="5734050"/>
          <a:ext cx="247650" cy="247650"/>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40</a:t>
          </a:r>
        </a:p>
      </xdr:txBody>
    </xdr:sp>
    <xdr:clientData/>
  </xdr:twoCellAnchor>
  <xdr:twoCellAnchor>
    <xdr:from>
      <xdr:col>5</xdr:col>
      <xdr:colOff>104775</xdr:colOff>
      <xdr:row>32</xdr:row>
      <xdr:rowOff>0</xdr:rowOff>
    </xdr:from>
    <xdr:to>
      <xdr:col>6</xdr:col>
      <xdr:colOff>142875</xdr:colOff>
      <xdr:row>32</xdr:row>
      <xdr:rowOff>0</xdr:rowOff>
    </xdr:to>
    <xdr:sp>
      <xdr:nvSpPr>
        <xdr:cNvPr id="188" name="Line 185"/>
        <xdr:cNvSpPr>
          <a:spLocks/>
        </xdr:cNvSpPr>
      </xdr:nvSpPr>
      <xdr:spPr>
        <a:xfrm>
          <a:off x="1304925" y="556260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5</xdr:col>
      <xdr:colOff>95250</xdr:colOff>
      <xdr:row>33</xdr:row>
      <xdr:rowOff>0</xdr:rowOff>
    </xdr:from>
    <xdr:to>
      <xdr:col>6</xdr:col>
      <xdr:colOff>133350</xdr:colOff>
      <xdr:row>33</xdr:row>
      <xdr:rowOff>0</xdr:rowOff>
    </xdr:to>
    <xdr:sp>
      <xdr:nvSpPr>
        <xdr:cNvPr id="189" name="Line 186"/>
        <xdr:cNvSpPr>
          <a:spLocks/>
        </xdr:cNvSpPr>
      </xdr:nvSpPr>
      <xdr:spPr>
        <a:xfrm>
          <a:off x="1295400" y="5667375"/>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5</xdr:col>
      <xdr:colOff>95250</xdr:colOff>
      <xdr:row>35</xdr:row>
      <xdr:rowOff>0</xdr:rowOff>
    </xdr:from>
    <xdr:to>
      <xdr:col>6</xdr:col>
      <xdr:colOff>133350</xdr:colOff>
      <xdr:row>35</xdr:row>
      <xdr:rowOff>0</xdr:rowOff>
    </xdr:to>
    <xdr:sp>
      <xdr:nvSpPr>
        <xdr:cNvPr id="190" name="Line 187"/>
        <xdr:cNvSpPr>
          <a:spLocks/>
        </xdr:cNvSpPr>
      </xdr:nvSpPr>
      <xdr:spPr>
        <a:xfrm>
          <a:off x="1295400" y="6124575"/>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5</xdr:col>
      <xdr:colOff>95250</xdr:colOff>
      <xdr:row>36</xdr:row>
      <xdr:rowOff>0</xdr:rowOff>
    </xdr:from>
    <xdr:to>
      <xdr:col>6</xdr:col>
      <xdr:colOff>133350</xdr:colOff>
      <xdr:row>36</xdr:row>
      <xdr:rowOff>0</xdr:rowOff>
    </xdr:to>
    <xdr:sp>
      <xdr:nvSpPr>
        <xdr:cNvPr id="191" name="Line 188"/>
        <xdr:cNvSpPr>
          <a:spLocks/>
        </xdr:cNvSpPr>
      </xdr:nvSpPr>
      <xdr:spPr>
        <a:xfrm>
          <a:off x="1295400" y="622935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5</xdr:col>
      <xdr:colOff>152400</xdr:colOff>
      <xdr:row>31</xdr:row>
      <xdr:rowOff>257175</xdr:rowOff>
    </xdr:from>
    <xdr:to>
      <xdr:col>6</xdr:col>
      <xdr:colOff>28575</xdr:colOff>
      <xdr:row>32</xdr:row>
      <xdr:rowOff>38100</xdr:rowOff>
    </xdr:to>
    <xdr:sp>
      <xdr:nvSpPr>
        <xdr:cNvPr id="192" name="Oval 189"/>
        <xdr:cNvSpPr>
          <a:spLocks/>
        </xdr:cNvSpPr>
      </xdr:nvSpPr>
      <xdr:spPr>
        <a:xfrm>
          <a:off x="1352550" y="5534025"/>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5</xdr:col>
      <xdr:colOff>152400</xdr:colOff>
      <xdr:row>32</xdr:row>
      <xdr:rowOff>76200</xdr:rowOff>
    </xdr:from>
    <xdr:to>
      <xdr:col>6</xdr:col>
      <xdr:colOff>28575</xdr:colOff>
      <xdr:row>33</xdr:row>
      <xdr:rowOff>38100</xdr:rowOff>
    </xdr:to>
    <xdr:sp>
      <xdr:nvSpPr>
        <xdr:cNvPr id="193" name="Oval 190"/>
        <xdr:cNvSpPr>
          <a:spLocks/>
        </xdr:cNvSpPr>
      </xdr:nvSpPr>
      <xdr:spPr>
        <a:xfrm>
          <a:off x="1352550" y="5638800"/>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5</xdr:col>
      <xdr:colOff>152400</xdr:colOff>
      <xdr:row>34</xdr:row>
      <xdr:rowOff>190500</xdr:rowOff>
    </xdr:from>
    <xdr:to>
      <xdr:col>6</xdr:col>
      <xdr:colOff>28575</xdr:colOff>
      <xdr:row>35</xdr:row>
      <xdr:rowOff>28575</xdr:rowOff>
    </xdr:to>
    <xdr:sp>
      <xdr:nvSpPr>
        <xdr:cNvPr id="194" name="Oval 191"/>
        <xdr:cNvSpPr>
          <a:spLocks/>
        </xdr:cNvSpPr>
      </xdr:nvSpPr>
      <xdr:spPr>
        <a:xfrm>
          <a:off x="1352550" y="6086475"/>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5</xdr:col>
      <xdr:colOff>152400</xdr:colOff>
      <xdr:row>35</xdr:row>
      <xdr:rowOff>66675</xdr:rowOff>
    </xdr:from>
    <xdr:to>
      <xdr:col>6</xdr:col>
      <xdr:colOff>28575</xdr:colOff>
      <xdr:row>36</xdr:row>
      <xdr:rowOff>28575</xdr:rowOff>
    </xdr:to>
    <xdr:sp>
      <xdr:nvSpPr>
        <xdr:cNvPr id="195" name="Oval 192"/>
        <xdr:cNvSpPr>
          <a:spLocks/>
        </xdr:cNvSpPr>
      </xdr:nvSpPr>
      <xdr:spPr>
        <a:xfrm>
          <a:off x="1352550" y="6191250"/>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7</xdr:col>
      <xdr:colOff>152400</xdr:colOff>
      <xdr:row>27</xdr:row>
      <xdr:rowOff>9525</xdr:rowOff>
    </xdr:from>
    <xdr:to>
      <xdr:col>8</xdr:col>
      <xdr:colOff>257175</xdr:colOff>
      <xdr:row>28</xdr:row>
      <xdr:rowOff>47625</xdr:rowOff>
    </xdr:to>
    <xdr:sp>
      <xdr:nvSpPr>
        <xdr:cNvPr id="196" name="Text 1567"/>
        <xdr:cNvSpPr txBox="1">
          <a:spLocks noChangeArrowheads="1"/>
        </xdr:cNvSpPr>
      </xdr:nvSpPr>
      <xdr:spPr>
        <a:xfrm>
          <a:off x="1733550" y="4476750"/>
          <a:ext cx="295275" cy="304800"/>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  12</a:t>
          </a:r>
        </a:p>
      </xdr:txBody>
    </xdr:sp>
    <xdr:clientData/>
  </xdr:twoCellAnchor>
  <xdr:twoCellAnchor>
    <xdr:from>
      <xdr:col>10</xdr:col>
      <xdr:colOff>171450</xdr:colOff>
      <xdr:row>27</xdr:row>
      <xdr:rowOff>9525</xdr:rowOff>
    </xdr:from>
    <xdr:to>
      <xdr:col>11</xdr:col>
      <xdr:colOff>133350</xdr:colOff>
      <xdr:row>28</xdr:row>
      <xdr:rowOff>47625</xdr:rowOff>
    </xdr:to>
    <xdr:sp>
      <xdr:nvSpPr>
        <xdr:cNvPr id="197" name="Text 1568"/>
        <xdr:cNvSpPr txBox="1">
          <a:spLocks noChangeArrowheads="1"/>
        </xdr:cNvSpPr>
      </xdr:nvSpPr>
      <xdr:spPr>
        <a:xfrm>
          <a:off x="2609850" y="4476750"/>
          <a:ext cx="295275" cy="304800"/>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12</a:t>
          </a:r>
        </a:p>
      </xdr:txBody>
    </xdr:sp>
    <xdr:clientData/>
  </xdr:twoCellAnchor>
  <xdr:twoCellAnchor>
    <xdr:from>
      <xdr:col>9</xdr:col>
      <xdr:colOff>123825</xdr:colOff>
      <xdr:row>27</xdr:row>
      <xdr:rowOff>9525</xdr:rowOff>
    </xdr:from>
    <xdr:to>
      <xdr:col>10</xdr:col>
      <xdr:colOff>85725</xdr:colOff>
      <xdr:row>28</xdr:row>
      <xdr:rowOff>47625</xdr:rowOff>
    </xdr:to>
    <xdr:sp>
      <xdr:nvSpPr>
        <xdr:cNvPr id="198" name="Text 1569"/>
        <xdr:cNvSpPr txBox="1">
          <a:spLocks noChangeArrowheads="1"/>
        </xdr:cNvSpPr>
      </xdr:nvSpPr>
      <xdr:spPr>
        <a:xfrm>
          <a:off x="2228850" y="4476750"/>
          <a:ext cx="295275" cy="304800"/>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16</a:t>
          </a:r>
        </a:p>
      </xdr:txBody>
    </xdr:sp>
    <xdr:clientData/>
  </xdr:twoCellAnchor>
  <xdr:twoCellAnchor>
    <xdr:from>
      <xdr:col>4</xdr:col>
      <xdr:colOff>28575</xdr:colOff>
      <xdr:row>30</xdr:row>
      <xdr:rowOff>28575</xdr:rowOff>
    </xdr:from>
    <xdr:to>
      <xdr:col>5</xdr:col>
      <xdr:colOff>133350</xdr:colOff>
      <xdr:row>31</xdr:row>
      <xdr:rowOff>276225</xdr:rowOff>
    </xdr:to>
    <xdr:sp>
      <xdr:nvSpPr>
        <xdr:cNvPr id="199" name="Text 1572"/>
        <xdr:cNvSpPr txBox="1">
          <a:spLocks noChangeArrowheads="1"/>
        </xdr:cNvSpPr>
      </xdr:nvSpPr>
      <xdr:spPr>
        <a:xfrm>
          <a:off x="1038225" y="5248275"/>
          <a:ext cx="295275" cy="304800"/>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11</a:t>
          </a:r>
        </a:p>
      </xdr:txBody>
    </xdr:sp>
    <xdr:clientData/>
  </xdr:twoCellAnchor>
  <xdr:twoCellAnchor>
    <xdr:from>
      <xdr:col>4</xdr:col>
      <xdr:colOff>38100</xdr:colOff>
      <xdr:row>36</xdr:row>
      <xdr:rowOff>9525</xdr:rowOff>
    </xdr:from>
    <xdr:to>
      <xdr:col>5</xdr:col>
      <xdr:colOff>142875</xdr:colOff>
      <xdr:row>37</xdr:row>
      <xdr:rowOff>28575</xdr:rowOff>
    </xdr:to>
    <xdr:sp>
      <xdr:nvSpPr>
        <xdr:cNvPr id="200" name="Text 1573"/>
        <xdr:cNvSpPr txBox="1">
          <a:spLocks noChangeArrowheads="1"/>
        </xdr:cNvSpPr>
      </xdr:nvSpPr>
      <xdr:spPr>
        <a:xfrm>
          <a:off x="1047750" y="6238875"/>
          <a:ext cx="295275" cy="304800"/>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11</a:t>
          </a:r>
        </a:p>
      </xdr:txBody>
    </xdr:sp>
    <xdr:clientData/>
  </xdr:twoCellAnchor>
  <xdr:twoCellAnchor>
    <xdr:from>
      <xdr:col>4</xdr:col>
      <xdr:colOff>0</xdr:colOff>
      <xdr:row>33</xdr:row>
      <xdr:rowOff>66675</xdr:rowOff>
    </xdr:from>
    <xdr:to>
      <xdr:col>5</xdr:col>
      <xdr:colOff>104775</xdr:colOff>
      <xdr:row>34</xdr:row>
      <xdr:rowOff>85725</xdr:rowOff>
    </xdr:to>
    <xdr:sp>
      <xdr:nvSpPr>
        <xdr:cNvPr id="201" name="Text 1574"/>
        <xdr:cNvSpPr txBox="1">
          <a:spLocks noChangeArrowheads="1"/>
        </xdr:cNvSpPr>
      </xdr:nvSpPr>
      <xdr:spPr>
        <a:xfrm>
          <a:off x="1009650" y="5734050"/>
          <a:ext cx="295275" cy="247650"/>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12</a:t>
          </a:r>
        </a:p>
      </xdr:txBody>
    </xdr:sp>
    <xdr:clientData/>
  </xdr:twoCellAnchor>
  <xdr:twoCellAnchor>
    <xdr:from>
      <xdr:col>4</xdr:col>
      <xdr:colOff>28575</xdr:colOff>
      <xdr:row>31</xdr:row>
      <xdr:rowOff>171450</xdr:rowOff>
    </xdr:from>
    <xdr:to>
      <xdr:col>5</xdr:col>
      <xdr:colOff>133350</xdr:colOff>
      <xdr:row>33</xdr:row>
      <xdr:rowOff>47625</xdr:rowOff>
    </xdr:to>
    <xdr:sp>
      <xdr:nvSpPr>
        <xdr:cNvPr id="202" name="Text 1575"/>
        <xdr:cNvSpPr txBox="1">
          <a:spLocks noChangeArrowheads="1"/>
        </xdr:cNvSpPr>
      </xdr:nvSpPr>
      <xdr:spPr>
        <a:xfrm>
          <a:off x="1038225" y="5448300"/>
          <a:ext cx="295275" cy="266700"/>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3</a:t>
          </a:r>
        </a:p>
      </xdr:txBody>
    </xdr:sp>
    <xdr:clientData/>
  </xdr:twoCellAnchor>
  <xdr:twoCellAnchor>
    <xdr:from>
      <xdr:col>4</xdr:col>
      <xdr:colOff>38100</xdr:colOff>
      <xdr:row>34</xdr:row>
      <xdr:rowOff>114300</xdr:rowOff>
    </xdr:from>
    <xdr:to>
      <xdr:col>5</xdr:col>
      <xdr:colOff>142875</xdr:colOff>
      <xdr:row>36</xdr:row>
      <xdr:rowOff>66675</xdr:rowOff>
    </xdr:to>
    <xdr:sp>
      <xdr:nvSpPr>
        <xdr:cNvPr id="203" name="Text 1576"/>
        <xdr:cNvSpPr txBox="1">
          <a:spLocks noChangeArrowheads="1"/>
        </xdr:cNvSpPr>
      </xdr:nvSpPr>
      <xdr:spPr>
        <a:xfrm>
          <a:off x="1047750" y="6010275"/>
          <a:ext cx="295275" cy="285750"/>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3</a:t>
          </a:r>
        </a:p>
      </xdr:txBody>
    </xdr:sp>
    <xdr:clientData/>
  </xdr:twoCellAnchor>
  <xdr:twoCellAnchor>
    <xdr:from>
      <xdr:col>7</xdr:col>
      <xdr:colOff>180975</xdr:colOff>
      <xdr:row>31</xdr:row>
      <xdr:rowOff>57150</xdr:rowOff>
    </xdr:from>
    <xdr:to>
      <xdr:col>8</xdr:col>
      <xdr:colOff>57150</xdr:colOff>
      <xdr:row>31</xdr:row>
      <xdr:rowOff>133350</xdr:rowOff>
    </xdr:to>
    <xdr:sp>
      <xdr:nvSpPr>
        <xdr:cNvPr id="204" name="Arc 201"/>
        <xdr:cNvSpPr>
          <a:spLocks/>
        </xdr:cNvSpPr>
      </xdr:nvSpPr>
      <xdr:spPr>
        <a:xfrm flipH="1">
          <a:off x="1762125" y="5334000"/>
          <a:ext cx="66675" cy="76200"/>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9</xdr:col>
      <xdr:colOff>266700</xdr:colOff>
      <xdr:row>33</xdr:row>
      <xdr:rowOff>200025</xdr:rowOff>
    </xdr:from>
    <xdr:to>
      <xdr:col>13</xdr:col>
      <xdr:colOff>104775</xdr:colOff>
      <xdr:row>34</xdr:row>
      <xdr:rowOff>0</xdr:rowOff>
    </xdr:to>
    <xdr:grpSp>
      <xdr:nvGrpSpPr>
        <xdr:cNvPr id="205" name="Group 202"/>
        <xdr:cNvGrpSpPr>
          <a:grpSpLocks/>
        </xdr:cNvGrpSpPr>
      </xdr:nvGrpSpPr>
      <xdr:grpSpPr>
        <a:xfrm>
          <a:off x="2371725" y="5867400"/>
          <a:ext cx="1171575" cy="28575"/>
          <a:chOff x="249" y="625"/>
          <a:chExt cx="123" cy="3"/>
        </a:xfrm>
        <a:solidFill>
          <a:srgbClr val="FFFFFF"/>
        </a:solidFill>
      </xdr:grpSpPr>
      <xdr:sp>
        <xdr:nvSpPr>
          <xdr:cNvPr id="206" name="Line 203"/>
          <xdr:cNvSpPr>
            <a:spLocks/>
          </xdr:cNvSpPr>
        </xdr:nvSpPr>
        <xdr:spPr>
          <a:xfrm>
            <a:off x="249" y="628"/>
            <a:ext cx="123"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207" name="Arc 204"/>
          <xdr:cNvSpPr>
            <a:spLocks/>
          </xdr:cNvSpPr>
        </xdr:nvSpPr>
        <xdr:spPr>
          <a:xfrm flipH="1">
            <a:off x="250" y="625"/>
            <a:ext cx="9" cy="3"/>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clientData/>
  </xdr:twoCellAnchor>
  <xdr:twoCellAnchor>
    <xdr:from>
      <xdr:col>10</xdr:col>
      <xdr:colOff>266700</xdr:colOff>
      <xdr:row>36</xdr:row>
      <xdr:rowOff>76200</xdr:rowOff>
    </xdr:from>
    <xdr:to>
      <xdr:col>11</xdr:col>
      <xdr:colOff>9525</xdr:colOff>
      <xdr:row>36</xdr:row>
      <xdr:rowOff>171450</xdr:rowOff>
    </xdr:to>
    <xdr:sp>
      <xdr:nvSpPr>
        <xdr:cNvPr id="208" name="Arc 205"/>
        <xdr:cNvSpPr>
          <a:spLocks/>
        </xdr:cNvSpPr>
      </xdr:nvSpPr>
      <xdr:spPr>
        <a:xfrm>
          <a:off x="2705100" y="6305550"/>
          <a:ext cx="76200" cy="95250"/>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10</xdr:col>
      <xdr:colOff>47625</xdr:colOff>
      <xdr:row>36</xdr:row>
      <xdr:rowOff>152400</xdr:rowOff>
    </xdr:from>
    <xdr:to>
      <xdr:col>10</xdr:col>
      <xdr:colOff>76200</xdr:colOff>
      <xdr:row>36</xdr:row>
      <xdr:rowOff>200025</xdr:rowOff>
    </xdr:to>
    <xdr:sp>
      <xdr:nvSpPr>
        <xdr:cNvPr id="209" name="Oval 206"/>
        <xdr:cNvSpPr>
          <a:spLocks/>
        </xdr:cNvSpPr>
      </xdr:nvSpPr>
      <xdr:spPr>
        <a:xfrm>
          <a:off x="2486025" y="6381750"/>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14</xdr:col>
      <xdr:colOff>85725</xdr:colOff>
      <xdr:row>33</xdr:row>
      <xdr:rowOff>38100</xdr:rowOff>
    </xdr:from>
    <xdr:to>
      <xdr:col>19</xdr:col>
      <xdr:colOff>247650</xdr:colOff>
      <xdr:row>35</xdr:row>
      <xdr:rowOff>0</xdr:rowOff>
    </xdr:to>
    <xdr:sp>
      <xdr:nvSpPr>
        <xdr:cNvPr id="210" name="Rectangle 208"/>
        <xdr:cNvSpPr>
          <a:spLocks/>
        </xdr:cNvSpPr>
      </xdr:nvSpPr>
      <xdr:spPr>
        <a:xfrm>
          <a:off x="3714750" y="5705475"/>
          <a:ext cx="1790700" cy="419100"/>
        </a:xfrm>
        <a:prstGeom prst="rect">
          <a:avLst/>
        </a:prstGeom>
        <a:noFill/>
        <a:ln w="9525" cmpd="sng">
          <a:noFill/>
        </a:ln>
      </xdr:spPr>
      <xdr:txBody>
        <a:bodyPr vertOverflow="clip" wrap="square"/>
        <a:p>
          <a:pPr algn="l">
            <a:defRPr/>
          </a:pPr>
          <a:r>
            <a:rPr lang="en-US" cap="none" sz="850" b="1" i="0" u="none" baseline="0"/>
            <a:t>-2 Æ</a:t>
          </a:r>
          <a:r>
            <a:rPr lang="en-US" cap="none" sz="1600" b="1" i="0" u="none" baseline="0">
              <a:latin typeface="AngsanaUPC"/>
              <a:ea typeface="AngsanaUPC"/>
              <a:cs typeface="AngsanaUPC"/>
            </a:rPr>
            <a:t> 4.5 mm. @ 5   STIRRUP</a:t>
          </a:r>
        </a:p>
      </xdr:txBody>
    </xdr:sp>
    <xdr:clientData/>
  </xdr:twoCellAnchor>
  <xdr:twoCellAnchor>
    <xdr:from>
      <xdr:col>31</xdr:col>
      <xdr:colOff>133350</xdr:colOff>
      <xdr:row>31</xdr:row>
      <xdr:rowOff>0</xdr:rowOff>
    </xdr:from>
    <xdr:to>
      <xdr:col>31</xdr:col>
      <xdr:colOff>133350</xdr:colOff>
      <xdr:row>36</xdr:row>
      <xdr:rowOff>276225</xdr:rowOff>
    </xdr:to>
    <xdr:sp>
      <xdr:nvSpPr>
        <xdr:cNvPr id="211" name="Line 209"/>
        <xdr:cNvSpPr>
          <a:spLocks/>
        </xdr:cNvSpPr>
      </xdr:nvSpPr>
      <xdr:spPr>
        <a:xfrm>
          <a:off x="9934575" y="5276850"/>
          <a:ext cx="0" cy="122872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27</xdr:col>
      <xdr:colOff>0</xdr:colOff>
      <xdr:row>31</xdr:row>
      <xdr:rowOff>0</xdr:rowOff>
    </xdr:from>
    <xdr:to>
      <xdr:col>27</xdr:col>
      <xdr:colOff>0</xdr:colOff>
      <xdr:row>36</xdr:row>
      <xdr:rowOff>276225</xdr:rowOff>
    </xdr:to>
    <xdr:sp>
      <xdr:nvSpPr>
        <xdr:cNvPr id="212" name="Line 210"/>
        <xdr:cNvSpPr>
          <a:spLocks/>
        </xdr:cNvSpPr>
      </xdr:nvSpPr>
      <xdr:spPr>
        <a:xfrm>
          <a:off x="8734425" y="5276850"/>
          <a:ext cx="0" cy="122872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27</xdr:col>
      <xdr:colOff>57150</xdr:colOff>
      <xdr:row>30</xdr:row>
      <xdr:rowOff>0</xdr:rowOff>
    </xdr:from>
    <xdr:to>
      <xdr:col>31</xdr:col>
      <xdr:colOff>76200</xdr:colOff>
      <xdr:row>30</xdr:row>
      <xdr:rowOff>0</xdr:rowOff>
    </xdr:to>
    <xdr:sp>
      <xdr:nvSpPr>
        <xdr:cNvPr id="213" name="Line 211"/>
        <xdr:cNvSpPr>
          <a:spLocks/>
        </xdr:cNvSpPr>
      </xdr:nvSpPr>
      <xdr:spPr>
        <a:xfrm>
          <a:off x="8791575" y="5219700"/>
          <a:ext cx="1085850"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27</xdr:col>
      <xdr:colOff>57150</xdr:colOff>
      <xdr:row>38</xdr:row>
      <xdr:rowOff>0</xdr:rowOff>
    </xdr:from>
    <xdr:to>
      <xdr:col>31</xdr:col>
      <xdr:colOff>76200</xdr:colOff>
      <xdr:row>38</xdr:row>
      <xdr:rowOff>0</xdr:rowOff>
    </xdr:to>
    <xdr:sp>
      <xdr:nvSpPr>
        <xdr:cNvPr id="214" name="Line 212"/>
        <xdr:cNvSpPr>
          <a:spLocks/>
        </xdr:cNvSpPr>
      </xdr:nvSpPr>
      <xdr:spPr>
        <a:xfrm>
          <a:off x="8791575" y="6572250"/>
          <a:ext cx="1085850"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29</xdr:col>
      <xdr:colOff>19050</xdr:colOff>
      <xdr:row>33</xdr:row>
      <xdr:rowOff>0</xdr:rowOff>
    </xdr:from>
    <xdr:to>
      <xdr:col>29</xdr:col>
      <xdr:colOff>19050</xdr:colOff>
      <xdr:row>35</xdr:row>
      <xdr:rowOff>0</xdr:rowOff>
    </xdr:to>
    <xdr:sp>
      <xdr:nvSpPr>
        <xdr:cNvPr id="215" name="Line 213"/>
        <xdr:cNvSpPr>
          <a:spLocks/>
        </xdr:cNvSpPr>
      </xdr:nvSpPr>
      <xdr:spPr>
        <a:xfrm>
          <a:off x="9591675" y="5667375"/>
          <a:ext cx="0" cy="457200"/>
        </a:xfrm>
        <a:prstGeom prst="line">
          <a:avLst/>
        </a:prstGeom>
        <a:solidFill>
          <a:srgbClr val="FFFFFF"/>
        </a:solidFill>
        <a:ln w="12700"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27</xdr:col>
      <xdr:colOff>333375</xdr:colOff>
      <xdr:row>33</xdr:row>
      <xdr:rowOff>0</xdr:rowOff>
    </xdr:from>
    <xdr:to>
      <xdr:col>27</xdr:col>
      <xdr:colOff>333375</xdr:colOff>
      <xdr:row>35</xdr:row>
      <xdr:rowOff>0</xdr:rowOff>
    </xdr:to>
    <xdr:sp>
      <xdr:nvSpPr>
        <xdr:cNvPr id="216" name="Line 214"/>
        <xdr:cNvSpPr>
          <a:spLocks/>
        </xdr:cNvSpPr>
      </xdr:nvSpPr>
      <xdr:spPr>
        <a:xfrm>
          <a:off x="9067800" y="5667375"/>
          <a:ext cx="0" cy="457200"/>
        </a:xfrm>
        <a:prstGeom prst="line">
          <a:avLst/>
        </a:prstGeom>
        <a:solidFill>
          <a:srgbClr val="FFFFFF"/>
        </a:solidFill>
        <a:ln w="12700"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29</xdr:col>
      <xdr:colOff>19050</xdr:colOff>
      <xdr:row>31</xdr:row>
      <xdr:rowOff>276225</xdr:rowOff>
    </xdr:from>
    <xdr:to>
      <xdr:col>31</xdr:col>
      <xdr:colOff>133350</xdr:colOff>
      <xdr:row>33</xdr:row>
      <xdr:rowOff>0</xdr:rowOff>
    </xdr:to>
    <xdr:sp>
      <xdr:nvSpPr>
        <xdr:cNvPr id="217" name="Line 215"/>
        <xdr:cNvSpPr>
          <a:spLocks/>
        </xdr:cNvSpPr>
      </xdr:nvSpPr>
      <xdr:spPr>
        <a:xfrm flipV="1">
          <a:off x="9591675" y="5553075"/>
          <a:ext cx="342900" cy="114300"/>
        </a:xfrm>
        <a:prstGeom prst="line">
          <a:avLst/>
        </a:prstGeom>
        <a:solidFill>
          <a:srgbClr val="FFFFFF"/>
        </a:solidFill>
        <a:ln w="12700"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29</xdr:col>
      <xdr:colOff>9525</xdr:colOff>
      <xdr:row>34</xdr:row>
      <xdr:rowOff>228600</xdr:rowOff>
    </xdr:from>
    <xdr:to>
      <xdr:col>31</xdr:col>
      <xdr:colOff>133350</xdr:colOff>
      <xdr:row>36</xdr:row>
      <xdr:rowOff>0</xdr:rowOff>
    </xdr:to>
    <xdr:sp>
      <xdr:nvSpPr>
        <xdr:cNvPr id="218" name="Line 216"/>
        <xdr:cNvSpPr>
          <a:spLocks/>
        </xdr:cNvSpPr>
      </xdr:nvSpPr>
      <xdr:spPr>
        <a:xfrm>
          <a:off x="9582150" y="6124575"/>
          <a:ext cx="352425" cy="104775"/>
        </a:xfrm>
        <a:prstGeom prst="line">
          <a:avLst/>
        </a:prstGeom>
        <a:solidFill>
          <a:srgbClr val="FFFFFF"/>
        </a:solidFill>
        <a:ln w="12700"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27</xdr:col>
      <xdr:colOff>0</xdr:colOff>
      <xdr:row>31</xdr:row>
      <xdr:rowOff>276225</xdr:rowOff>
    </xdr:from>
    <xdr:to>
      <xdr:col>27</xdr:col>
      <xdr:colOff>333375</xdr:colOff>
      <xdr:row>33</xdr:row>
      <xdr:rowOff>0</xdr:rowOff>
    </xdr:to>
    <xdr:sp>
      <xdr:nvSpPr>
        <xdr:cNvPr id="219" name="Line 217"/>
        <xdr:cNvSpPr>
          <a:spLocks/>
        </xdr:cNvSpPr>
      </xdr:nvSpPr>
      <xdr:spPr>
        <a:xfrm flipH="1" flipV="1">
          <a:off x="8734425" y="5553075"/>
          <a:ext cx="333375" cy="114300"/>
        </a:xfrm>
        <a:prstGeom prst="line">
          <a:avLst/>
        </a:prstGeom>
        <a:solidFill>
          <a:srgbClr val="FFFFFF"/>
        </a:solidFill>
        <a:ln w="12700"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27</xdr:col>
      <xdr:colOff>0</xdr:colOff>
      <xdr:row>34</xdr:row>
      <xdr:rowOff>228600</xdr:rowOff>
    </xdr:from>
    <xdr:to>
      <xdr:col>27</xdr:col>
      <xdr:colOff>342900</xdr:colOff>
      <xdr:row>36</xdr:row>
      <xdr:rowOff>0</xdr:rowOff>
    </xdr:to>
    <xdr:sp>
      <xdr:nvSpPr>
        <xdr:cNvPr id="220" name="Line 218"/>
        <xdr:cNvSpPr>
          <a:spLocks/>
        </xdr:cNvSpPr>
      </xdr:nvSpPr>
      <xdr:spPr>
        <a:xfrm flipV="1">
          <a:off x="8734425" y="6124575"/>
          <a:ext cx="342900" cy="104775"/>
        </a:xfrm>
        <a:prstGeom prst="line">
          <a:avLst/>
        </a:prstGeom>
        <a:solidFill>
          <a:srgbClr val="FFFFFF"/>
        </a:solidFill>
        <a:ln w="12700"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27</xdr:col>
      <xdr:colOff>0</xdr:colOff>
      <xdr:row>29</xdr:row>
      <xdr:rowOff>209550</xdr:rowOff>
    </xdr:from>
    <xdr:to>
      <xdr:col>27</xdr:col>
      <xdr:colOff>66675</xdr:colOff>
      <xdr:row>31</xdr:row>
      <xdr:rowOff>0</xdr:rowOff>
    </xdr:to>
    <xdr:sp>
      <xdr:nvSpPr>
        <xdr:cNvPr id="221" name="Line 219"/>
        <xdr:cNvSpPr>
          <a:spLocks/>
        </xdr:cNvSpPr>
      </xdr:nvSpPr>
      <xdr:spPr>
        <a:xfrm flipV="1">
          <a:off x="8734425" y="5210175"/>
          <a:ext cx="66675" cy="666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31</xdr:col>
      <xdr:colOff>76200</xdr:colOff>
      <xdr:row>36</xdr:row>
      <xdr:rowOff>276225</xdr:rowOff>
    </xdr:from>
    <xdr:to>
      <xdr:col>31</xdr:col>
      <xdr:colOff>133350</xdr:colOff>
      <xdr:row>38</xdr:row>
      <xdr:rowOff>0</xdr:rowOff>
    </xdr:to>
    <xdr:sp>
      <xdr:nvSpPr>
        <xdr:cNvPr id="222" name="Line 220"/>
        <xdr:cNvSpPr>
          <a:spLocks/>
        </xdr:cNvSpPr>
      </xdr:nvSpPr>
      <xdr:spPr>
        <a:xfrm flipV="1">
          <a:off x="9877425" y="6505575"/>
          <a:ext cx="57150" cy="666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31</xdr:col>
      <xdr:colOff>66675</xdr:colOff>
      <xdr:row>29</xdr:row>
      <xdr:rowOff>209550</xdr:rowOff>
    </xdr:from>
    <xdr:to>
      <xdr:col>31</xdr:col>
      <xdr:colOff>133350</xdr:colOff>
      <xdr:row>31</xdr:row>
      <xdr:rowOff>0</xdr:rowOff>
    </xdr:to>
    <xdr:sp>
      <xdr:nvSpPr>
        <xdr:cNvPr id="223" name="Line 221"/>
        <xdr:cNvSpPr>
          <a:spLocks/>
        </xdr:cNvSpPr>
      </xdr:nvSpPr>
      <xdr:spPr>
        <a:xfrm flipH="1" flipV="1">
          <a:off x="9867900" y="5210175"/>
          <a:ext cx="66675" cy="666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27</xdr:col>
      <xdr:colOff>0</xdr:colOff>
      <xdr:row>36</xdr:row>
      <xdr:rowOff>276225</xdr:rowOff>
    </xdr:from>
    <xdr:to>
      <xdr:col>27</xdr:col>
      <xdr:colOff>57150</xdr:colOff>
      <xdr:row>38</xdr:row>
      <xdr:rowOff>0</xdr:rowOff>
    </xdr:to>
    <xdr:sp>
      <xdr:nvSpPr>
        <xdr:cNvPr id="224" name="Line 222"/>
        <xdr:cNvSpPr>
          <a:spLocks/>
        </xdr:cNvSpPr>
      </xdr:nvSpPr>
      <xdr:spPr>
        <a:xfrm flipH="1" flipV="1">
          <a:off x="8734425" y="6505575"/>
          <a:ext cx="57150" cy="666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27</xdr:col>
      <xdr:colOff>142875</xdr:colOff>
      <xdr:row>31</xdr:row>
      <xdr:rowOff>57150</xdr:rowOff>
    </xdr:from>
    <xdr:to>
      <xdr:col>31</xdr:col>
      <xdr:colOff>9525</xdr:colOff>
      <xdr:row>31</xdr:row>
      <xdr:rowOff>57150</xdr:rowOff>
    </xdr:to>
    <xdr:sp>
      <xdr:nvSpPr>
        <xdr:cNvPr id="225" name="Line 223"/>
        <xdr:cNvSpPr>
          <a:spLocks/>
        </xdr:cNvSpPr>
      </xdr:nvSpPr>
      <xdr:spPr>
        <a:xfrm>
          <a:off x="8877300" y="5334000"/>
          <a:ext cx="933450"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27</xdr:col>
      <xdr:colOff>133350</xdr:colOff>
      <xdr:row>36</xdr:row>
      <xdr:rowOff>228600</xdr:rowOff>
    </xdr:from>
    <xdr:to>
      <xdr:col>31</xdr:col>
      <xdr:colOff>0</xdr:colOff>
      <xdr:row>36</xdr:row>
      <xdr:rowOff>228600</xdr:rowOff>
    </xdr:to>
    <xdr:sp>
      <xdr:nvSpPr>
        <xdr:cNvPr id="226" name="Line 224"/>
        <xdr:cNvSpPr>
          <a:spLocks/>
        </xdr:cNvSpPr>
      </xdr:nvSpPr>
      <xdr:spPr>
        <a:xfrm>
          <a:off x="8867775" y="6457950"/>
          <a:ext cx="933450"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27</xdr:col>
      <xdr:colOff>85725</xdr:colOff>
      <xdr:row>31</xdr:row>
      <xdr:rowOff>123825</xdr:rowOff>
    </xdr:from>
    <xdr:to>
      <xdr:col>27</xdr:col>
      <xdr:colOff>85725</xdr:colOff>
      <xdr:row>36</xdr:row>
      <xdr:rowOff>180975</xdr:rowOff>
    </xdr:to>
    <xdr:sp>
      <xdr:nvSpPr>
        <xdr:cNvPr id="227" name="Line 225"/>
        <xdr:cNvSpPr>
          <a:spLocks/>
        </xdr:cNvSpPr>
      </xdr:nvSpPr>
      <xdr:spPr>
        <a:xfrm>
          <a:off x="8820150" y="5400675"/>
          <a:ext cx="0" cy="100965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31</xdr:col>
      <xdr:colOff>66675</xdr:colOff>
      <xdr:row>31</xdr:row>
      <xdr:rowOff>114300</xdr:rowOff>
    </xdr:from>
    <xdr:to>
      <xdr:col>31</xdr:col>
      <xdr:colOff>66675</xdr:colOff>
      <xdr:row>36</xdr:row>
      <xdr:rowOff>161925</xdr:rowOff>
    </xdr:to>
    <xdr:sp>
      <xdr:nvSpPr>
        <xdr:cNvPr id="228" name="Line 226"/>
        <xdr:cNvSpPr>
          <a:spLocks/>
        </xdr:cNvSpPr>
      </xdr:nvSpPr>
      <xdr:spPr>
        <a:xfrm>
          <a:off x="9867900" y="5391150"/>
          <a:ext cx="0" cy="100012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27</xdr:col>
      <xdr:colOff>85725</xdr:colOff>
      <xdr:row>31</xdr:row>
      <xdr:rowOff>57150</xdr:rowOff>
    </xdr:from>
    <xdr:to>
      <xdr:col>27</xdr:col>
      <xdr:colOff>142875</xdr:colOff>
      <xdr:row>31</xdr:row>
      <xdr:rowOff>133350</xdr:rowOff>
    </xdr:to>
    <xdr:sp>
      <xdr:nvSpPr>
        <xdr:cNvPr id="229" name="Arc 227"/>
        <xdr:cNvSpPr>
          <a:spLocks/>
        </xdr:cNvSpPr>
      </xdr:nvSpPr>
      <xdr:spPr>
        <a:xfrm flipH="1">
          <a:off x="8820150" y="5334000"/>
          <a:ext cx="57150" cy="76200"/>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31</xdr:col>
      <xdr:colOff>0</xdr:colOff>
      <xdr:row>31</xdr:row>
      <xdr:rowOff>57150</xdr:rowOff>
    </xdr:from>
    <xdr:to>
      <xdr:col>31</xdr:col>
      <xdr:colOff>66675</xdr:colOff>
      <xdr:row>31</xdr:row>
      <xdr:rowOff>123825</xdr:rowOff>
    </xdr:to>
    <xdr:sp>
      <xdr:nvSpPr>
        <xdr:cNvPr id="230" name="Arc 228"/>
        <xdr:cNvSpPr>
          <a:spLocks/>
        </xdr:cNvSpPr>
      </xdr:nvSpPr>
      <xdr:spPr>
        <a:xfrm>
          <a:off x="9801225" y="5334000"/>
          <a:ext cx="66675" cy="66675"/>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27</xdr:col>
      <xdr:colOff>85725</xdr:colOff>
      <xdr:row>36</xdr:row>
      <xdr:rowOff>142875</xdr:rowOff>
    </xdr:from>
    <xdr:to>
      <xdr:col>27</xdr:col>
      <xdr:colOff>133350</xdr:colOff>
      <xdr:row>36</xdr:row>
      <xdr:rowOff>228600</xdr:rowOff>
    </xdr:to>
    <xdr:sp>
      <xdr:nvSpPr>
        <xdr:cNvPr id="231" name="Arc 229"/>
        <xdr:cNvSpPr>
          <a:spLocks/>
        </xdr:cNvSpPr>
      </xdr:nvSpPr>
      <xdr:spPr>
        <a:xfrm flipH="1" flipV="1">
          <a:off x="8820150" y="6372225"/>
          <a:ext cx="47625" cy="85725"/>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30</xdr:col>
      <xdr:colOff>95250</xdr:colOff>
      <xdr:row>36</xdr:row>
      <xdr:rowOff>152400</xdr:rowOff>
    </xdr:from>
    <xdr:to>
      <xdr:col>31</xdr:col>
      <xdr:colOff>66675</xdr:colOff>
      <xdr:row>36</xdr:row>
      <xdr:rowOff>228600</xdr:rowOff>
    </xdr:to>
    <xdr:sp>
      <xdr:nvSpPr>
        <xdr:cNvPr id="232" name="Arc 230"/>
        <xdr:cNvSpPr>
          <a:spLocks/>
        </xdr:cNvSpPr>
      </xdr:nvSpPr>
      <xdr:spPr>
        <a:xfrm flipV="1">
          <a:off x="9791700" y="6381750"/>
          <a:ext cx="76200" cy="76200"/>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26</xdr:col>
      <xdr:colOff>457200</xdr:colOff>
      <xdr:row>28</xdr:row>
      <xdr:rowOff>180975</xdr:rowOff>
    </xdr:from>
    <xdr:to>
      <xdr:col>32</xdr:col>
      <xdr:colOff>66675</xdr:colOff>
      <xdr:row>28</xdr:row>
      <xdr:rowOff>180975</xdr:rowOff>
    </xdr:to>
    <xdr:sp>
      <xdr:nvSpPr>
        <xdr:cNvPr id="233" name="Line 231"/>
        <xdr:cNvSpPr>
          <a:spLocks/>
        </xdr:cNvSpPr>
      </xdr:nvSpPr>
      <xdr:spPr>
        <a:xfrm>
          <a:off x="8629650" y="4914900"/>
          <a:ext cx="1428750"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27</xdr:col>
      <xdr:colOff>0</xdr:colOff>
      <xdr:row>28</xdr:row>
      <xdr:rowOff>95250</xdr:rowOff>
    </xdr:from>
    <xdr:to>
      <xdr:col>27</xdr:col>
      <xdr:colOff>0</xdr:colOff>
      <xdr:row>29</xdr:row>
      <xdr:rowOff>38100</xdr:rowOff>
    </xdr:to>
    <xdr:sp>
      <xdr:nvSpPr>
        <xdr:cNvPr id="234" name="Line 232"/>
        <xdr:cNvSpPr>
          <a:spLocks/>
        </xdr:cNvSpPr>
      </xdr:nvSpPr>
      <xdr:spPr>
        <a:xfrm>
          <a:off x="8734425" y="4829175"/>
          <a:ext cx="0" cy="20955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31</xdr:col>
      <xdr:colOff>133350</xdr:colOff>
      <xdr:row>28</xdr:row>
      <xdr:rowOff>95250</xdr:rowOff>
    </xdr:from>
    <xdr:to>
      <xdr:col>31</xdr:col>
      <xdr:colOff>133350</xdr:colOff>
      <xdr:row>29</xdr:row>
      <xdr:rowOff>38100</xdr:rowOff>
    </xdr:to>
    <xdr:sp>
      <xdr:nvSpPr>
        <xdr:cNvPr id="235" name="Line 233"/>
        <xdr:cNvSpPr>
          <a:spLocks/>
        </xdr:cNvSpPr>
      </xdr:nvSpPr>
      <xdr:spPr>
        <a:xfrm>
          <a:off x="9934575" y="4829175"/>
          <a:ext cx="0" cy="20955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26</xdr:col>
      <xdr:colOff>533400</xdr:colOff>
      <xdr:row>28</xdr:row>
      <xdr:rowOff>142875</xdr:rowOff>
    </xdr:from>
    <xdr:to>
      <xdr:col>27</xdr:col>
      <xdr:colOff>38100</xdr:colOff>
      <xdr:row>28</xdr:row>
      <xdr:rowOff>209550</xdr:rowOff>
    </xdr:to>
    <xdr:sp>
      <xdr:nvSpPr>
        <xdr:cNvPr id="236" name="Oval 234"/>
        <xdr:cNvSpPr>
          <a:spLocks/>
        </xdr:cNvSpPr>
      </xdr:nvSpPr>
      <xdr:spPr>
        <a:xfrm>
          <a:off x="8705850" y="4876800"/>
          <a:ext cx="66675" cy="666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31</xdr:col>
      <xdr:colOff>104775</xdr:colOff>
      <xdr:row>28</xdr:row>
      <xdr:rowOff>142875</xdr:rowOff>
    </xdr:from>
    <xdr:to>
      <xdr:col>31</xdr:col>
      <xdr:colOff>171450</xdr:colOff>
      <xdr:row>28</xdr:row>
      <xdr:rowOff>209550</xdr:rowOff>
    </xdr:to>
    <xdr:sp>
      <xdr:nvSpPr>
        <xdr:cNvPr id="237" name="Oval 235"/>
        <xdr:cNvSpPr>
          <a:spLocks/>
        </xdr:cNvSpPr>
      </xdr:nvSpPr>
      <xdr:spPr>
        <a:xfrm>
          <a:off x="9906000" y="4876800"/>
          <a:ext cx="66675" cy="666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26</xdr:col>
      <xdr:colOff>219075</xdr:colOff>
      <xdr:row>29</xdr:row>
      <xdr:rowOff>85725</xdr:rowOff>
    </xdr:from>
    <xdr:to>
      <xdr:col>26</xdr:col>
      <xdr:colOff>219075</xdr:colOff>
      <xdr:row>38</xdr:row>
      <xdr:rowOff>142875</xdr:rowOff>
    </xdr:to>
    <xdr:sp>
      <xdr:nvSpPr>
        <xdr:cNvPr id="238" name="Line 236"/>
        <xdr:cNvSpPr>
          <a:spLocks/>
        </xdr:cNvSpPr>
      </xdr:nvSpPr>
      <xdr:spPr>
        <a:xfrm>
          <a:off x="8391525" y="5086350"/>
          <a:ext cx="0" cy="16287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26</xdr:col>
      <xdr:colOff>123825</xdr:colOff>
      <xdr:row>30</xdr:row>
      <xdr:rowOff>0</xdr:rowOff>
    </xdr:from>
    <xdr:to>
      <xdr:col>26</xdr:col>
      <xdr:colOff>342900</xdr:colOff>
      <xdr:row>30</xdr:row>
      <xdr:rowOff>0</xdr:rowOff>
    </xdr:to>
    <xdr:sp>
      <xdr:nvSpPr>
        <xdr:cNvPr id="239" name="Line 237"/>
        <xdr:cNvSpPr>
          <a:spLocks/>
        </xdr:cNvSpPr>
      </xdr:nvSpPr>
      <xdr:spPr>
        <a:xfrm>
          <a:off x="8296275" y="5219700"/>
          <a:ext cx="219075"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26</xdr:col>
      <xdr:colOff>180975</xdr:colOff>
      <xdr:row>29</xdr:row>
      <xdr:rowOff>180975</xdr:rowOff>
    </xdr:from>
    <xdr:to>
      <xdr:col>26</xdr:col>
      <xdr:colOff>247650</xdr:colOff>
      <xdr:row>30</xdr:row>
      <xdr:rowOff>28575</xdr:rowOff>
    </xdr:to>
    <xdr:sp>
      <xdr:nvSpPr>
        <xdr:cNvPr id="240" name="Oval 238"/>
        <xdr:cNvSpPr>
          <a:spLocks/>
        </xdr:cNvSpPr>
      </xdr:nvSpPr>
      <xdr:spPr>
        <a:xfrm>
          <a:off x="8353425" y="5181600"/>
          <a:ext cx="66675" cy="666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26</xdr:col>
      <xdr:colOff>190500</xdr:colOff>
      <xdr:row>37</xdr:row>
      <xdr:rowOff>19050</xdr:rowOff>
    </xdr:from>
    <xdr:to>
      <xdr:col>26</xdr:col>
      <xdr:colOff>257175</xdr:colOff>
      <xdr:row>38</xdr:row>
      <xdr:rowOff>28575</xdr:rowOff>
    </xdr:to>
    <xdr:sp>
      <xdr:nvSpPr>
        <xdr:cNvPr id="241" name="Oval 239"/>
        <xdr:cNvSpPr>
          <a:spLocks/>
        </xdr:cNvSpPr>
      </xdr:nvSpPr>
      <xdr:spPr>
        <a:xfrm>
          <a:off x="8362950" y="6534150"/>
          <a:ext cx="66675" cy="666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26</xdr:col>
      <xdr:colOff>123825</xdr:colOff>
      <xdr:row>38</xdr:row>
      <xdr:rowOff>0</xdr:rowOff>
    </xdr:from>
    <xdr:to>
      <xdr:col>26</xdr:col>
      <xdr:colOff>342900</xdr:colOff>
      <xdr:row>38</xdr:row>
      <xdr:rowOff>0</xdr:rowOff>
    </xdr:to>
    <xdr:sp>
      <xdr:nvSpPr>
        <xdr:cNvPr id="242" name="Line 240"/>
        <xdr:cNvSpPr>
          <a:spLocks/>
        </xdr:cNvSpPr>
      </xdr:nvSpPr>
      <xdr:spPr>
        <a:xfrm>
          <a:off x="8296275" y="6572250"/>
          <a:ext cx="219075"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26</xdr:col>
      <xdr:colOff>552450</xdr:colOff>
      <xdr:row>40</xdr:row>
      <xdr:rowOff>257175</xdr:rowOff>
    </xdr:from>
    <xdr:to>
      <xdr:col>31</xdr:col>
      <xdr:colOff>152400</xdr:colOff>
      <xdr:row>42</xdr:row>
      <xdr:rowOff>0</xdr:rowOff>
    </xdr:to>
    <xdr:sp>
      <xdr:nvSpPr>
        <xdr:cNvPr id="243" name="Text 1680"/>
        <xdr:cNvSpPr txBox="1">
          <a:spLocks noChangeArrowheads="1"/>
        </xdr:cNvSpPr>
      </xdr:nvSpPr>
      <xdr:spPr>
        <a:xfrm>
          <a:off x="8724900" y="7362825"/>
          <a:ext cx="1228725" cy="276225"/>
        </a:xfrm>
        <a:prstGeom prst="rect">
          <a:avLst/>
        </a:prstGeom>
        <a:noFill/>
        <a:ln w="1" cmpd="sng">
          <a:noFill/>
        </a:ln>
      </xdr:spPr>
      <xdr:txBody>
        <a:bodyPr vertOverflow="clip" wrap="square"/>
        <a:p>
          <a:pPr algn="ctr">
            <a:defRPr/>
          </a:pPr>
          <a:r>
            <a:rPr lang="en-US" cap="none" sz="1800" b="1" i="0" u="sng" baseline="0">
              <a:latin typeface="AngsanaUPC"/>
              <a:ea typeface="AngsanaUPC"/>
              <a:cs typeface="AngsanaUPC"/>
            </a:rPr>
            <a:t>SECTION   2 - 2</a:t>
          </a:r>
        </a:p>
      </xdr:txBody>
    </xdr:sp>
    <xdr:clientData/>
  </xdr:twoCellAnchor>
  <xdr:twoCellAnchor>
    <xdr:from>
      <xdr:col>31</xdr:col>
      <xdr:colOff>28575</xdr:colOff>
      <xdr:row>33</xdr:row>
      <xdr:rowOff>200025</xdr:rowOff>
    </xdr:from>
    <xdr:to>
      <xdr:col>33</xdr:col>
      <xdr:colOff>304800</xdr:colOff>
      <xdr:row>34</xdr:row>
      <xdr:rowOff>0</xdr:rowOff>
    </xdr:to>
    <xdr:grpSp>
      <xdr:nvGrpSpPr>
        <xdr:cNvPr id="244" name="Group 242"/>
        <xdr:cNvGrpSpPr>
          <a:grpSpLocks/>
        </xdr:cNvGrpSpPr>
      </xdr:nvGrpSpPr>
      <xdr:grpSpPr>
        <a:xfrm>
          <a:off x="9829800" y="5867400"/>
          <a:ext cx="800100" cy="28575"/>
          <a:chOff x="991" y="625"/>
          <a:chExt cx="117" cy="3"/>
        </a:xfrm>
        <a:solidFill>
          <a:srgbClr val="FFFFFF"/>
        </a:solidFill>
      </xdr:grpSpPr>
      <xdr:sp>
        <xdr:nvSpPr>
          <xdr:cNvPr id="245" name="Line 243"/>
          <xdr:cNvSpPr>
            <a:spLocks/>
          </xdr:cNvSpPr>
        </xdr:nvSpPr>
        <xdr:spPr>
          <a:xfrm>
            <a:off x="991" y="628"/>
            <a:ext cx="117"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246" name="Arc 244"/>
          <xdr:cNvSpPr>
            <a:spLocks/>
          </xdr:cNvSpPr>
        </xdr:nvSpPr>
        <xdr:spPr>
          <a:xfrm flipH="1">
            <a:off x="991" y="625"/>
            <a:ext cx="8" cy="3"/>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clientData/>
  </xdr:twoCellAnchor>
  <xdr:twoCellAnchor>
    <xdr:from>
      <xdr:col>27</xdr:col>
      <xdr:colOff>476250</xdr:colOff>
      <xdr:row>27</xdr:row>
      <xdr:rowOff>180975</xdr:rowOff>
    </xdr:from>
    <xdr:to>
      <xdr:col>28</xdr:col>
      <xdr:colOff>257175</xdr:colOff>
      <xdr:row>28</xdr:row>
      <xdr:rowOff>209550</xdr:rowOff>
    </xdr:to>
    <xdr:sp>
      <xdr:nvSpPr>
        <xdr:cNvPr id="247" name="Text 1782"/>
        <xdr:cNvSpPr txBox="1">
          <a:spLocks noChangeArrowheads="1"/>
        </xdr:cNvSpPr>
      </xdr:nvSpPr>
      <xdr:spPr>
        <a:xfrm>
          <a:off x="9210675" y="4648200"/>
          <a:ext cx="342900" cy="295275"/>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40</a:t>
          </a:r>
        </a:p>
      </xdr:txBody>
    </xdr:sp>
    <xdr:clientData/>
  </xdr:twoCellAnchor>
  <xdr:twoCellAnchor>
    <xdr:from>
      <xdr:col>25</xdr:col>
      <xdr:colOff>514350</xdr:colOff>
      <xdr:row>33</xdr:row>
      <xdr:rowOff>57150</xdr:rowOff>
    </xdr:from>
    <xdr:to>
      <xdr:col>26</xdr:col>
      <xdr:colOff>200025</xdr:colOff>
      <xdr:row>34</xdr:row>
      <xdr:rowOff>76200</xdr:rowOff>
    </xdr:to>
    <xdr:sp>
      <xdr:nvSpPr>
        <xdr:cNvPr id="248" name="Text 1791"/>
        <xdr:cNvSpPr txBox="1">
          <a:spLocks noChangeArrowheads="1"/>
        </xdr:cNvSpPr>
      </xdr:nvSpPr>
      <xdr:spPr>
        <a:xfrm>
          <a:off x="8124825" y="5724525"/>
          <a:ext cx="247650" cy="247650"/>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40</a:t>
          </a:r>
        </a:p>
      </xdr:txBody>
    </xdr:sp>
    <xdr:clientData/>
  </xdr:twoCellAnchor>
  <xdr:twoCellAnchor>
    <xdr:from>
      <xdr:col>34</xdr:col>
      <xdr:colOff>9525</xdr:colOff>
      <xdr:row>33</xdr:row>
      <xdr:rowOff>66675</xdr:rowOff>
    </xdr:from>
    <xdr:to>
      <xdr:col>43</xdr:col>
      <xdr:colOff>219075</xdr:colOff>
      <xdr:row>34</xdr:row>
      <xdr:rowOff>219075</xdr:rowOff>
    </xdr:to>
    <xdr:sp>
      <xdr:nvSpPr>
        <xdr:cNvPr id="249" name="Rectangle 247"/>
        <xdr:cNvSpPr>
          <a:spLocks/>
        </xdr:cNvSpPr>
      </xdr:nvSpPr>
      <xdr:spPr>
        <a:xfrm>
          <a:off x="10668000" y="5734050"/>
          <a:ext cx="2276475" cy="381000"/>
        </a:xfrm>
        <a:prstGeom prst="rect">
          <a:avLst/>
        </a:prstGeom>
        <a:noFill/>
        <a:ln w="9525" cmpd="sng">
          <a:noFill/>
        </a:ln>
      </xdr:spPr>
      <xdr:txBody>
        <a:bodyPr vertOverflow="clip" wrap="square"/>
        <a:p>
          <a:pPr algn="l">
            <a:defRPr/>
          </a:pPr>
          <a:r>
            <a:rPr lang="en-US" cap="none" sz="1600" b="1" i="0" u="none" baseline="0">
              <a:latin typeface="AngsanaUPC"/>
              <a:ea typeface="AngsanaUPC"/>
              <a:cs typeface="AngsanaUPC"/>
            </a:rPr>
            <a:t>4</a:t>
          </a:r>
          <a:r>
            <a:rPr lang="en-US" cap="none" sz="850" b="1" i="0" u="none" baseline="0"/>
            <a:t> - </a:t>
          </a:r>
          <a:r>
            <a:rPr lang="en-US" cap="none" sz="1600" b="1" i="0" u="none" baseline="0">
              <a:latin typeface="AngsanaUPC"/>
              <a:ea typeface="AngsanaUPC"/>
              <a:cs typeface="AngsanaUPC"/>
            </a:rPr>
            <a:t>2</a:t>
          </a:r>
          <a:r>
            <a:rPr lang="en-US" cap="none" sz="850" b="1" i="0" u="none" baseline="0"/>
            <a:t> Æ</a:t>
          </a:r>
          <a:r>
            <a:rPr lang="en-US" cap="none" sz="1600" b="1" i="0" u="none" baseline="0">
              <a:latin typeface="AngsanaUPC"/>
              <a:ea typeface="AngsanaUPC"/>
              <a:cs typeface="AngsanaUPC"/>
            </a:rPr>
            <a:t> 9 mm. @ 10   STIRRUP</a:t>
          </a:r>
        </a:p>
      </xdr:txBody>
    </xdr:sp>
    <xdr:clientData/>
  </xdr:twoCellAnchor>
  <xdr:twoCellAnchor>
    <xdr:from>
      <xdr:col>18</xdr:col>
      <xdr:colOff>85725</xdr:colOff>
      <xdr:row>11</xdr:row>
      <xdr:rowOff>0</xdr:rowOff>
    </xdr:from>
    <xdr:to>
      <xdr:col>18</xdr:col>
      <xdr:colOff>390525</xdr:colOff>
      <xdr:row>16</xdr:row>
      <xdr:rowOff>0</xdr:rowOff>
    </xdr:to>
    <xdr:grpSp>
      <xdr:nvGrpSpPr>
        <xdr:cNvPr id="250" name="Group 249"/>
        <xdr:cNvGrpSpPr>
          <a:grpSpLocks/>
        </xdr:cNvGrpSpPr>
      </xdr:nvGrpSpPr>
      <xdr:grpSpPr>
        <a:xfrm>
          <a:off x="4781550" y="2247900"/>
          <a:ext cx="304800" cy="438150"/>
          <a:chOff x="229" y="1171"/>
          <a:chExt cx="32" cy="46"/>
        </a:xfrm>
        <a:solidFill>
          <a:srgbClr val="FFFFFF"/>
        </a:solidFill>
      </xdr:grpSpPr>
      <xdr:sp>
        <xdr:nvSpPr>
          <xdr:cNvPr id="251" name="Line 250"/>
          <xdr:cNvSpPr>
            <a:spLocks/>
          </xdr:cNvSpPr>
        </xdr:nvSpPr>
        <xdr:spPr>
          <a:xfrm>
            <a:off x="229" y="1171"/>
            <a:ext cx="0" cy="46"/>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252" name="Line 251"/>
          <xdr:cNvSpPr>
            <a:spLocks/>
          </xdr:cNvSpPr>
        </xdr:nvSpPr>
        <xdr:spPr>
          <a:xfrm>
            <a:off x="229" y="1171"/>
            <a:ext cx="13" cy="0"/>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253" name="Line 252"/>
          <xdr:cNvSpPr>
            <a:spLocks/>
          </xdr:cNvSpPr>
        </xdr:nvSpPr>
        <xdr:spPr>
          <a:xfrm>
            <a:off x="229" y="1217"/>
            <a:ext cx="13" cy="0"/>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254" name="Line 253"/>
          <xdr:cNvSpPr>
            <a:spLocks/>
          </xdr:cNvSpPr>
        </xdr:nvSpPr>
        <xdr:spPr>
          <a:xfrm>
            <a:off x="261" y="1177"/>
            <a:ext cx="0" cy="34"/>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255" name="Line 254"/>
          <xdr:cNvSpPr>
            <a:spLocks/>
          </xdr:cNvSpPr>
        </xdr:nvSpPr>
        <xdr:spPr>
          <a:xfrm>
            <a:off x="229" y="1171"/>
            <a:ext cx="32" cy="6"/>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256" name="Line 255"/>
          <xdr:cNvSpPr>
            <a:spLocks/>
          </xdr:cNvSpPr>
        </xdr:nvSpPr>
        <xdr:spPr>
          <a:xfrm flipV="1">
            <a:off x="230" y="1211"/>
            <a:ext cx="31" cy="6"/>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grpSp>
    <xdr:clientData/>
  </xdr:twoCellAnchor>
  <xdr:twoCellAnchor>
    <xdr:from>
      <xdr:col>18</xdr:col>
      <xdr:colOff>104775</xdr:colOff>
      <xdr:row>11</xdr:row>
      <xdr:rowOff>0</xdr:rowOff>
    </xdr:from>
    <xdr:to>
      <xdr:col>22</xdr:col>
      <xdr:colOff>9525</xdr:colOff>
      <xdr:row>11</xdr:row>
      <xdr:rowOff>0</xdr:rowOff>
    </xdr:to>
    <xdr:sp>
      <xdr:nvSpPr>
        <xdr:cNvPr id="257" name="Line 256"/>
        <xdr:cNvSpPr>
          <a:spLocks/>
        </xdr:cNvSpPr>
      </xdr:nvSpPr>
      <xdr:spPr>
        <a:xfrm flipV="1">
          <a:off x="4800600" y="2247900"/>
          <a:ext cx="1866900" cy="0"/>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18</xdr:col>
      <xdr:colOff>390525</xdr:colOff>
      <xdr:row>12</xdr:row>
      <xdr:rowOff>0</xdr:rowOff>
    </xdr:from>
    <xdr:to>
      <xdr:col>22</xdr:col>
      <xdr:colOff>19050</xdr:colOff>
      <xdr:row>12</xdr:row>
      <xdr:rowOff>0</xdr:rowOff>
    </xdr:to>
    <xdr:sp>
      <xdr:nvSpPr>
        <xdr:cNvPr id="258" name="Line 257"/>
        <xdr:cNvSpPr>
          <a:spLocks/>
        </xdr:cNvSpPr>
      </xdr:nvSpPr>
      <xdr:spPr>
        <a:xfrm flipV="1">
          <a:off x="5086350" y="2305050"/>
          <a:ext cx="1590675" cy="0"/>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18</xdr:col>
      <xdr:colOff>409575</xdr:colOff>
      <xdr:row>15</xdr:row>
      <xdr:rowOff>0</xdr:rowOff>
    </xdr:from>
    <xdr:to>
      <xdr:col>22</xdr:col>
      <xdr:colOff>0</xdr:colOff>
      <xdr:row>15</xdr:row>
      <xdr:rowOff>0</xdr:rowOff>
    </xdr:to>
    <xdr:sp>
      <xdr:nvSpPr>
        <xdr:cNvPr id="259" name="Line 258"/>
        <xdr:cNvSpPr>
          <a:spLocks/>
        </xdr:cNvSpPr>
      </xdr:nvSpPr>
      <xdr:spPr>
        <a:xfrm flipV="1">
          <a:off x="5105400" y="2628900"/>
          <a:ext cx="1552575" cy="0"/>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18</xdr:col>
      <xdr:colOff>95250</xdr:colOff>
      <xdr:row>16</xdr:row>
      <xdr:rowOff>0</xdr:rowOff>
    </xdr:from>
    <xdr:to>
      <xdr:col>22</xdr:col>
      <xdr:colOff>19050</xdr:colOff>
      <xdr:row>16</xdr:row>
      <xdr:rowOff>0</xdr:rowOff>
    </xdr:to>
    <xdr:sp>
      <xdr:nvSpPr>
        <xdr:cNvPr id="260" name="Line 259"/>
        <xdr:cNvSpPr>
          <a:spLocks/>
        </xdr:cNvSpPr>
      </xdr:nvSpPr>
      <xdr:spPr>
        <a:xfrm flipV="1">
          <a:off x="4791075" y="2686050"/>
          <a:ext cx="1885950" cy="0"/>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xdr:col>
      <xdr:colOff>95250</xdr:colOff>
      <xdr:row>5</xdr:row>
      <xdr:rowOff>0</xdr:rowOff>
    </xdr:from>
    <xdr:to>
      <xdr:col>18</xdr:col>
      <xdr:colOff>466725</xdr:colOff>
      <xdr:row>5</xdr:row>
      <xdr:rowOff>0</xdr:rowOff>
    </xdr:to>
    <xdr:sp>
      <xdr:nvSpPr>
        <xdr:cNvPr id="261" name="Line 260"/>
        <xdr:cNvSpPr>
          <a:spLocks/>
        </xdr:cNvSpPr>
      </xdr:nvSpPr>
      <xdr:spPr>
        <a:xfrm>
          <a:off x="600075" y="1466850"/>
          <a:ext cx="4562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xdr:col>
      <xdr:colOff>0</xdr:colOff>
      <xdr:row>4</xdr:row>
      <xdr:rowOff>142875</xdr:rowOff>
    </xdr:from>
    <xdr:to>
      <xdr:col>2</xdr:col>
      <xdr:colOff>0</xdr:colOff>
      <xdr:row>5</xdr:row>
      <xdr:rowOff>114300</xdr:rowOff>
    </xdr:to>
    <xdr:sp>
      <xdr:nvSpPr>
        <xdr:cNvPr id="262" name="Line 261"/>
        <xdr:cNvSpPr>
          <a:spLocks/>
        </xdr:cNvSpPr>
      </xdr:nvSpPr>
      <xdr:spPr>
        <a:xfrm flipH="1">
          <a:off x="704850" y="1343025"/>
          <a:ext cx="0" cy="238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17</xdr:col>
      <xdr:colOff>142875</xdr:colOff>
      <xdr:row>4</xdr:row>
      <xdr:rowOff>180975</xdr:rowOff>
    </xdr:from>
    <xdr:to>
      <xdr:col>17</xdr:col>
      <xdr:colOff>142875</xdr:colOff>
      <xdr:row>5</xdr:row>
      <xdr:rowOff>114300</xdr:rowOff>
    </xdr:to>
    <xdr:sp>
      <xdr:nvSpPr>
        <xdr:cNvPr id="263" name="Line 262"/>
        <xdr:cNvSpPr>
          <a:spLocks/>
        </xdr:cNvSpPr>
      </xdr:nvSpPr>
      <xdr:spPr>
        <a:xfrm>
          <a:off x="4276725" y="1381125"/>
          <a:ext cx="0" cy="200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xdr:col>
      <xdr:colOff>161925</xdr:colOff>
      <xdr:row>4</xdr:row>
      <xdr:rowOff>228600</xdr:rowOff>
    </xdr:from>
    <xdr:to>
      <xdr:col>2</xdr:col>
      <xdr:colOff>28575</xdr:colOff>
      <xdr:row>5</xdr:row>
      <xdr:rowOff>28575</xdr:rowOff>
    </xdr:to>
    <xdr:sp>
      <xdr:nvSpPr>
        <xdr:cNvPr id="264" name="Oval 263"/>
        <xdr:cNvSpPr>
          <a:spLocks/>
        </xdr:cNvSpPr>
      </xdr:nvSpPr>
      <xdr:spPr>
        <a:xfrm>
          <a:off x="666750" y="1428750"/>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17</xdr:col>
      <xdr:colOff>114300</xdr:colOff>
      <xdr:row>4</xdr:row>
      <xdr:rowOff>238125</xdr:rowOff>
    </xdr:from>
    <xdr:to>
      <xdr:col>17</xdr:col>
      <xdr:colOff>180975</xdr:colOff>
      <xdr:row>5</xdr:row>
      <xdr:rowOff>38100</xdr:rowOff>
    </xdr:to>
    <xdr:sp>
      <xdr:nvSpPr>
        <xdr:cNvPr id="265" name="Oval 264"/>
        <xdr:cNvSpPr>
          <a:spLocks/>
        </xdr:cNvSpPr>
      </xdr:nvSpPr>
      <xdr:spPr>
        <a:xfrm>
          <a:off x="4248150" y="1438275"/>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17</xdr:col>
      <xdr:colOff>152400</xdr:colOff>
      <xdr:row>10</xdr:row>
      <xdr:rowOff>28575</xdr:rowOff>
    </xdr:from>
    <xdr:to>
      <xdr:col>17</xdr:col>
      <xdr:colOff>152400</xdr:colOff>
      <xdr:row>16</xdr:row>
      <xdr:rowOff>28575</xdr:rowOff>
    </xdr:to>
    <xdr:sp>
      <xdr:nvSpPr>
        <xdr:cNvPr id="266" name="Line 265"/>
        <xdr:cNvSpPr>
          <a:spLocks/>
        </xdr:cNvSpPr>
      </xdr:nvSpPr>
      <xdr:spPr>
        <a:xfrm flipV="1">
          <a:off x="4286250" y="2238375"/>
          <a:ext cx="0" cy="476250"/>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xdr:col>
      <xdr:colOff>9525</xdr:colOff>
      <xdr:row>11</xdr:row>
      <xdr:rowOff>0</xdr:rowOff>
    </xdr:from>
    <xdr:to>
      <xdr:col>17</xdr:col>
      <xdr:colOff>152400</xdr:colOff>
      <xdr:row>11</xdr:row>
      <xdr:rowOff>0</xdr:rowOff>
    </xdr:to>
    <xdr:sp>
      <xdr:nvSpPr>
        <xdr:cNvPr id="267" name="Line 266"/>
        <xdr:cNvSpPr>
          <a:spLocks/>
        </xdr:cNvSpPr>
      </xdr:nvSpPr>
      <xdr:spPr>
        <a:xfrm flipV="1">
          <a:off x="714375" y="2247900"/>
          <a:ext cx="3571875" cy="0"/>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xdr:col>
      <xdr:colOff>9525</xdr:colOff>
      <xdr:row>12</xdr:row>
      <xdr:rowOff>0</xdr:rowOff>
    </xdr:from>
    <xdr:to>
      <xdr:col>17</xdr:col>
      <xdr:colOff>152400</xdr:colOff>
      <xdr:row>12</xdr:row>
      <xdr:rowOff>0</xdr:rowOff>
    </xdr:to>
    <xdr:sp>
      <xdr:nvSpPr>
        <xdr:cNvPr id="268" name="Line 267"/>
        <xdr:cNvSpPr>
          <a:spLocks/>
        </xdr:cNvSpPr>
      </xdr:nvSpPr>
      <xdr:spPr>
        <a:xfrm flipV="1">
          <a:off x="714375" y="2305050"/>
          <a:ext cx="3571875" cy="0"/>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xdr:col>
      <xdr:colOff>9525</xdr:colOff>
      <xdr:row>15</xdr:row>
      <xdr:rowOff>0</xdr:rowOff>
    </xdr:from>
    <xdr:to>
      <xdr:col>17</xdr:col>
      <xdr:colOff>152400</xdr:colOff>
      <xdr:row>15</xdr:row>
      <xdr:rowOff>0</xdr:rowOff>
    </xdr:to>
    <xdr:sp>
      <xdr:nvSpPr>
        <xdr:cNvPr id="269" name="Line 268"/>
        <xdr:cNvSpPr>
          <a:spLocks/>
        </xdr:cNvSpPr>
      </xdr:nvSpPr>
      <xdr:spPr>
        <a:xfrm flipV="1">
          <a:off x="714375" y="2628900"/>
          <a:ext cx="3571875" cy="0"/>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xdr:col>
      <xdr:colOff>0</xdr:colOff>
      <xdr:row>16</xdr:row>
      <xdr:rowOff>0</xdr:rowOff>
    </xdr:from>
    <xdr:to>
      <xdr:col>17</xdr:col>
      <xdr:colOff>142875</xdr:colOff>
      <xdr:row>16</xdr:row>
      <xdr:rowOff>0</xdr:rowOff>
    </xdr:to>
    <xdr:sp>
      <xdr:nvSpPr>
        <xdr:cNvPr id="270" name="Line 269"/>
        <xdr:cNvSpPr>
          <a:spLocks/>
        </xdr:cNvSpPr>
      </xdr:nvSpPr>
      <xdr:spPr>
        <a:xfrm flipV="1">
          <a:off x="704850" y="2686050"/>
          <a:ext cx="3571875" cy="0"/>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xdr:col>
      <xdr:colOff>0</xdr:colOff>
      <xdr:row>7</xdr:row>
      <xdr:rowOff>0</xdr:rowOff>
    </xdr:from>
    <xdr:to>
      <xdr:col>22</xdr:col>
      <xdr:colOff>0</xdr:colOff>
      <xdr:row>7</xdr:row>
      <xdr:rowOff>0</xdr:rowOff>
    </xdr:to>
    <xdr:sp>
      <xdr:nvSpPr>
        <xdr:cNvPr id="271" name="Line 270"/>
        <xdr:cNvSpPr>
          <a:spLocks/>
        </xdr:cNvSpPr>
      </xdr:nvSpPr>
      <xdr:spPr>
        <a:xfrm>
          <a:off x="704850" y="2066925"/>
          <a:ext cx="59531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18</xdr:col>
      <xdr:colOff>95250</xdr:colOff>
      <xdr:row>4</xdr:row>
      <xdr:rowOff>180975</xdr:rowOff>
    </xdr:from>
    <xdr:to>
      <xdr:col>18</xdr:col>
      <xdr:colOff>95250</xdr:colOff>
      <xdr:row>5</xdr:row>
      <xdr:rowOff>114300</xdr:rowOff>
    </xdr:to>
    <xdr:sp>
      <xdr:nvSpPr>
        <xdr:cNvPr id="272" name="Line 271"/>
        <xdr:cNvSpPr>
          <a:spLocks/>
        </xdr:cNvSpPr>
      </xdr:nvSpPr>
      <xdr:spPr>
        <a:xfrm>
          <a:off x="4791075" y="1381125"/>
          <a:ext cx="0" cy="200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18</xdr:col>
      <xdr:colOff>66675</xdr:colOff>
      <xdr:row>4</xdr:row>
      <xdr:rowOff>238125</xdr:rowOff>
    </xdr:from>
    <xdr:to>
      <xdr:col>18</xdr:col>
      <xdr:colOff>133350</xdr:colOff>
      <xdr:row>5</xdr:row>
      <xdr:rowOff>38100</xdr:rowOff>
    </xdr:to>
    <xdr:sp>
      <xdr:nvSpPr>
        <xdr:cNvPr id="273" name="Oval 272"/>
        <xdr:cNvSpPr>
          <a:spLocks/>
        </xdr:cNvSpPr>
      </xdr:nvSpPr>
      <xdr:spPr>
        <a:xfrm>
          <a:off x="4762500" y="1438275"/>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17</xdr:col>
      <xdr:colOff>228600</xdr:colOff>
      <xdr:row>13</xdr:row>
      <xdr:rowOff>0</xdr:rowOff>
    </xdr:from>
    <xdr:to>
      <xdr:col>19</xdr:col>
      <xdr:colOff>9525</xdr:colOff>
      <xdr:row>13</xdr:row>
      <xdr:rowOff>0</xdr:rowOff>
    </xdr:to>
    <xdr:sp>
      <xdr:nvSpPr>
        <xdr:cNvPr id="274" name="Line 273"/>
        <xdr:cNvSpPr>
          <a:spLocks/>
        </xdr:cNvSpPr>
      </xdr:nvSpPr>
      <xdr:spPr>
        <a:xfrm>
          <a:off x="4362450" y="2390775"/>
          <a:ext cx="9048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17</xdr:col>
      <xdr:colOff>228600</xdr:colOff>
      <xdr:row>14</xdr:row>
      <xdr:rowOff>0</xdr:rowOff>
    </xdr:from>
    <xdr:to>
      <xdr:col>19</xdr:col>
      <xdr:colOff>9525</xdr:colOff>
      <xdr:row>14</xdr:row>
      <xdr:rowOff>0</xdr:rowOff>
    </xdr:to>
    <xdr:sp>
      <xdr:nvSpPr>
        <xdr:cNvPr id="275" name="Line 274"/>
        <xdr:cNvSpPr>
          <a:spLocks/>
        </xdr:cNvSpPr>
      </xdr:nvSpPr>
      <xdr:spPr>
        <a:xfrm>
          <a:off x="4362450" y="2543175"/>
          <a:ext cx="9048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5</xdr:col>
      <xdr:colOff>161925</xdr:colOff>
      <xdr:row>7</xdr:row>
      <xdr:rowOff>38100</xdr:rowOff>
    </xdr:from>
    <xdr:to>
      <xdr:col>5</xdr:col>
      <xdr:colOff>161925</xdr:colOff>
      <xdr:row>11</xdr:row>
      <xdr:rowOff>0</xdr:rowOff>
    </xdr:to>
    <xdr:sp>
      <xdr:nvSpPr>
        <xdr:cNvPr id="276" name="Line 275"/>
        <xdr:cNvSpPr>
          <a:spLocks/>
        </xdr:cNvSpPr>
      </xdr:nvSpPr>
      <xdr:spPr>
        <a:xfrm flipH="1">
          <a:off x="1362075" y="210502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5</xdr:col>
      <xdr:colOff>161925</xdr:colOff>
      <xdr:row>6</xdr:row>
      <xdr:rowOff>180975</xdr:rowOff>
    </xdr:from>
    <xdr:to>
      <xdr:col>6</xdr:col>
      <xdr:colOff>152400</xdr:colOff>
      <xdr:row>17</xdr:row>
      <xdr:rowOff>9525</xdr:rowOff>
    </xdr:to>
    <xdr:sp>
      <xdr:nvSpPr>
        <xdr:cNvPr id="277" name="Polygon 276"/>
        <xdr:cNvSpPr>
          <a:spLocks/>
        </xdr:cNvSpPr>
      </xdr:nvSpPr>
      <xdr:spPr>
        <a:xfrm flipV="1">
          <a:off x="1362075" y="1924050"/>
          <a:ext cx="180975" cy="819150"/>
        </a:xfrm>
        <a:custGeom>
          <a:pathLst>
            <a:path h="89" w="35">
              <a:moveTo>
                <a:pt x="0" y="0"/>
              </a:moveTo>
              <a:lnTo>
                <a:pt x="0" y="89"/>
              </a:lnTo>
              <a:lnTo>
                <a:pt x="35" y="89"/>
              </a:lnTo>
            </a:path>
          </a:pathLst>
        </a:custGeom>
        <a:noFill/>
        <a:ln w="9525" cmpd="sng">
          <a:solidFill>
            <a:srgbClr val="000000"/>
          </a:solidFill>
          <a:headEnd type="triangl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18</xdr:col>
      <xdr:colOff>428625</xdr:colOff>
      <xdr:row>12</xdr:row>
      <xdr:rowOff>76200</xdr:rowOff>
    </xdr:from>
    <xdr:to>
      <xdr:col>19</xdr:col>
      <xdr:colOff>495300</xdr:colOff>
      <xdr:row>21</xdr:row>
      <xdr:rowOff>114300</xdr:rowOff>
    </xdr:to>
    <xdr:sp>
      <xdr:nvSpPr>
        <xdr:cNvPr id="278" name="Polygon 277"/>
        <xdr:cNvSpPr>
          <a:spLocks/>
        </xdr:cNvSpPr>
      </xdr:nvSpPr>
      <xdr:spPr>
        <a:xfrm>
          <a:off x="5124450" y="2381250"/>
          <a:ext cx="628650" cy="685800"/>
        </a:xfrm>
        <a:custGeom>
          <a:pathLst>
            <a:path h="75" w="66">
              <a:moveTo>
                <a:pt x="0" y="0"/>
              </a:moveTo>
              <a:lnTo>
                <a:pt x="33" y="75"/>
              </a:lnTo>
              <a:lnTo>
                <a:pt x="66" y="75"/>
              </a:lnTo>
            </a:path>
          </a:pathLst>
        </a:custGeom>
        <a:noFill/>
        <a:ln w="9525" cmpd="sng">
          <a:solidFill>
            <a:srgbClr val="000000"/>
          </a:solidFill>
          <a:headEnd type="triangl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18</xdr:col>
      <xdr:colOff>485775</xdr:colOff>
      <xdr:row>13</xdr:row>
      <xdr:rowOff>133350</xdr:rowOff>
    </xdr:from>
    <xdr:to>
      <xdr:col>18</xdr:col>
      <xdr:colOff>533400</xdr:colOff>
      <xdr:row>14</xdr:row>
      <xdr:rowOff>76200</xdr:rowOff>
    </xdr:to>
    <xdr:sp>
      <xdr:nvSpPr>
        <xdr:cNvPr id="279" name="Line 278"/>
        <xdr:cNvSpPr>
          <a:spLocks/>
        </xdr:cNvSpPr>
      </xdr:nvSpPr>
      <xdr:spPr>
        <a:xfrm flipH="1" flipV="1">
          <a:off x="5181600" y="2524125"/>
          <a:ext cx="47625"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22</xdr:col>
      <xdr:colOff>9525</xdr:colOff>
      <xdr:row>21</xdr:row>
      <xdr:rowOff>95250</xdr:rowOff>
    </xdr:from>
    <xdr:to>
      <xdr:col>23</xdr:col>
      <xdr:colOff>152400</xdr:colOff>
      <xdr:row>21</xdr:row>
      <xdr:rowOff>171450</xdr:rowOff>
    </xdr:to>
    <xdr:sp>
      <xdr:nvSpPr>
        <xdr:cNvPr id="280" name="Polygon 279"/>
        <xdr:cNvSpPr>
          <a:spLocks/>
        </xdr:cNvSpPr>
      </xdr:nvSpPr>
      <xdr:spPr>
        <a:xfrm>
          <a:off x="6667500" y="3048000"/>
          <a:ext cx="266700" cy="76200"/>
        </a:xfrm>
        <a:custGeom>
          <a:pathLst>
            <a:path h="56" w="251">
              <a:moveTo>
                <a:pt x="251" y="47"/>
              </a:moveTo>
              <a:lnTo>
                <a:pt x="150" y="0"/>
              </a:lnTo>
              <a:lnTo>
                <a:pt x="0" y="0"/>
              </a:lnTo>
              <a:lnTo>
                <a:pt x="0" y="56"/>
              </a:lnTo>
              <a:lnTo>
                <a:pt x="151" y="56"/>
              </a:lnTo>
              <a:lnTo>
                <a:pt x="250" y="11"/>
              </a:lnTo>
            </a:path>
          </a:pathLst>
        </a:cu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9</xdr:col>
      <xdr:colOff>85725</xdr:colOff>
      <xdr:row>31</xdr:row>
      <xdr:rowOff>95250</xdr:rowOff>
    </xdr:from>
    <xdr:to>
      <xdr:col>9</xdr:col>
      <xdr:colOff>161925</xdr:colOff>
      <xdr:row>31</xdr:row>
      <xdr:rowOff>190500</xdr:rowOff>
    </xdr:to>
    <xdr:sp>
      <xdr:nvSpPr>
        <xdr:cNvPr id="281" name="Oval 281"/>
        <xdr:cNvSpPr>
          <a:spLocks/>
        </xdr:cNvSpPr>
      </xdr:nvSpPr>
      <xdr:spPr>
        <a:xfrm>
          <a:off x="2190750" y="5372100"/>
          <a:ext cx="76200" cy="95250"/>
        </a:xfrm>
        <a:prstGeom prst="ellipse">
          <a:avLst/>
        </a:prstGeom>
        <a:pattFill prst="ltDnDiag">
          <a:fgClr>
            <a:srgbClr val="000000"/>
          </a:fgClr>
          <a:bgClr>
            <a:srgbClr val="FFFFFF"/>
          </a:bgClr>
        </a:patt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9</xdr:col>
      <xdr:colOff>180975</xdr:colOff>
      <xdr:row>36</xdr:row>
      <xdr:rowOff>85725</xdr:rowOff>
    </xdr:from>
    <xdr:to>
      <xdr:col>9</xdr:col>
      <xdr:colOff>257175</xdr:colOff>
      <xdr:row>36</xdr:row>
      <xdr:rowOff>180975</xdr:rowOff>
    </xdr:to>
    <xdr:sp>
      <xdr:nvSpPr>
        <xdr:cNvPr id="282" name="Oval 283"/>
        <xdr:cNvSpPr>
          <a:spLocks/>
        </xdr:cNvSpPr>
      </xdr:nvSpPr>
      <xdr:spPr>
        <a:xfrm>
          <a:off x="2286000" y="6315075"/>
          <a:ext cx="76200" cy="95250"/>
        </a:xfrm>
        <a:prstGeom prst="ellipse">
          <a:avLst/>
        </a:prstGeom>
        <a:pattFill prst="ltDnDiag">
          <a:fgClr>
            <a:srgbClr val="000000"/>
          </a:fgClr>
          <a:bgClr>
            <a:srgbClr val="FFFFFF"/>
          </a:bgClr>
        </a:patt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27</xdr:col>
      <xdr:colOff>95250</xdr:colOff>
      <xdr:row>33</xdr:row>
      <xdr:rowOff>114300</xdr:rowOff>
    </xdr:from>
    <xdr:to>
      <xdr:col>31</xdr:col>
      <xdr:colOff>66675</xdr:colOff>
      <xdr:row>33</xdr:row>
      <xdr:rowOff>114300</xdr:rowOff>
    </xdr:to>
    <xdr:sp>
      <xdr:nvSpPr>
        <xdr:cNvPr id="283" name="Line 284"/>
        <xdr:cNvSpPr>
          <a:spLocks/>
        </xdr:cNvSpPr>
      </xdr:nvSpPr>
      <xdr:spPr>
        <a:xfrm>
          <a:off x="8829675" y="5781675"/>
          <a:ext cx="103822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27</xdr:col>
      <xdr:colOff>85725</xdr:colOff>
      <xdr:row>34</xdr:row>
      <xdr:rowOff>123825</xdr:rowOff>
    </xdr:from>
    <xdr:to>
      <xdr:col>31</xdr:col>
      <xdr:colOff>57150</xdr:colOff>
      <xdr:row>34</xdr:row>
      <xdr:rowOff>123825</xdr:rowOff>
    </xdr:to>
    <xdr:sp>
      <xdr:nvSpPr>
        <xdr:cNvPr id="284" name="Line 285"/>
        <xdr:cNvSpPr>
          <a:spLocks/>
        </xdr:cNvSpPr>
      </xdr:nvSpPr>
      <xdr:spPr>
        <a:xfrm>
          <a:off x="8820150" y="6019800"/>
          <a:ext cx="103822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14</xdr:col>
      <xdr:colOff>76200</xdr:colOff>
      <xdr:row>34</xdr:row>
      <xdr:rowOff>104775</xdr:rowOff>
    </xdr:from>
    <xdr:to>
      <xdr:col>19</xdr:col>
      <xdr:colOff>200025</xdr:colOff>
      <xdr:row>36</xdr:row>
      <xdr:rowOff>85725</xdr:rowOff>
    </xdr:to>
    <xdr:sp>
      <xdr:nvSpPr>
        <xdr:cNvPr id="285" name="TextBox 286"/>
        <xdr:cNvSpPr txBox="1">
          <a:spLocks noChangeArrowheads="1"/>
        </xdr:cNvSpPr>
      </xdr:nvSpPr>
      <xdr:spPr>
        <a:xfrm>
          <a:off x="3705225" y="6000750"/>
          <a:ext cx="1752600" cy="314325"/>
        </a:xfrm>
        <a:prstGeom prst="rect">
          <a:avLst/>
        </a:prstGeom>
        <a:noFill/>
        <a:ln w="9525" cmpd="sng">
          <a:noFill/>
        </a:ln>
      </xdr:spPr>
      <xdr:txBody>
        <a:bodyPr vertOverflow="clip" wrap="square"/>
        <a:p>
          <a:pPr algn="l">
            <a:defRPr/>
          </a:pPr>
          <a:r>
            <a:rPr lang="en-US" cap="none" sz="1600" b="1" i="0" u="none" baseline="0">
              <a:latin typeface="AngsanaUPC"/>
              <a:ea typeface="AngsanaUPC"/>
              <a:cs typeface="AngsanaUPC"/>
            </a:rPr>
            <a:t>4 DB.25 mm.x 5.00 m.</a:t>
          </a:r>
        </a:p>
      </xdr:txBody>
    </xdr:sp>
    <xdr:clientData/>
  </xdr:twoCellAnchor>
  <xdr:twoCellAnchor>
    <xdr:from>
      <xdr:col>34</xdr:col>
      <xdr:colOff>57150</xdr:colOff>
      <xdr:row>31</xdr:row>
      <xdr:rowOff>0</xdr:rowOff>
    </xdr:from>
    <xdr:to>
      <xdr:col>36</xdr:col>
      <xdr:colOff>304800</xdr:colOff>
      <xdr:row>32</xdr:row>
      <xdr:rowOff>28575</xdr:rowOff>
    </xdr:to>
    <xdr:sp>
      <xdr:nvSpPr>
        <xdr:cNvPr id="286" name="TextBox 287"/>
        <xdr:cNvSpPr txBox="1">
          <a:spLocks noChangeArrowheads="1"/>
        </xdr:cNvSpPr>
      </xdr:nvSpPr>
      <xdr:spPr>
        <a:xfrm>
          <a:off x="10715625" y="5276850"/>
          <a:ext cx="914400" cy="314325"/>
        </a:xfrm>
        <a:prstGeom prst="rect">
          <a:avLst/>
        </a:prstGeom>
        <a:noFill/>
        <a:ln w="9525" cmpd="sng">
          <a:noFill/>
        </a:ln>
      </xdr:spPr>
      <xdr:txBody>
        <a:bodyPr vertOverflow="clip" wrap="square"/>
        <a:p>
          <a:pPr algn="l">
            <a:defRPr/>
          </a:pPr>
          <a:r>
            <a:rPr lang="en-US" cap="none" sz="1600" b="1" i="0" u="none" baseline="0">
              <a:latin typeface="AngsanaUPC"/>
              <a:ea typeface="AngsanaUPC"/>
              <a:cs typeface="AngsanaUPC"/>
            </a:rPr>
            <a:t>2 RB.9 mm.</a:t>
          </a:r>
        </a:p>
      </xdr:txBody>
    </xdr:sp>
    <xdr:clientData/>
  </xdr:twoCellAnchor>
  <xdr:twoCellAnchor>
    <xdr:from>
      <xdr:col>28</xdr:col>
      <xdr:colOff>219075</xdr:colOff>
      <xdr:row>31</xdr:row>
      <xdr:rowOff>161925</xdr:rowOff>
    </xdr:from>
    <xdr:to>
      <xdr:col>33</xdr:col>
      <xdr:colOff>266700</xdr:colOff>
      <xdr:row>34</xdr:row>
      <xdr:rowOff>133350</xdr:rowOff>
    </xdr:to>
    <xdr:sp>
      <xdr:nvSpPr>
        <xdr:cNvPr id="287" name="Polygon 288"/>
        <xdr:cNvSpPr>
          <a:spLocks/>
        </xdr:cNvSpPr>
      </xdr:nvSpPr>
      <xdr:spPr>
        <a:xfrm>
          <a:off x="9515475" y="5438775"/>
          <a:ext cx="1076325" cy="590550"/>
        </a:xfrm>
        <a:custGeom>
          <a:pathLst>
            <a:path h="10" w="100">
              <a:moveTo>
                <a:pt x="0" y="10"/>
              </a:moveTo>
              <a:lnTo>
                <a:pt x="53" y="0"/>
              </a:lnTo>
              <a:lnTo>
                <a:pt x="100" y="0"/>
              </a:lnTo>
            </a:path>
          </a:pathLst>
        </a:custGeom>
        <a:noFill/>
        <a:ln w="9525" cmpd="sng">
          <a:solidFill>
            <a:srgbClr val="000000"/>
          </a:solidFill>
          <a:headEnd type="triangl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36</xdr:col>
      <xdr:colOff>219075</xdr:colOff>
      <xdr:row>31</xdr:row>
      <xdr:rowOff>142875</xdr:rowOff>
    </xdr:from>
    <xdr:to>
      <xdr:col>37</xdr:col>
      <xdr:colOff>152400</xdr:colOff>
      <xdr:row>31</xdr:row>
      <xdr:rowOff>219075</xdr:rowOff>
    </xdr:to>
    <xdr:sp>
      <xdr:nvSpPr>
        <xdr:cNvPr id="288" name="Polygon 289"/>
        <xdr:cNvSpPr>
          <a:spLocks/>
        </xdr:cNvSpPr>
      </xdr:nvSpPr>
      <xdr:spPr>
        <a:xfrm>
          <a:off x="11544300" y="5419725"/>
          <a:ext cx="266700" cy="76200"/>
        </a:xfrm>
        <a:custGeom>
          <a:pathLst>
            <a:path h="56" w="251">
              <a:moveTo>
                <a:pt x="251" y="47"/>
              </a:moveTo>
              <a:lnTo>
                <a:pt x="150" y="0"/>
              </a:lnTo>
              <a:lnTo>
                <a:pt x="0" y="0"/>
              </a:lnTo>
              <a:lnTo>
                <a:pt x="0" y="56"/>
              </a:lnTo>
              <a:lnTo>
                <a:pt x="151" y="56"/>
              </a:lnTo>
              <a:lnTo>
                <a:pt x="250" y="11"/>
              </a:lnTo>
            </a:path>
          </a:pathLst>
        </a:cu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30</xdr:col>
      <xdr:colOff>57150</xdr:colOff>
      <xdr:row>33</xdr:row>
      <xdr:rowOff>19050</xdr:rowOff>
    </xdr:from>
    <xdr:to>
      <xdr:col>31</xdr:col>
      <xdr:colOff>47625</xdr:colOff>
      <xdr:row>33</xdr:row>
      <xdr:rowOff>114300</xdr:rowOff>
    </xdr:to>
    <xdr:sp>
      <xdr:nvSpPr>
        <xdr:cNvPr id="289" name="Line 290"/>
        <xdr:cNvSpPr>
          <a:spLocks/>
        </xdr:cNvSpPr>
      </xdr:nvSpPr>
      <xdr:spPr>
        <a:xfrm flipH="1">
          <a:off x="9753600" y="5686425"/>
          <a:ext cx="9525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10</xdr:col>
      <xdr:colOff>238125</xdr:colOff>
      <xdr:row>35</xdr:row>
      <xdr:rowOff>47625</xdr:rowOff>
    </xdr:from>
    <xdr:to>
      <xdr:col>13</xdr:col>
      <xdr:colOff>47625</xdr:colOff>
      <xdr:row>36</xdr:row>
      <xdr:rowOff>114300</xdr:rowOff>
    </xdr:to>
    <xdr:sp>
      <xdr:nvSpPr>
        <xdr:cNvPr id="290" name="Polygon 291"/>
        <xdr:cNvSpPr>
          <a:spLocks/>
        </xdr:cNvSpPr>
      </xdr:nvSpPr>
      <xdr:spPr>
        <a:xfrm>
          <a:off x="2676525" y="6172200"/>
          <a:ext cx="809625" cy="171450"/>
        </a:xfrm>
        <a:custGeom>
          <a:pathLst>
            <a:path h="10" w="100">
              <a:moveTo>
                <a:pt x="0" y="10"/>
              </a:moveTo>
              <a:lnTo>
                <a:pt x="53" y="0"/>
              </a:lnTo>
              <a:lnTo>
                <a:pt x="100" y="0"/>
              </a:lnTo>
            </a:path>
          </a:pathLst>
        </a:custGeom>
        <a:noFill/>
        <a:ln w="9525" cmpd="sng">
          <a:solidFill>
            <a:srgbClr val="000000"/>
          </a:solidFill>
          <a:headEnd type="triangl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8</xdr:col>
      <xdr:colOff>266700</xdr:colOff>
      <xdr:row>36</xdr:row>
      <xdr:rowOff>152400</xdr:rowOff>
    </xdr:from>
    <xdr:to>
      <xdr:col>8</xdr:col>
      <xdr:colOff>295275</xdr:colOff>
      <xdr:row>36</xdr:row>
      <xdr:rowOff>200025</xdr:rowOff>
    </xdr:to>
    <xdr:sp>
      <xdr:nvSpPr>
        <xdr:cNvPr id="291" name="Oval 292"/>
        <xdr:cNvSpPr>
          <a:spLocks/>
        </xdr:cNvSpPr>
      </xdr:nvSpPr>
      <xdr:spPr>
        <a:xfrm>
          <a:off x="2038350" y="6381750"/>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9</xdr:col>
      <xdr:colOff>276225</xdr:colOff>
      <xdr:row>36</xdr:row>
      <xdr:rowOff>152400</xdr:rowOff>
    </xdr:from>
    <xdr:to>
      <xdr:col>9</xdr:col>
      <xdr:colOff>304800</xdr:colOff>
      <xdr:row>36</xdr:row>
      <xdr:rowOff>200025</xdr:rowOff>
    </xdr:to>
    <xdr:sp>
      <xdr:nvSpPr>
        <xdr:cNvPr id="292" name="Oval 293"/>
        <xdr:cNvSpPr>
          <a:spLocks/>
        </xdr:cNvSpPr>
      </xdr:nvSpPr>
      <xdr:spPr>
        <a:xfrm>
          <a:off x="2381250" y="6381750"/>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15</xdr:col>
      <xdr:colOff>38100</xdr:colOff>
      <xdr:row>31</xdr:row>
      <xdr:rowOff>276225</xdr:rowOff>
    </xdr:from>
    <xdr:to>
      <xdr:col>15</xdr:col>
      <xdr:colOff>66675</xdr:colOff>
      <xdr:row>32</xdr:row>
      <xdr:rowOff>38100</xdr:rowOff>
    </xdr:to>
    <xdr:sp>
      <xdr:nvSpPr>
        <xdr:cNvPr id="293" name="Oval 294"/>
        <xdr:cNvSpPr>
          <a:spLocks/>
        </xdr:cNvSpPr>
      </xdr:nvSpPr>
      <xdr:spPr>
        <a:xfrm>
          <a:off x="3771900" y="5553075"/>
          <a:ext cx="2857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15</xdr:col>
      <xdr:colOff>114300</xdr:colOff>
      <xdr:row>31</xdr:row>
      <xdr:rowOff>142875</xdr:rowOff>
    </xdr:from>
    <xdr:to>
      <xdr:col>19</xdr:col>
      <xdr:colOff>333375</xdr:colOff>
      <xdr:row>33</xdr:row>
      <xdr:rowOff>133350</xdr:rowOff>
    </xdr:to>
    <xdr:sp>
      <xdr:nvSpPr>
        <xdr:cNvPr id="294" name="TextBox 295"/>
        <xdr:cNvSpPr txBox="1">
          <a:spLocks noChangeArrowheads="1"/>
        </xdr:cNvSpPr>
      </xdr:nvSpPr>
      <xdr:spPr>
        <a:xfrm>
          <a:off x="3848100" y="5419725"/>
          <a:ext cx="1743075" cy="381000"/>
        </a:xfrm>
        <a:prstGeom prst="rect">
          <a:avLst/>
        </a:prstGeom>
        <a:noFill/>
        <a:ln w="9525" cmpd="sng">
          <a:noFill/>
        </a:ln>
      </xdr:spPr>
      <xdr:txBody>
        <a:bodyPr vertOverflow="clip" wrap="square"/>
        <a:p>
          <a:pPr algn="l">
            <a:defRPr/>
          </a:pPr>
          <a:r>
            <a:rPr lang="en-US" cap="none" sz="1600" b="0" i="0" u="none" baseline="0">
              <a:latin typeface="AngsanaUPC"/>
              <a:ea typeface="AngsanaUPC"/>
              <a:cs typeface="AngsanaUPC"/>
            </a:rPr>
            <a:t>PC.STRAND  ( SEE TABLE )</a:t>
          </a:r>
        </a:p>
      </xdr:txBody>
    </xdr:sp>
    <xdr:clientData/>
  </xdr:twoCellAnchor>
  <xdr:twoCellAnchor>
    <xdr:from>
      <xdr:col>27</xdr:col>
      <xdr:colOff>142875</xdr:colOff>
      <xdr:row>36</xdr:row>
      <xdr:rowOff>161925</xdr:rowOff>
    </xdr:from>
    <xdr:to>
      <xdr:col>27</xdr:col>
      <xdr:colOff>171450</xdr:colOff>
      <xdr:row>36</xdr:row>
      <xdr:rowOff>209550</xdr:rowOff>
    </xdr:to>
    <xdr:sp>
      <xdr:nvSpPr>
        <xdr:cNvPr id="295" name="Oval 296"/>
        <xdr:cNvSpPr>
          <a:spLocks/>
        </xdr:cNvSpPr>
      </xdr:nvSpPr>
      <xdr:spPr>
        <a:xfrm>
          <a:off x="8877300" y="6391275"/>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30</xdr:col>
      <xdr:colOff>66675</xdr:colOff>
      <xdr:row>36</xdr:row>
      <xdr:rowOff>152400</xdr:rowOff>
    </xdr:from>
    <xdr:to>
      <xdr:col>30</xdr:col>
      <xdr:colOff>95250</xdr:colOff>
      <xdr:row>36</xdr:row>
      <xdr:rowOff>200025</xdr:rowOff>
    </xdr:to>
    <xdr:sp>
      <xdr:nvSpPr>
        <xdr:cNvPr id="296" name="Oval 297"/>
        <xdr:cNvSpPr>
          <a:spLocks/>
        </xdr:cNvSpPr>
      </xdr:nvSpPr>
      <xdr:spPr>
        <a:xfrm>
          <a:off x="9763125" y="6381750"/>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28</xdr:col>
      <xdr:colOff>247650</xdr:colOff>
      <xdr:row>36</xdr:row>
      <xdr:rowOff>161925</xdr:rowOff>
    </xdr:from>
    <xdr:to>
      <xdr:col>29</xdr:col>
      <xdr:colOff>0</xdr:colOff>
      <xdr:row>36</xdr:row>
      <xdr:rowOff>209550</xdr:rowOff>
    </xdr:to>
    <xdr:sp>
      <xdr:nvSpPr>
        <xdr:cNvPr id="297" name="Oval 298"/>
        <xdr:cNvSpPr>
          <a:spLocks/>
        </xdr:cNvSpPr>
      </xdr:nvSpPr>
      <xdr:spPr>
        <a:xfrm>
          <a:off x="9544050" y="6391275"/>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28</xdr:col>
      <xdr:colOff>142875</xdr:colOff>
      <xdr:row>36</xdr:row>
      <xdr:rowOff>161925</xdr:rowOff>
    </xdr:from>
    <xdr:to>
      <xdr:col>28</xdr:col>
      <xdr:colOff>171450</xdr:colOff>
      <xdr:row>36</xdr:row>
      <xdr:rowOff>209550</xdr:rowOff>
    </xdr:to>
    <xdr:sp>
      <xdr:nvSpPr>
        <xdr:cNvPr id="298" name="Oval 299"/>
        <xdr:cNvSpPr>
          <a:spLocks/>
        </xdr:cNvSpPr>
      </xdr:nvSpPr>
      <xdr:spPr>
        <a:xfrm>
          <a:off x="9439275" y="6391275"/>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27</xdr:col>
      <xdr:colOff>361950</xdr:colOff>
      <xdr:row>36</xdr:row>
      <xdr:rowOff>161925</xdr:rowOff>
    </xdr:from>
    <xdr:to>
      <xdr:col>27</xdr:col>
      <xdr:colOff>390525</xdr:colOff>
      <xdr:row>36</xdr:row>
      <xdr:rowOff>209550</xdr:rowOff>
    </xdr:to>
    <xdr:sp>
      <xdr:nvSpPr>
        <xdr:cNvPr id="299" name="Oval 300"/>
        <xdr:cNvSpPr>
          <a:spLocks/>
        </xdr:cNvSpPr>
      </xdr:nvSpPr>
      <xdr:spPr>
        <a:xfrm>
          <a:off x="9096375" y="6391275"/>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27</xdr:col>
      <xdr:colOff>142875</xdr:colOff>
      <xdr:row>31</xdr:row>
      <xdr:rowOff>76200</xdr:rowOff>
    </xdr:from>
    <xdr:to>
      <xdr:col>27</xdr:col>
      <xdr:colOff>171450</xdr:colOff>
      <xdr:row>31</xdr:row>
      <xdr:rowOff>123825</xdr:rowOff>
    </xdr:to>
    <xdr:sp>
      <xdr:nvSpPr>
        <xdr:cNvPr id="300" name="Oval 301"/>
        <xdr:cNvSpPr>
          <a:spLocks/>
        </xdr:cNvSpPr>
      </xdr:nvSpPr>
      <xdr:spPr>
        <a:xfrm>
          <a:off x="8877300" y="5353050"/>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30</xdr:col>
      <xdr:colOff>66675</xdr:colOff>
      <xdr:row>31</xdr:row>
      <xdr:rowOff>76200</xdr:rowOff>
    </xdr:from>
    <xdr:to>
      <xdr:col>30</xdr:col>
      <xdr:colOff>95250</xdr:colOff>
      <xdr:row>31</xdr:row>
      <xdr:rowOff>123825</xdr:rowOff>
    </xdr:to>
    <xdr:sp>
      <xdr:nvSpPr>
        <xdr:cNvPr id="301" name="Oval 302"/>
        <xdr:cNvSpPr>
          <a:spLocks/>
        </xdr:cNvSpPr>
      </xdr:nvSpPr>
      <xdr:spPr>
        <a:xfrm>
          <a:off x="9763125" y="5353050"/>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9</xdr:col>
      <xdr:colOff>9525</xdr:colOff>
      <xdr:row>7</xdr:row>
      <xdr:rowOff>85725</xdr:rowOff>
    </xdr:from>
    <xdr:to>
      <xdr:col>9</xdr:col>
      <xdr:colOff>9525</xdr:colOff>
      <xdr:row>19</xdr:row>
      <xdr:rowOff>9525</xdr:rowOff>
    </xdr:to>
    <xdr:sp>
      <xdr:nvSpPr>
        <xdr:cNvPr id="302" name="Line 304"/>
        <xdr:cNvSpPr>
          <a:spLocks/>
        </xdr:cNvSpPr>
      </xdr:nvSpPr>
      <xdr:spPr>
        <a:xfrm>
          <a:off x="2114550" y="2152650"/>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10</xdr:col>
      <xdr:colOff>95250</xdr:colOff>
      <xdr:row>7</xdr:row>
      <xdr:rowOff>85725</xdr:rowOff>
    </xdr:from>
    <xdr:to>
      <xdr:col>10</xdr:col>
      <xdr:colOff>95250</xdr:colOff>
      <xdr:row>19</xdr:row>
      <xdr:rowOff>9525</xdr:rowOff>
    </xdr:to>
    <xdr:sp>
      <xdr:nvSpPr>
        <xdr:cNvPr id="303" name="Line 305"/>
        <xdr:cNvSpPr>
          <a:spLocks/>
        </xdr:cNvSpPr>
      </xdr:nvSpPr>
      <xdr:spPr>
        <a:xfrm>
          <a:off x="2533650" y="2152650"/>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10</xdr:col>
      <xdr:colOff>228600</xdr:colOff>
      <xdr:row>7</xdr:row>
      <xdr:rowOff>85725</xdr:rowOff>
    </xdr:from>
    <xdr:to>
      <xdr:col>10</xdr:col>
      <xdr:colOff>228600</xdr:colOff>
      <xdr:row>19</xdr:row>
      <xdr:rowOff>19050</xdr:rowOff>
    </xdr:to>
    <xdr:sp>
      <xdr:nvSpPr>
        <xdr:cNvPr id="304" name="Line 306"/>
        <xdr:cNvSpPr>
          <a:spLocks/>
        </xdr:cNvSpPr>
      </xdr:nvSpPr>
      <xdr:spPr>
        <a:xfrm>
          <a:off x="2667000" y="2152650"/>
          <a:ext cx="0" cy="6477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11</xdr:col>
      <xdr:colOff>28575</xdr:colOff>
      <xdr:row>7</xdr:row>
      <xdr:rowOff>85725</xdr:rowOff>
    </xdr:from>
    <xdr:to>
      <xdr:col>11</xdr:col>
      <xdr:colOff>28575</xdr:colOff>
      <xdr:row>19</xdr:row>
      <xdr:rowOff>19050</xdr:rowOff>
    </xdr:to>
    <xdr:sp>
      <xdr:nvSpPr>
        <xdr:cNvPr id="305" name="Line 307"/>
        <xdr:cNvSpPr>
          <a:spLocks/>
        </xdr:cNvSpPr>
      </xdr:nvSpPr>
      <xdr:spPr>
        <a:xfrm>
          <a:off x="2800350" y="2152650"/>
          <a:ext cx="0" cy="6477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7</xdr:col>
      <xdr:colOff>123825</xdr:colOff>
      <xdr:row>7</xdr:row>
      <xdr:rowOff>85725</xdr:rowOff>
    </xdr:from>
    <xdr:to>
      <xdr:col>7</xdr:col>
      <xdr:colOff>123825</xdr:colOff>
      <xdr:row>19</xdr:row>
      <xdr:rowOff>9525</xdr:rowOff>
    </xdr:to>
    <xdr:sp>
      <xdr:nvSpPr>
        <xdr:cNvPr id="306" name="Line 308"/>
        <xdr:cNvSpPr>
          <a:spLocks/>
        </xdr:cNvSpPr>
      </xdr:nvSpPr>
      <xdr:spPr>
        <a:xfrm>
          <a:off x="1704975" y="2152650"/>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13</xdr:col>
      <xdr:colOff>19050</xdr:colOff>
      <xdr:row>7</xdr:row>
      <xdr:rowOff>85725</xdr:rowOff>
    </xdr:from>
    <xdr:to>
      <xdr:col>13</xdr:col>
      <xdr:colOff>19050</xdr:colOff>
      <xdr:row>19</xdr:row>
      <xdr:rowOff>19050</xdr:rowOff>
    </xdr:to>
    <xdr:sp>
      <xdr:nvSpPr>
        <xdr:cNvPr id="307" name="Line 309"/>
        <xdr:cNvSpPr>
          <a:spLocks/>
        </xdr:cNvSpPr>
      </xdr:nvSpPr>
      <xdr:spPr>
        <a:xfrm>
          <a:off x="3457575" y="2152650"/>
          <a:ext cx="0" cy="6477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9</xdr:col>
      <xdr:colOff>285750</xdr:colOff>
      <xdr:row>7</xdr:row>
      <xdr:rowOff>85725</xdr:rowOff>
    </xdr:from>
    <xdr:to>
      <xdr:col>9</xdr:col>
      <xdr:colOff>285750</xdr:colOff>
      <xdr:row>19</xdr:row>
      <xdr:rowOff>19050</xdr:rowOff>
    </xdr:to>
    <xdr:sp>
      <xdr:nvSpPr>
        <xdr:cNvPr id="308" name="Line 310"/>
        <xdr:cNvSpPr>
          <a:spLocks/>
        </xdr:cNvSpPr>
      </xdr:nvSpPr>
      <xdr:spPr>
        <a:xfrm>
          <a:off x="2390775" y="2152650"/>
          <a:ext cx="0" cy="6477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8</xdr:col>
      <xdr:colOff>57150</xdr:colOff>
      <xdr:row>7</xdr:row>
      <xdr:rowOff>85725</xdr:rowOff>
    </xdr:from>
    <xdr:to>
      <xdr:col>8</xdr:col>
      <xdr:colOff>57150</xdr:colOff>
      <xdr:row>19</xdr:row>
      <xdr:rowOff>19050</xdr:rowOff>
    </xdr:to>
    <xdr:sp>
      <xdr:nvSpPr>
        <xdr:cNvPr id="309" name="Line 311"/>
        <xdr:cNvSpPr>
          <a:spLocks/>
        </xdr:cNvSpPr>
      </xdr:nvSpPr>
      <xdr:spPr>
        <a:xfrm>
          <a:off x="1828800" y="2152650"/>
          <a:ext cx="0" cy="6477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11</xdr:col>
      <xdr:colOff>323850</xdr:colOff>
      <xdr:row>7</xdr:row>
      <xdr:rowOff>85725</xdr:rowOff>
    </xdr:from>
    <xdr:to>
      <xdr:col>11</xdr:col>
      <xdr:colOff>323850</xdr:colOff>
      <xdr:row>19</xdr:row>
      <xdr:rowOff>19050</xdr:rowOff>
    </xdr:to>
    <xdr:sp>
      <xdr:nvSpPr>
        <xdr:cNvPr id="310" name="Line 312"/>
        <xdr:cNvSpPr>
          <a:spLocks/>
        </xdr:cNvSpPr>
      </xdr:nvSpPr>
      <xdr:spPr>
        <a:xfrm>
          <a:off x="3095625" y="2152650"/>
          <a:ext cx="0" cy="6477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11</xdr:col>
      <xdr:colOff>161925</xdr:colOff>
      <xdr:row>7</xdr:row>
      <xdr:rowOff>85725</xdr:rowOff>
    </xdr:from>
    <xdr:to>
      <xdr:col>11</xdr:col>
      <xdr:colOff>161925</xdr:colOff>
      <xdr:row>19</xdr:row>
      <xdr:rowOff>19050</xdr:rowOff>
    </xdr:to>
    <xdr:sp>
      <xdr:nvSpPr>
        <xdr:cNvPr id="311" name="Line 313"/>
        <xdr:cNvSpPr>
          <a:spLocks/>
        </xdr:cNvSpPr>
      </xdr:nvSpPr>
      <xdr:spPr>
        <a:xfrm>
          <a:off x="2933700" y="2152650"/>
          <a:ext cx="0" cy="6477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16</xdr:col>
      <xdr:colOff>0</xdr:colOff>
      <xdr:row>7</xdr:row>
      <xdr:rowOff>85725</xdr:rowOff>
    </xdr:from>
    <xdr:to>
      <xdr:col>16</xdr:col>
      <xdr:colOff>0</xdr:colOff>
      <xdr:row>19</xdr:row>
      <xdr:rowOff>19050</xdr:rowOff>
    </xdr:to>
    <xdr:sp>
      <xdr:nvSpPr>
        <xdr:cNvPr id="312" name="Line 314"/>
        <xdr:cNvSpPr>
          <a:spLocks/>
        </xdr:cNvSpPr>
      </xdr:nvSpPr>
      <xdr:spPr>
        <a:xfrm>
          <a:off x="3857625" y="2152650"/>
          <a:ext cx="0" cy="6477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8</xdr:col>
      <xdr:colOff>200025</xdr:colOff>
      <xdr:row>7</xdr:row>
      <xdr:rowOff>85725</xdr:rowOff>
    </xdr:from>
    <xdr:to>
      <xdr:col>8</xdr:col>
      <xdr:colOff>200025</xdr:colOff>
      <xdr:row>19</xdr:row>
      <xdr:rowOff>9525</xdr:rowOff>
    </xdr:to>
    <xdr:sp>
      <xdr:nvSpPr>
        <xdr:cNvPr id="313" name="Line 315"/>
        <xdr:cNvSpPr>
          <a:spLocks/>
        </xdr:cNvSpPr>
      </xdr:nvSpPr>
      <xdr:spPr>
        <a:xfrm>
          <a:off x="1971675" y="2152650"/>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9</xdr:col>
      <xdr:colOff>152400</xdr:colOff>
      <xdr:row>7</xdr:row>
      <xdr:rowOff>85725</xdr:rowOff>
    </xdr:from>
    <xdr:to>
      <xdr:col>9</xdr:col>
      <xdr:colOff>152400</xdr:colOff>
      <xdr:row>19</xdr:row>
      <xdr:rowOff>9525</xdr:rowOff>
    </xdr:to>
    <xdr:sp>
      <xdr:nvSpPr>
        <xdr:cNvPr id="314" name="Line 316"/>
        <xdr:cNvSpPr>
          <a:spLocks/>
        </xdr:cNvSpPr>
      </xdr:nvSpPr>
      <xdr:spPr>
        <a:xfrm>
          <a:off x="2257425" y="2152650"/>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xdr:col>
      <xdr:colOff>47625</xdr:colOff>
      <xdr:row>6</xdr:row>
      <xdr:rowOff>76200</xdr:rowOff>
    </xdr:from>
    <xdr:to>
      <xdr:col>4</xdr:col>
      <xdr:colOff>57150</xdr:colOff>
      <xdr:row>6</xdr:row>
      <xdr:rowOff>76200</xdr:rowOff>
    </xdr:to>
    <xdr:sp>
      <xdr:nvSpPr>
        <xdr:cNvPr id="315" name="Line 317"/>
        <xdr:cNvSpPr>
          <a:spLocks/>
        </xdr:cNvSpPr>
      </xdr:nvSpPr>
      <xdr:spPr>
        <a:xfrm>
          <a:off x="866775" y="1819275"/>
          <a:ext cx="200025" cy="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xdr:col>
      <xdr:colOff>47625</xdr:colOff>
      <xdr:row>6</xdr:row>
      <xdr:rowOff>76200</xdr:rowOff>
    </xdr:from>
    <xdr:to>
      <xdr:col>3</xdr:col>
      <xdr:colOff>47625</xdr:colOff>
      <xdr:row>6</xdr:row>
      <xdr:rowOff>295275</xdr:rowOff>
    </xdr:to>
    <xdr:sp>
      <xdr:nvSpPr>
        <xdr:cNvPr id="316" name="Line 318"/>
        <xdr:cNvSpPr>
          <a:spLocks/>
        </xdr:cNvSpPr>
      </xdr:nvSpPr>
      <xdr:spPr>
        <a:xfrm flipH="1">
          <a:off x="866775" y="1819275"/>
          <a:ext cx="0" cy="2190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4</xdr:col>
      <xdr:colOff>66675</xdr:colOff>
      <xdr:row>5</xdr:row>
      <xdr:rowOff>142875</xdr:rowOff>
    </xdr:from>
    <xdr:to>
      <xdr:col>5</xdr:col>
      <xdr:colOff>85725</xdr:colOff>
      <xdr:row>6</xdr:row>
      <xdr:rowOff>266700</xdr:rowOff>
    </xdr:to>
    <xdr:sp>
      <xdr:nvSpPr>
        <xdr:cNvPr id="317" name="Drawing 1350"/>
        <xdr:cNvSpPr>
          <a:spLocks/>
        </xdr:cNvSpPr>
      </xdr:nvSpPr>
      <xdr:spPr>
        <a:xfrm>
          <a:off x="1076325" y="1609725"/>
          <a:ext cx="209550" cy="400050"/>
        </a:xfrm>
        <a:custGeom>
          <a:pathLst>
            <a:path h="16384" w="16384">
              <a:moveTo>
                <a:pt x="16384" y="8602"/>
              </a:moveTo>
              <a:lnTo>
                <a:pt x="0" y="0"/>
              </a:lnTo>
              <a:lnTo>
                <a:pt x="0" y="16384"/>
              </a:lnTo>
              <a:lnTo>
                <a:pt x="16384" y="8602"/>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xdr:col>
      <xdr:colOff>142875</xdr:colOff>
      <xdr:row>5</xdr:row>
      <xdr:rowOff>200025</xdr:rowOff>
    </xdr:from>
    <xdr:to>
      <xdr:col>5</xdr:col>
      <xdr:colOff>9525</xdr:colOff>
      <xdr:row>6</xdr:row>
      <xdr:rowOff>219075</xdr:rowOff>
    </xdr:to>
    <xdr:sp>
      <xdr:nvSpPr>
        <xdr:cNvPr id="318" name="Oval 320"/>
        <xdr:cNvSpPr>
          <a:spLocks/>
        </xdr:cNvSpPr>
      </xdr:nvSpPr>
      <xdr:spPr>
        <a:xfrm>
          <a:off x="962025" y="1666875"/>
          <a:ext cx="247650" cy="295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4</xdr:col>
      <xdr:colOff>0</xdr:colOff>
      <xdr:row>5</xdr:row>
      <xdr:rowOff>190500</xdr:rowOff>
    </xdr:from>
    <xdr:to>
      <xdr:col>4</xdr:col>
      <xdr:colOff>171450</xdr:colOff>
      <xdr:row>6</xdr:row>
      <xdr:rowOff>180975</xdr:rowOff>
    </xdr:to>
    <xdr:sp>
      <xdr:nvSpPr>
        <xdr:cNvPr id="319" name="Text 459"/>
        <xdr:cNvSpPr txBox="1">
          <a:spLocks noChangeArrowheads="1"/>
        </xdr:cNvSpPr>
      </xdr:nvSpPr>
      <xdr:spPr>
        <a:xfrm>
          <a:off x="1009650" y="1657350"/>
          <a:ext cx="171450" cy="266700"/>
        </a:xfrm>
        <a:prstGeom prst="rect">
          <a:avLst/>
        </a:prstGeom>
        <a:noFill/>
        <a:ln w="1" cmpd="sng">
          <a:noFill/>
        </a:ln>
      </xdr:spPr>
      <xdr:txBody>
        <a:bodyPr vertOverflow="clip" wrap="square"/>
        <a:p>
          <a:pPr algn="l">
            <a:defRPr/>
          </a:pPr>
          <a:r>
            <a:rPr lang="en-US" cap="none" sz="1600" b="1" i="0" u="none" baseline="0">
              <a:latin typeface="AngsanaUPC"/>
              <a:ea typeface="AngsanaUPC"/>
              <a:cs typeface="AngsanaUPC"/>
            </a:rPr>
            <a:t>1</a:t>
          </a:r>
        </a:p>
      </xdr:txBody>
    </xdr:sp>
    <xdr:clientData/>
  </xdr:twoCellAnchor>
  <xdr:twoCellAnchor>
    <xdr:from>
      <xdr:col>7</xdr:col>
      <xdr:colOff>0</xdr:colOff>
      <xdr:row>37</xdr:row>
      <xdr:rowOff>9525</xdr:rowOff>
    </xdr:from>
    <xdr:to>
      <xdr:col>11</xdr:col>
      <xdr:colOff>266700</xdr:colOff>
      <xdr:row>40</xdr:row>
      <xdr:rowOff>219075</xdr:rowOff>
    </xdr:to>
    <xdr:grpSp>
      <xdr:nvGrpSpPr>
        <xdr:cNvPr id="320" name="Group 322"/>
        <xdr:cNvGrpSpPr>
          <a:grpSpLocks/>
        </xdr:cNvGrpSpPr>
      </xdr:nvGrpSpPr>
      <xdr:grpSpPr>
        <a:xfrm>
          <a:off x="1581150" y="6524625"/>
          <a:ext cx="1457325" cy="800100"/>
          <a:chOff x="324" y="719"/>
          <a:chExt cx="153" cy="84"/>
        </a:xfrm>
        <a:solidFill>
          <a:srgbClr val="FFFFFF"/>
        </a:solidFill>
      </xdr:grpSpPr>
      <xdr:sp>
        <xdr:nvSpPr>
          <xdr:cNvPr id="321" name="Line 323"/>
          <xdr:cNvSpPr>
            <a:spLocks/>
          </xdr:cNvSpPr>
        </xdr:nvSpPr>
        <xdr:spPr>
          <a:xfrm>
            <a:off x="324" y="766"/>
            <a:ext cx="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22" name="Line 324"/>
          <xdr:cNvSpPr>
            <a:spLocks/>
          </xdr:cNvSpPr>
        </xdr:nvSpPr>
        <xdr:spPr>
          <a:xfrm>
            <a:off x="335" y="758"/>
            <a:ext cx="0" cy="1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23" name="Line 325"/>
          <xdr:cNvSpPr>
            <a:spLocks/>
          </xdr:cNvSpPr>
        </xdr:nvSpPr>
        <xdr:spPr>
          <a:xfrm>
            <a:off x="459" y="758"/>
            <a:ext cx="0" cy="1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24" name="Oval 326"/>
          <xdr:cNvSpPr>
            <a:spLocks/>
          </xdr:cNvSpPr>
        </xdr:nvSpPr>
        <xdr:spPr>
          <a:xfrm>
            <a:off x="332" y="763"/>
            <a:ext cx="7" cy="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25" name="Oval 327"/>
          <xdr:cNvSpPr>
            <a:spLocks/>
          </xdr:cNvSpPr>
        </xdr:nvSpPr>
        <xdr:spPr>
          <a:xfrm>
            <a:off x="456" y="763"/>
            <a:ext cx="7" cy="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26" name="Line 328"/>
          <xdr:cNvSpPr>
            <a:spLocks/>
          </xdr:cNvSpPr>
        </xdr:nvSpPr>
        <xdr:spPr>
          <a:xfrm>
            <a:off x="444" y="758"/>
            <a:ext cx="0" cy="1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27" name="Oval 329"/>
          <xdr:cNvSpPr>
            <a:spLocks/>
          </xdr:cNvSpPr>
        </xdr:nvSpPr>
        <xdr:spPr>
          <a:xfrm>
            <a:off x="347" y="763"/>
            <a:ext cx="7" cy="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28" name="Oval 330"/>
          <xdr:cNvSpPr>
            <a:spLocks/>
          </xdr:cNvSpPr>
        </xdr:nvSpPr>
        <xdr:spPr>
          <a:xfrm>
            <a:off x="441" y="763"/>
            <a:ext cx="7" cy="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29" name="Line 331"/>
          <xdr:cNvSpPr>
            <a:spLocks/>
          </xdr:cNvSpPr>
        </xdr:nvSpPr>
        <xdr:spPr>
          <a:xfrm>
            <a:off x="350" y="758"/>
            <a:ext cx="0" cy="1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30" name="Line 332"/>
          <xdr:cNvSpPr>
            <a:spLocks/>
          </xdr:cNvSpPr>
        </xdr:nvSpPr>
        <xdr:spPr>
          <a:xfrm>
            <a:off x="362" y="758"/>
            <a:ext cx="0" cy="1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31" name="Line 333"/>
          <xdr:cNvSpPr>
            <a:spLocks/>
          </xdr:cNvSpPr>
        </xdr:nvSpPr>
        <xdr:spPr>
          <a:xfrm>
            <a:off x="385" y="758"/>
            <a:ext cx="0" cy="1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32" name="Line 334"/>
          <xdr:cNvSpPr>
            <a:spLocks/>
          </xdr:cNvSpPr>
        </xdr:nvSpPr>
        <xdr:spPr>
          <a:xfrm>
            <a:off x="408" y="758"/>
            <a:ext cx="0" cy="1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33" name="Line 335"/>
          <xdr:cNvSpPr>
            <a:spLocks/>
          </xdr:cNvSpPr>
        </xdr:nvSpPr>
        <xdr:spPr>
          <a:xfrm>
            <a:off x="433" y="758"/>
            <a:ext cx="0" cy="1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34" name="Oval 336"/>
          <xdr:cNvSpPr>
            <a:spLocks/>
          </xdr:cNvSpPr>
        </xdr:nvSpPr>
        <xdr:spPr>
          <a:xfrm>
            <a:off x="382" y="763"/>
            <a:ext cx="7" cy="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35" name="Oval 337"/>
          <xdr:cNvSpPr>
            <a:spLocks/>
          </xdr:cNvSpPr>
        </xdr:nvSpPr>
        <xdr:spPr>
          <a:xfrm>
            <a:off x="358" y="763"/>
            <a:ext cx="7" cy="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36" name="Oval 338"/>
          <xdr:cNvSpPr>
            <a:spLocks/>
          </xdr:cNvSpPr>
        </xdr:nvSpPr>
        <xdr:spPr>
          <a:xfrm>
            <a:off x="417" y="763"/>
            <a:ext cx="7" cy="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37" name="Oval 339"/>
          <xdr:cNvSpPr>
            <a:spLocks/>
          </xdr:cNvSpPr>
        </xdr:nvSpPr>
        <xdr:spPr>
          <a:xfrm>
            <a:off x="405" y="763"/>
            <a:ext cx="7" cy="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38" name="Text 1716"/>
          <xdr:cNvSpPr txBox="1">
            <a:spLocks noChangeArrowheads="1"/>
          </xdr:cNvSpPr>
        </xdr:nvSpPr>
        <xdr:spPr>
          <a:xfrm>
            <a:off x="330" y="731"/>
            <a:ext cx="25" cy="32"/>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5.0</a:t>
            </a:r>
          </a:p>
        </xdr:txBody>
      </xdr:sp>
      <xdr:sp>
        <xdr:nvSpPr>
          <xdr:cNvPr id="339" name="Text 1717"/>
          <xdr:cNvSpPr txBox="1">
            <a:spLocks noChangeArrowheads="1"/>
          </xdr:cNvSpPr>
        </xdr:nvSpPr>
        <xdr:spPr>
          <a:xfrm>
            <a:off x="337" y="770"/>
            <a:ext cx="34" cy="32"/>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3.75</a:t>
            </a:r>
          </a:p>
        </xdr:txBody>
      </xdr:sp>
      <xdr:sp>
        <xdr:nvSpPr>
          <xdr:cNvPr id="340" name="Text 1718"/>
          <xdr:cNvSpPr txBox="1">
            <a:spLocks noChangeArrowheads="1"/>
          </xdr:cNvSpPr>
        </xdr:nvSpPr>
        <xdr:spPr>
          <a:xfrm>
            <a:off x="355" y="731"/>
            <a:ext cx="31" cy="32"/>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3.75</a:t>
            </a:r>
          </a:p>
        </xdr:txBody>
      </xdr:sp>
      <xdr:sp>
        <xdr:nvSpPr>
          <xdr:cNvPr id="341" name="Text 1719"/>
          <xdr:cNvSpPr txBox="1">
            <a:spLocks noChangeArrowheads="1"/>
          </xdr:cNvSpPr>
        </xdr:nvSpPr>
        <xdr:spPr>
          <a:xfrm>
            <a:off x="414" y="732"/>
            <a:ext cx="34" cy="32"/>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3.75</a:t>
            </a:r>
          </a:p>
        </xdr:txBody>
      </xdr:sp>
      <xdr:sp>
        <xdr:nvSpPr>
          <xdr:cNvPr id="342" name="Text 1720"/>
          <xdr:cNvSpPr txBox="1">
            <a:spLocks noChangeArrowheads="1"/>
          </xdr:cNvSpPr>
        </xdr:nvSpPr>
        <xdr:spPr>
          <a:xfrm>
            <a:off x="367" y="770"/>
            <a:ext cx="30" cy="32"/>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3.75</a:t>
            </a:r>
          </a:p>
        </xdr:txBody>
      </xdr:sp>
      <xdr:sp>
        <xdr:nvSpPr>
          <xdr:cNvPr id="343" name="Text 1722"/>
          <xdr:cNvSpPr txBox="1">
            <a:spLocks noChangeArrowheads="1"/>
          </xdr:cNvSpPr>
        </xdr:nvSpPr>
        <xdr:spPr>
          <a:xfrm>
            <a:off x="446" y="731"/>
            <a:ext cx="31" cy="32"/>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5.0</a:t>
            </a:r>
          </a:p>
        </xdr:txBody>
      </xdr:sp>
      <xdr:sp>
        <xdr:nvSpPr>
          <xdr:cNvPr id="344" name="Line 346"/>
          <xdr:cNvSpPr>
            <a:spLocks/>
          </xdr:cNvSpPr>
        </xdr:nvSpPr>
        <xdr:spPr>
          <a:xfrm>
            <a:off x="373" y="758"/>
            <a:ext cx="0" cy="1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45" name="Line 347"/>
          <xdr:cNvSpPr>
            <a:spLocks/>
          </xdr:cNvSpPr>
        </xdr:nvSpPr>
        <xdr:spPr>
          <a:xfrm>
            <a:off x="421" y="758"/>
            <a:ext cx="0" cy="1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46" name="Oval 348"/>
          <xdr:cNvSpPr>
            <a:spLocks/>
          </xdr:cNvSpPr>
        </xdr:nvSpPr>
        <xdr:spPr>
          <a:xfrm>
            <a:off x="370" y="763"/>
            <a:ext cx="7" cy="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47" name="Oval 349"/>
          <xdr:cNvSpPr>
            <a:spLocks/>
          </xdr:cNvSpPr>
        </xdr:nvSpPr>
        <xdr:spPr>
          <a:xfrm>
            <a:off x="430" y="763"/>
            <a:ext cx="7" cy="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48" name="Text 1822"/>
          <xdr:cNvSpPr txBox="1">
            <a:spLocks noChangeArrowheads="1"/>
          </xdr:cNvSpPr>
        </xdr:nvSpPr>
        <xdr:spPr>
          <a:xfrm>
            <a:off x="425" y="771"/>
            <a:ext cx="34" cy="32"/>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3.75</a:t>
            </a:r>
          </a:p>
        </xdr:txBody>
      </xdr:sp>
      <xdr:sp>
        <xdr:nvSpPr>
          <xdr:cNvPr id="349" name="Text 1823"/>
          <xdr:cNvSpPr txBox="1">
            <a:spLocks noChangeArrowheads="1"/>
          </xdr:cNvSpPr>
        </xdr:nvSpPr>
        <xdr:spPr>
          <a:xfrm>
            <a:off x="397" y="771"/>
            <a:ext cx="34" cy="32"/>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3.75</a:t>
            </a:r>
          </a:p>
        </xdr:txBody>
      </xdr:sp>
      <xdr:sp>
        <xdr:nvSpPr>
          <xdr:cNvPr id="350" name="Line 352"/>
          <xdr:cNvSpPr>
            <a:spLocks/>
          </xdr:cNvSpPr>
        </xdr:nvSpPr>
        <xdr:spPr>
          <a:xfrm>
            <a:off x="397" y="758"/>
            <a:ext cx="0" cy="1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51" name="Oval 353"/>
          <xdr:cNvSpPr>
            <a:spLocks/>
          </xdr:cNvSpPr>
        </xdr:nvSpPr>
        <xdr:spPr>
          <a:xfrm>
            <a:off x="394" y="763"/>
            <a:ext cx="7" cy="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52" name="Text 1822"/>
          <xdr:cNvSpPr txBox="1">
            <a:spLocks noChangeArrowheads="1"/>
          </xdr:cNvSpPr>
        </xdr:nvSpPr>
        <xdr:spPr>
          <a:xfrm>
            <a:off x="369" y="719"/>
            <a:ext cx="34" cy="32"/>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3.75</a:t>
            </a:r>
          </a:p>
        </xdr:txBody>
      </xdr:sp>
      <xdr:sp>
        <xdr:nvSpPr>
          <xdr:cNvPr id="353" name="Text 1822"/>
          <xdr:cNvSpPr txBox="1">
            <a:spLocks noChangeArrowheads="1"/>
          </xdr:cNvSpPr>
        </xdr:nvSpPr>
        <xdr:spPr>
          <a:xfrm>
            <a:off x="395" y="719"/>
            <a:ext cx="34" cy="32"/>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3.75</a:t>
            </a:r>
          </a:p>
        </xdr:txBody>
      </xdr:sp>
    </xdr:grpSp>
    <xdr:clientData/>
  </xdr:twoCellAnchor>
  <xdr:twoCellAnchor>
    <xdr:from>
      <xdr:col>8</xdr:col>
      <xdr:colOff>152400</xdr:colOff>
      <xdr:row>40</xdr:row>
      <xdr:rowOff>190500</xdr:rowOff>
    </xdr:from>
    <xdr:to>
      <xdr:col>10</xdr:col>
      <xdr:colOff>314325</xdr:colOff>
      <xdr:row>41</xdr:row>
      <xdr:rowOff>190500</xdr:rowOff>
    </xdr:to>
    <xdr:sp>
      <xdr:nvSpPr>
        <xdr:cNvPr id="354" name="TextBox 356"/>
        <xdr:cNvSpPr txBox="1">
          <a:spLocks noChangeArrowheads="1"/>
        </xdr:cNvSpPr>
      </xdr:nvSpPr>
      <xdr:spPr>
        <a:xfrm>
          <a:off x="1924050" y="7296150"/>
          <a:ext cx="828675" cy="266700"/>
        </a:xfrm>
        <a:prstGeom prst="rect">
          <a:avLst/>
        </a:prstGeom>
        <a:noFill/>
        <a:ln w="9525" cmpd="sng">
          <a:noFill/>
        </a:ln>
      </xdr:spPr>
      <xdr:txBody>
        <a:bodyPr vertOverflow="clip" wrap="square"/>
        <a:p>
          <a:pPr algn="l">
            <a:defRPr/>
          </a:pPr>
          <a:r>
            <a:rPr lang="en-US" cap="none" sz="1400" b="1" i="0" u="none" baseline="0">
              <a:latin typeface="AngsanaUPC"/>
              <a:ea typeface="AngsanaUPC"/>
              <a:cs typeface="AngsanaUPC"/>
            </a:rPr>
            <a:t>FORE  DAM</a:t>
          </a:r>
        </a:p>
      </xdr:txBody>
    </xdr:sp>
    <xdr:clientData/>
  </xdr:twoCellAnchor>
  <xdr:twoCellAnchor>
    <xdr:from>
      <xdr:col>8</xdr:col>
      <xdr:colOff>161925</xdr:colOff>
      <xdr:row>28</xdr:row>
      <xdr:rowOff>171450</xdr:rowOff>
    </xdr:from>
    <xdr:to>
      <xdr:col>10</xdr:col>
      <xdr:colOff>219075</xdr:colOff>
      <xdr:row>29</xdr:row>
      <xdr:rowOff>171450</xdr:rowOff>
    </xdr:to>
    <xdr:sp>
      <xdr:nvSpPr>
        <xdr:cNvPr id="355" name="TextBox 357"/>
        <xdr:cNvSpPr txBox="1">
          <a:spLocks noChangeArrowheads="1"/>
        </xdr:cNvSpPr>
      </xdr:nvSpPr>
      <xdr:spPr>
        <a:xfrm>
          <a:off x="1933575" y="4905375"/>
          <a:ext cx="723900" cy="266700"/>
        </a:xfrm>
        <a:prstGeom prst="rect">
          <a:avLst/>
        </a:prstGeom>
        <a:noFill/>
        <a:ln w="9525" cmpd="sng">
          <a:noFill/>
        </a:ln>
      </xdr:spPr>
      <xdr:txBody>
        <a:bodyPr vertOverflow="clip" wrap="square"/>
        <a:p>
          <a:pPr algn="l">
            <a:defRPr/>
          </a:pPr>
          <a:r>
            <a:rPr lang="en-US" cap="none" sz="1400" b="1" i="0" u="none" baseline="0">
              <a:latin typeface="AngsanaUPC"/>
              <a:ea typeface="AngsanaUPC"/>
              <a:cs typeface="AngsanaUPC"/>
            </a:rPr>
            <a:t>BACK DAM</a:t>
          </a:r>
        </a:p>
      </xdr:txBody>
    </xdr:sp>
    <xdr:clientData/>
  </xdr:twoCellAnchor>
  <xdr:twoCellAnchor>
    <xdr:from>
      <xdr:col>11</xdr:col>
      <xdr:colOff>323850</xdr:colOff>
      <xdr:row>36</xdr:row>
      <xdr:rowOff>95250</xdr:rowOff>
    </xdr:from>
    <xdr:to>
      <xdr:col>12</xdr:col>
      <xdr:colOff>285750</xdr:colOff>
      <xdr:row>38</xdr:row>
      <xdr:rowOff>57150</xdr:rowOff>
    </xdr:to>
    <xdr:sp>
      <xdr:nvSpPr>
        <xdr:cNvPr id="356" name="Text 1723"/>
        <xdr:cNvSpPr txBox="1">
          <a:spLocks noChangeArrowheads="1"/>
        </xdr:cNvSpPr>
      </xdr:nvSpPr>
      <xdr:spPr>
        <a:xfrm>
          <a:off x="3095625" y="6324600"/>
          <a:ext cx="295275" cy="304800"/>
        </a:xfrm>
        <a:prstGeom prst="rect">
          <a:avLst/>
        </a:prstGeom>
        <a:noFill/>
        <a:ln w="1" cmpd="sng">
          <a:noFill/>
        </a:ln>
      </xdr:spPr>
      <xdr:txBody>
        <a:bodyPr vertOverflow="clip" wrap="square"/>
        <a:p>
          <a:pPr algn="l">
            <a:defRPr/>
          </a:pPr>
          <a:r>
            <a:rPr lang="en-US" cap="none" sz="1600" b="0" i="0" u="none" baseline="0">
              <a:latin typeface="AngsanaUPC"/>
              <a:ea typeface="AngsanaUPC"/>
              <a:cs typeface="AngsanaUPC"/>
            </a:rPr>
            <a:t>4.0</a:t>
          </a:r>
        </a:p>
      </xdr:txBody>
    </xdr:sp>
    <xdr:clientData/>
  </xdr:twoCellAnchor>
  <xdr:twoCellAnchor>
    <xdr:from>
      <xdr:col>11</xdr:col>
      <xdr:colOff>161925</xdr:colOff>
      <xdr:row>36</xdr:row>
      <xdr:rowOff>76200</xdr:rowOff>
    </xdr:from>
    <xdr:to>
      <xdr:col>11</xdr:col>
      <xdr:colOff>304800</xdr:colOff>
      <xdr:row>38</xdr:row>
      <xdr:rowOff>85725</xdr:rowOff>
    </xdr:to>
    <xdr:grpSp>
      <xdr:nvGrpSpPr>
        <xdr:cNvPr id="357" name="Group 359"/>
        <xdr:cNvGrpSpPr>
          <a:grpSpLocks/>
        </xdr:cNvGrpSpPr>
      </xdr:nvGrpSpPr>
      <xdr:grpSpPr>
        <a:xfrm>
          <a:off x="2933700" y="6305550"/>
          <a:ext cx="142875" cy="352425"/>
          <a:chOff x="344" y="698"/>
          <a:chExt cx="15" cy="37"/>
        </a:xfrm>
        <a:solidFill>
          <a:srgbClr val="FFFFFF"/>
        </a:solidFill>
      </xdr:grpSpPr>
      <xdr:sp>
        <xdr:nvSpPr>
          <xdr:cNvPr id="358" name="Line 360"/>
          <xdr:cNvSpPr>
            <a:spLocks/>
          </xdr:cNvSpPr>
        </xdr:nvSpPr>
        <xdr:spPr>
          <a:xfrm>
            <a:off x="351" y="698"/>
            <a:ext cx="0" cy="3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59" name="Line 361"/>
          <xdr:cNvSpPr>
            <a:spLocks/>
          </xdr:cNvSpPr>
        </xdr:nvSpPr>
        <xdr:spPr>
          <a:xfrm>
            <a:off x="344" y="709"/>
            <a:ext cx="1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60" name="Line 362"/>
          <xdr:cNvSpPr>
            <a:spLocks/>
          </xdr:cNvSpPr>
        </xdr:nvSpPr>
        <xdr:spPr>
          <a:xfrm>
            <a:off x="344" y="726"/>
            <a:ext cx="1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61" name="Oval 363"/>
          <xdr:cNvSpPr>
            <a:spLocks/>
          </xdr:cNvSpPr>
        </xdr:nvSpPr>
        <xdr:spPr>
          <a:xfrm>
            <a:off x="348" y="706"/>
            <a:ext cx="7" cy="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362" name="Oval 364"/>
          <xdr:cNvSpPr>
            <a:spLocks/>
          </xdr:cNvSpPr>
        </xdr:nvSpPr>
        <xdr:spPr>
          <a:xfrm>
            <a:off x="348" y="723"/>
            <a:ext cx="7" cy="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clientData/>
  </xdr:twoCellAnchor>
  <xdr:twoCellAnchor>
    <xdr:from>
      <xdr:col>18</xdr:col>
      <xdr:colOff>381000</xdr:colOff>
      <xdr:row>4</xdr:row>
      <xdr:rowOff>180975</xdr:rowOff>
    </xdr:from>
    <xdr:to>
      <xdr:col>18</xdr:col>
      <xdr:colOff>381000</xdr:colOff>
      <xdr:row>5</xdr:row>
      <xdr:rowOff>114300</xdr:rowOff>
    </xdr:to>
    <xdr:sp>
      <xdr:nvSpPr>
        <xdr:cNvPr id="363" name="Line 365"/>
        <xdr:cNvSpPr>
          <a:spLocks/>
        </xdr:cNvSpPr>
      </xdr:nvSpPr>
      <xdr:spPr>
        <a:xfrm>
          <a:off x="5076825" y="1381125"/>
          <a:ext cx="0" cy="200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18</xdr:col>
      <xdr:colOff>352425</xdr:colOff>
      <xdr:row>4</xdr:row>
      <xdr:rowOff>238125</xdr:rowOff>
    </xdr:from>
    <xdr:to>
      <xdr:col>18</xdr:col>
      <xdr:colOff>419100</xdr:colOff>
      <xdr:row>5</xdr:row>
      <xdr:rowOff>38100</xdr:rowOff>
    </xdr:to>
    <xdr:sp>
      <xdr:nvSpPr>
        <xdr:cNvPr id="364" name="Oval 366"/>
        <xdr:cNvSpPr>
          <a:spLocks/>
        </xdr:cNvSpPr>
      </xdr:nvSpPr>
      <xdr:spPr>
        <a:xfrm>
          <a:off x="5048250" y="1438275"/>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34</xdr:col>
      <xdr:colOff>114300</xdr:colOff>
      <xdr:row>7</xdr:row>
      <xdr:rowOff>85725</xdr:rowOff>
    </xdr:from>
    <xdr:to>
      <xdr:col>34</xdr:col>
      <xdr:colOff>114300</xdr:colOff>
      <xdr:row>19</xdr:row>
      <xdr:rowOff>9525</xdr:rowOff>
    </xdr:to>
    <xdr:sp>
      <xdr:nvSpPr>
        <xdr:cNvPr id="365" name="Line 367"/>
        <xdr:cNvSpPr>
          <a:spLocks/>
        </xdr:cNvSpPr>
      </xdr:nvSpPr>
      <xdr:spPr>
        <a:xfrm>
          <a:off x="10772775" y="2152650"/>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35</xdr:col>
      <xdr:colOff>200025</xdr:colOff>
      <xdr:row>7</xdr:row>
      <xdr:rowOff>85725</xdr:rowOff>
    </xdr:from>
    <xdr:to>
      <xdr:col>35</xdr:col>
      <xdr:colOff>200025</xdr:colOff>
      <xdr:row>19</xdr:row>
      <xdr:rowOff>9525</xdr:rowOff>
    </xdr:to>
    <xdr:sp>
      <xdr:nvSpPr>
        <xdr:cNvPr id="366" name="Line 368"/>
        <xdr:cNvSpPr>
          <a:spLocks/>
        </xdr:cNvSpPr>
      </xdr:nvSpPr>
      <xdr:spPr>
        <a:xfrm>
          <a:off x="11191875" y="2152650"/>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40</xdr:col>
      <xdr:colOff>19050</xdr:colOff>
      <xdr:row>8</xdr:row>
      <xdr:rowOff>0</xdr:rowOff>
    </xdr:from>
    <xdr:to>
      <xdr:col>40</xdr:col>
      <xdr:colOff>19050</xdr:colOff>
      <xdr:row>19</xdr:row>
      <xdr:rowOff>19050</xdr:rowOff>
    </xdr:to>
    <xdr:sp>
      <xdr:nvSpPr>
        <xdr:cNvPr id="367" name="Line 369"/>
        <xdr:cNvSpPr>
          <a:spLocks/>
        </xdr:cNvSpPr>
      </xdr:nvSpPr>
      <xdr:spPr>
        <a:xfrm>
          <a:off x="12249150" y="2162175"/>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36</xdr:col>
      <xdr:colOff>0</xdr:colOff>
      <xdr:row>7</xdr:row>
      <xdr:rowOff>85725</xdr:rowOff>
    </xdr:from>
    <xdr:to>
      <xdr:col>36</xdr:col>
      <xdr:colOff>0</xdr:colOff>
      <xdr:row>19</xdr:row>
      <xdr:rowOff>19050</xdr:rowOff>
    </xdr:to>
    <xdr:sp>
      <xdr:nvSpPr>
        <xdr:cNvPr id="368" name="Line 370"/>
        <xdr:cNvSpPr>
          <a:spLocks/>
        </xdr:cNvSpPr>
      </xdr:nvSpPr>
      <xdr:spPr>
        <a:xfrm>
          <a:off x="11325225" y="2152650"/>
          <a:ext cx="0" cy="6477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39</xdr:col>
      <xdr:colOff>57150</xdr:colOff>
      <xdr:row>7</xdr:row>
      <xdr:rowOff>85725</xdr:rowOff>
    </xdr:from>
    <xdr:to>
      <xdr:col>39</xdr:col>
      <xdr:colOff>57150</xdr:colOff>
      <xdr:row>19</xdr:row>
      <xdr:rowOff>19050</xdr:rowOff>
    </xdr:to>
    <xdr:sp>
      <xdr:nvSpPr>
        <xdr:cNvPr id="369" name="Line 371"/>
        <xdr:cNvSpPr>
          <a:spLocks/>
        </xdr:cNvSpPr>
      </xdr:nvSpPr>
      <xdr:spPr>
        <a:xfrm>
          <a:off x="12096750" y="2152650"/>
          <a:ext cx="0" cy="6477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36</xdr:col>
      <xdr:colOff>133350</xdr:colOff>
      <xdr:row>7</xdr:row>
      <xdr:rowOff>85725</xdr:rowOff>
    </xdr:from>
    <xdr:to>
      <xdr:col>36</xdr:col>
      <xdr:colOff>133350</xdr:colOff>
      <xdr:row>19</xdr:row>
      <xdr:rowOff>19050</xdr:rowOff>
    </xdr:to>
    <xdr:sp>
      <xdr:nvSpPr>
        <xdr:cNvPr id="370" name="Line 372"/>
        <xdr:cNvSpPr>
          <a:spLocks/>
        </xdr:cNvSpPr>
      </xdr:nvSpPr>
      <xdr:spPr>
        <a:xfrm>
          <a:off x="11458575" y="2152650"/>
          <a:ext cx="0" cy="6477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33</xdr:col>
      <xdr:colOff>38100</xdr:colOff>
      <xdr:row>8</xdr:row>
      <xdr:rowOff>0</xdr:rowOff>
    </xdr:from>
    <xdr:to>
      <xdr:col>33</xdr:col>
      <xdr:colOff>38100</xdr:colOff>
      <xdr:row>19</xdr:row>
      <xdr:rowOff>19050</xdr:rowOff>
    </xdr:to>
    <xdr:sp>
      <xdr:nvSpPr>
        <xdr:cNvPr id="371" name="Line 373"/>
        <xdr:cNvSpPr>
          <a:spLocks/>
        </xdr:cNvSpPr>
      </xdr:nvSpPr>
      <xdr:spPr>
        <a:xfrm>
          <a:off x="10363200" y="2162175"/>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32</xdr:col>
      <xdr:colOff>0</xdr:colOff>
      <xdr:row>7</xdr:row>
      <xdr:rowOff>85725</xdr:rowOff>
    </xdr:from>
    <xdr:to>
      <xdr:col>32</xdr:col>
      <xdr:colOff>0</xdr:colOff>
      <xdr:row>19</xdr:row>
      <xdr:rowOff>9525</xdr:rowOff>
    </xdr:to>
    <xdr:sp>
      <xdr:nvSpPr>
        <xdr:cNvPr id="372" name="Line 374"/>
        <xdr:cNvSpPr>
          <a:spLocks/>
        </xdr:cNvSpPr>
      </xdr:nvSpPr>
      <xdr:spPr>
        <a:xfrm>
          <a:off x="9991725" y="2152650"/>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40</xdr:col>
      <xdr:colOff>104775</xdr:colOff>
      <xdr:row>7</xdr:row>
      <xdr:rowOff>85725</xdr:rowOff>
    </xdr:from>
    <xdr:to>
      <xdr:col>40</xdr:col>
      <xdr:colOff>104775</xdr:colOff>
      <xdr:row>19</xdr:row>
      <xdr:rowOff>9525</xdr:rowOff>
    </xdr:to>
    <xdr:sp>
      <xdr:nvSpPr>
        <xdr:cNvPr id="373" name="Line 375"/>
        <xdr:cNvSpPr>
          <a:spLocks/>
        </xdr:cNvSpPr>
      </xdr:nvSpPr>
      <xdr:spPr>
        <a:xfrm>
          <a:off x="12334875" y="2152650"/>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38</xdr:col>
      <xdr:colOff>38100</xdr:colOff>
      <xdr:row>7</xdr:row>
      <xdr:rowOff>85725</xdr:rowOff>
    </xdr:from>
    <xdr:to>
      <xdr:col>38</xdr:col>
      <xdr:colOff>38100</xdr:colOff>
      <xdr:row>19</xdr:row>
      <xdr:rowOff>19050</xdr:rowOff>
    </xdr:to>
    <xdr:sp>
      <xdr:nvSpPr>
        <xdr:cNvPr id="374" name="Line 376"/>
        <xdr:cNvSpPr>
          <a:spLocks/>
        </xdr:cNvSpPr>
      </xdr:nvSpPr>
      <xdr:spPr>
        <a:xfrm>
          <a:off x="11887200" y="2152650"/>
          <a:ext cx="0" cy="6477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35</xdr:col>
      <xdr:colOff>57150</xdr:colOff>
      <xdr:row>7</xdr:row>
      <xdr:rowOff>85725</xdr:rowOff>
    </xdr:from>
    <xdr:to>
      <xdr:col>35</xdr:col>
      <xdr:colOff>57150</xdr:colOff>
      <xdr:row>19</xdr:row>
      <xdr:rowOff>19050</xdr:rowOff>
    </xdr:to>
    <xdr:sp>
      <xdr:nvSpPr>
        <xdr:cNvPr id="375" name="Line 377"/>
        <xdr:cNvSpPr>
          <a:spLocks/>
        </xdr:cNvSpPr>
      </xdr:nvSpPr>
      <xdr:spPr>
        <a:xfrm>
          <a:off x="11049000" y="2152650"/>
          <a:ext cx="0" cy="6477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33</xdr:col>
      <xdr:colOff>161925</xdr:colOff>
      <xdr:row>7</xdr:row>
      <xdr:rowOff>85725</xdr:rowOff>
    </xdr:from>
    <xdr:to>
      <xdr:col>33</xdr:col>
      <xdr:colOff>161925</xdr:colOff>
      <xdr:row>19</xdr:row>
      <xdr:rowOff>19050</xdr:rowOff>
    </xdr:to>
    <xdr:sp>
      <xdr:nvSpPr>
        <xdr:cNvPr id="376" name="Line 378"/>
        <xdr:cNvSpPr>
          <a:spLocks/>
        </xdr:cNvSpPr>
      </xdr:nvSpPr>
      <xdr:spPr>
        <a:xfrm>
          <a:off x="10487025" y="2152650"/>
          <a:ext cx="0" cy="6477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32</xdr:col>
      <xdr:colOff>247650</xdr:colOff>
      <xdr:row>7</xdr:row>
      <xdr:rowOff>85725</xdr:rowOff>
    </xdr:from>
    <xdr:to>
      <xdr:col>32</xdr:col>
      <xdr:colOff>247650</xdr:colOff>
      <xdr:row>19</xdr:row>
      <xdr:rowOff>19050</xdr:rowOff>
    </xdr:to>
    <xdr:sp>
      <xdr:nvSpPr>
        <xdr:cNvPr id="377" name="Line 379"/>
        <xdr:cNvSpPr>
          <a:spLocks/>
        </xdr:cNvSpPr>
      </xdr:nvSpPr>
      <xdr:spPr>
        <a:xfrm>
          <a:off x="10239375" y="2152650"/>
          <a:ext cx="0" cy="6477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37</xdr:col>
      <xdr:colOff>95250</xdr:colOff>
      <xdr:row>7</xdr:row>
      <xdr:rowOff>85725</xdr:rowOff>
    </xdr:from>
    <xdr:to>
      <xdr:col>37</xdr:col>
      <xdr:colOff>95250</xdr:colOff>
      <xdr:row>19</xdr:row>
      <xdr:rowOff>19050</xdr:rowOff>
    </xdr:to>
    <xdr:sp>
      <xdr:nvSpPr>
        <xdr:cNvPr id="378" name="Line 380"/>
        <xdr:cNvSpPr>
          <a:spLocks/>
        </xdr:cNvSpPr>
      </xdr:nvSpPr>
      <xdr:spPr>
        <a:xfrm>
          <a:off x="11753850" y="2152650"/>
          <a:ext cx="0" cy="6477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36</xdr:col>
      <xdr:colOff>266700</xdr:colOff>
      <xdr:row>7</xdr:row>
      <xdr:rowOff>85725</xdr:rowOff>
    </xdr:from>
    <xdr:to>
      <xdr:col>36</xdr:col>
      <xdr:colOff>266700</xdr:colOff>
      <xdr:row>19</xdr:row>
      <xdr:rowOff>19050</xdr:rowOff>
    </xdr:to>
    <xdr:sp>
      <xdr:nvSpPr>
        <xdr:cNvPr id="379" name="Line 381"/>
        <xdr:cNvSpPr>
          <a:spLocks/>
        </xdr:cNvSpPr>
      </xdr:nvSpPr>
      <xdr:spPr>
        <a:xfrm>
          <a:off x="11591925" y="2152650"/>
          <a:ext cx="0" cy="6477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38</xdr:col>
      <xdr:colOff>161925</xdr:colOff>
      <xdr:row>7</xdr:row>
      <xdr:rowOff>85725</xdr:rowOff>
    </xdr:from>
    <xdr:to>
      <xdr:col>38</xdr:col>
      <xdr:colOff>161925</xdr:colOff>
      <xdr:row>19</xdr:row>
      <xdr:rowOff>19050</xdr:rowOff>
    </xdr:to>
    <xdr:sp>
      <xdr:nvSpPr>
        <xdr:cNvPr id="380" name="Line 382"/>
        <xdr:cNvSpPr>
          <a:spLocks/>
        </xdr:cNvSpPr>
      </xdr:nvSpPr>
      <xdr:spPr>
        <a:xfrm>
          <a:off x="12011025" y="2152650"/>
          <a:ext cx="0" cy="6477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39</xdr:col>
      <xdr:colOff>133350</xdr:colOff>
      <xdr:row>7</xdr:row>
      <xdr:rowOff>85725</xdr:rowOff>
    </xdr:from>
    <xdr:to>
      <xdr:col>39</xdr:col>
      <xdr:colOff>133350</xdr:colOff>
      <xdr:row>19</xdr:row>
      <xdr:rowOff>19050</xdr:rowOff>
    </xdr:to>
    <xdr:sp>
      <xdr:nvSpPr>
        <xdr:cNvPr id="381" name="Line 383"/>
        <xdr:cNvSpPr>
          <a:spLocks/>
        </xdr:cNvSpPr>
      </xdr:nvSpPr>
      <xdr:spPr>
        <a:xfrm>
          <a:off x="12172950" y="2152650"/>
          <a:ext cx="0" cy="6477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32</xdr:col>
      <xdr:colOff>123825</xdr:colOff>
      <xdr:row>7</xdr:row>
      <xdr:rowOff>85725</xdr:rowOff>
    </xdr:from>
    <xdr:to>
      <xdr:col>32</xdr:col>
      <xdr:colOff>123825</xdr:colOff>
      <xdr:row>19</xdr:row>
      <xdr:rowOff>9525</xdr:rowOff>
    </xdr:to>
    <xdr:sp>
      <xdr:nvSpPr>
        <xdr:cNvPr id="382" name="Line 384"/>
        <xdr:cNvSpPr>
          <a:spLocks/>
        </xdr:cNvSpPr>
      </xdr:nvSpPr>
      <xdr:spPr>
        <a:xfrm>
          <a:off x="10115550" y="2152650"/>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33</xdr:col>
      <xdr:colOff>304800</xdr:colOff>
      <xdr:row>7</xdr:row>
      <xdr:rowOff>85725</xdr:rowOff>
    </xdr:from>
    <xdr:to>
      <xdr:col>33</xdr:col>
      <xdr:colOff>304800</xdr:colOff>
      <xdr:row>19</xdr:row>
      <xdr:rowOff>9525</xdr:rowOff>
    </xdr:to>
    <xdr:sp>
      <xdr:nvSpPr>
        <xdr:cNvPr id="383" name="Line 385"/>
        <xdr:cNvSpPr>
          <a:spLocks/>
        </xdr:cNvSpPr>
      </xdr:nvSpPr>
      <xdr:spPr>
        <a:xfrm>
          <a:off x="10629900" y="2152650"/>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34</xdr:col>
      <xdr:colOff>257175</xdr:colOff>
      <xdr:row>7</xdr:row>
      <xdr:rowOff>85725</xdr:rowOff>
    </xdr:from>
    <xdr:to>
      <xdr:col>34</xdr:col>
      <xdr:colOff>257175</xdr:colOff>
      <xdr:row>19</xdr:row>
      <xdr:rowOff>9525</xdr:rowOff>
    </xdr:to>
    <xdr:sp>
      <xdr:nvSpPr>
        <xdr:cNvPr id="384" name="Line 386"/>
        <xdr:cNvSpPr>
          <a:spLocks/>
        </xdr:cNvSpPr>
      </xdr:nvSpPr>
      <xdr:spPr>
        <a:xfrm>
          <a:off x="10915650" y="2152650"/>
          <a:ext cx="0" cy="63817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30</xdr:col>
      <xdr:colOff>0</xdr:colOff>
      <xdr:row>7</xdr:row>
      <xdr:rowOff>0</xdr:rowOff>
    </xdr:from>
    <xdr:to>
      <xdr:col>42</xdr:col>
      <xdr:colOff>104775</xdr:colOff>
      <xdr:row>7</xdr:row>
      <xdr:rowOff>0</xdr:rowOff>
    </xdr:to>
    <xdr:sp>
      <xdr:nvSpPr>
        <xdr:cNvPr id="385" name="Line 387"/>
        <xdr:cNvSpPr>
          <a:spLocks/>
        </xdr:cNvSpPr>
      </xdr:nvSpPr>
      <xdr:spPr>
        <a:xfrm>
          <a:off x="9696450" y="2066925"/>
          <a:ext cx="30194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30</xdr:col>
      <xdr:colOff>0</xdr:colOff>
      <xdr:row>8</xdr:row>
      <xdr:rowOff>0</xdr:rowOff>
    </xdr:from>
    <xdr:to>
      <xdr:col>41</xdr:col>
      <xdr:colOff>0</xdr:colOff>
      <xdr:row>8</xdr:row>
      <xdr:rowOff>0</xdr:rowOff>
    </xdr:to>
    <xdr:sp>
      <xdr:nvSpPr>
        <xdr:cNvPr id="386" name="Line 388"/>
        <xdr:cNvSpPr>
          <a:spLocks/>
        </xdr:cNvSpPr>
      </xdr:nvSpPr>
      <xdr:spPr>
        <a:xfrm>
          <a:off x="9696450" y="2162175"/>
          <a:ext cx="27241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30</xdr:col>
      <xdr:colOff>9525</xdr:colOff>
      <xdr:row>11</xdr:row>
      <xdr:rowOff>0</xdr:rowOff>
    </xdr:from>
    <xdr:to>
      <xdr:col>41</xdr:col>
      <xdr:colOff>9525</xdr:colOff>
      <xdr:row>11</xdr:row>
      <xdr:rowOff>0</xdr:rowOff>
    </xdr:to>
    <xdr:sp>
      <xdr:nvSpPr>
        <xdr:cNvPr id="387" name="Line 389"/>
        <xdr:cNvSpPr>
          <a:spLocks/>
        </xdr:cNvSpPr>
      </xdr:nvSpPr>
      <xdr:spPr>
        <a:xfrm>
          <a:off x="9705975" y="2247900"/>
          <a:ext cx="27241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30</xdr:col>
      <xdr:colOff>9525</xdr:colOff>
      <xdr:row>19</xdr:row>
      <xdr:rowOff>0</xdr:rowOff>
    </xdr:from>
    <xdr:to>
      <xdr:col>41</xdr:col>
      <xdr:colOff>0</xdr:colOff>
      <xdr:row>19</xdr:row>
      <xdr:rowOff>0</xdr:rowOff>
    </xdr:to>
    <xdr:sp>
      <xdr:nvSpPr>
        <xdr:cNvPr id="388" name="Line 390"/>
        <xdr:cNvSpPr>
          <a:spLocks/>
        </xdr:cNvSpPr>
      </xdr:nvSpPr>
      <xdr:spPr>
        <a:xfrm>
          <a:off x="9705975" y="2781300"/>
          <a:ext cx="2714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30</xdr:col>
      <xdr:colOff>0</xdr:colOff>
      <xdr:row>12</xdr:row>
      <xdr:rowOff>0</xdr:rowOff>
    </xdr:from>
    <xdr:to>
      <xdr:col>43</xdr:col>
      <xdr:colOff>0</xdr:colOff>
      <xdr:row>12</xdr:row>
      <xdr:rowOff>0</xdr:rowOff>
    </xdr:to>
    <xdr:sp>
      <xdr:nvSpPr>
        <xdr:cNvPr id="389" name="Line 391"/>
        <xdr:cNvSpPr>
          <a:spLocks/>
        </xdr:cNvSpPr>
      </xdr:nvSpPr>
      <xdr:spPr>
        <a:xfrm>
          <a:off x="9696450" y="2305050"/>
          <a:ext cx="30289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30</xdr:col>
      <xdr:colOff>9525</xdr:colOff>
      <xdr:row>20</xdr:row>
      <xdr:rowOff>0</xdr:rowOff>
    </xdr:from>
    <xdr:to>
      <xdr:col>43</xdr:col>
      <xdr:colOff>0</xdr:colOff>
      <xdr:row>20</xdr:row>
      <xdr:rowOff>0</xdr:rowOff>
    </xdr:to>
    <xdr:sp>
      <xdr:nvSpPr>
        <xdr:cNvPr id="390" name="Line 392"/>
        <xdr:cNvSpPr>
          <a:spLocks/>
        </xdr:cNvSpPr>
      </xdr:nvSpPr>
      <xdr:spPr>
        <a:xfrm>
          <a:off x="9705975" y="2867025"/>
          <a:ext cx="30194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30</xdr:col>
      <xdr:colOff>9525</xdr:colOff>
      <xdr:row>16</xdr:row>
      <xdr:rowOff>0</xdr:rowOff>
    </xdr:from>
    <xdr:to>
      <xdr:col>41</xdr:col>
      <xdr:colOff>9525</xdr:colOff>
      <xdr:row>16</xdr:row>
      <xdr:rowOff>0</xdr:rowOff>
    </xdr:to>
    <xdr:sp>
      <xdr:nvSpPr>
        <xdr:cNvPr id="391" name="Line 393"/>
        <xdr:cNvSpPr>
          <a:spLocks/>
        </xdr:cNvSpPr>
      </xdr:nvSpPr>
      <xdr:spPr>
        <a:xfrm>
          <a:off x="9705975" y="2686050"/>
          <a:ext cx="27241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30</xdr:col>
      <xdr:colOff>0</xdr:colOff>
      <xdr:row>15</xdr:row>
      <xdr:rowOff>0</xdr:rowOff>
    </xdr:from>
    <xdr:to>
      <xdr:col>43</xdr:col>
      <xdr:colOff>0</xdr:colOff>
      <xdr:row>15</xdr:row>
      <xdr:rowOff>0</xdr:rowOff>
    </xdr:to>
    <xdr:sp>
      <xdr:nvSpPr>
        <xdr:cNvPr id="392" name="Line 394"/>
        <xdr:cNvSpPr>
          <a:spLocks/>
        </xdr:cNvSpPr>
      </xdr:nvSpPr>
      <xdr:spPr>
        <a:xfrm>
          <a:off x="9696450" y="2628900"/>
          <a:ext cx="30289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41</xdr:col>
      <xdr:colOff>0</xdr:colOff>
      <xdr:row>7</xdr:row>
      <xdr:rowOff>0</xdr:rowOff>
    </xdr:from>
    <xdr:to>
      <xdr:col>41</xdr:col>
      <xdr:colOff>0</xdr:colOff>
      <xdr:row>11</xdr:row>
      <xdr:rowOff>0</xdr:rowOff>
    </xdr:to>
    <xdr:sp>
      <xdr:nvSpPr>
        <xdr:cNvPr id="393" name="Line 395"/>
        <xdr:cNvSpPr>
          <a:spLocks/>
        </xdr:cNvSpPr>
      </xdr:nvSpPr>
      <xdr:spPr>
        <a:xfrm>
          <a:off x="12420600" y="2066925"/>
          <a:ext cx="0" cy="1809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41</xdr:col>
      <xdr:colOff>9525</xdr:colOff>
      <xdr:row>11</xdr:row>
      <xdr:rowOff>0</xdr:rowOff>
    </xdr:from>
    <xdr:to>
      <xdr:col>43</xdr:col>
      <xdr:colOff>0</xdr:colOff>
      <xdr:row>12</xdr:row>
      <xdr:rowOff>0</xdr:rowOff>
    </xdr:to>
    <xdr:sp>
      <xdr:nvSpPr>
        <xdr:cNvPr id="394" name="Line 396"/>
        <xdr:cNvSpPr>
          <a:spLocks/>
        </xdr:cNvSpPr>
      </xdr:nvSpPr>
      <xdr:spPr>
        <a:xfrm>
          <a:off x="12430125" y="2247900"/>
          <a:ext cx="295275" cy="57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41</xdr:col>
      <xdr:colOff>0</xdr:colOff>
      <xdr:row>16</xdr:row>
      <xdr:rowOff>0</xdr:rowOff>
    </xdr:from>
    <xdr:to>
      <xdr:col>41</xdr:col>
      <xdr:colOff>0</xdr:colOff>
      <xdr:row>20</xdr:row>
      <xdr:rowOff>0</xdr:rowOff>
    </xdr:to>
    <xdr:sp>
      <xdr:nvSpPr>
        <xdr:cNvPr id="395" name="Line 397"/>
        <xdr:cNvSpPr>
          <a:spLocks/>
        </xdr:cNvSpPr>
      </xdr:nvSpPr>
      <xdr:spPr>
        <a:xfrm>
          <a:off x="12420600" y="2686050"/>
          <a:ext cx="0" cy="1809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41</xdr:col>
      <xdr:colOff>0</xdr:colOff>
      <xdr:row>15</xdr:row>
      <xdr:rowOff>0</xdr:rowOff>
    </xdr:from>
    <xdr:to>
      <xdr:col>43</xdr:col>
      <xdr:colOff>0</xdr:colOff>
      <xdr:row>16</xdr:row>
      <xdr:rowOff>9525</xdr:rowOff>
    </xdr:to>
    <xdr:sp>
      <xdr:nvSpPr>
        <xdr:cNvPr id="396" name="Line 398"/>
        <xdr:cNvSpPr>
          <a:spLocks/>
        </xdr:cNvSpPr>
      </xdr:nvSpPr>
      <xdr:spPr>
        <a:xfrm flipV="1">
          <a:off x="12420600" y="2628900"/>
          <a:ext cx="304800" cy="66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43</xdr:col>
      <xdr:colOff>0</xdr:colOff>
      <xdr:row>7</xdr:row>
      <xdr:rowOff>0</xdr:rowOff>
    </xdr:from>
    <xdr:to>
      <xdr:col>43</xdr:col>
      <xdr:colOff>0</xdr:colOff>
      <xdr:row>20</xdr:row>
      <xdr:rowOff>0</xdr:rowOff>
    </xdr:to>
    <xdr:sp>
      <xdr:nvSpPr>
        <xdr:cNvPr id="397" name="Line 399"/>
        <xdr:cNvSpPr>
          <a:spLocks/>
        </xdr:cNvSpPr>
      </xdr:nvSpPr>
      <xdr:spPr>
        <a:xfrm>
          <a:off x="12725400" y="2066925"/>
          <a:ext cx="0" cy="8001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47</xdr:col>
      <xdr:colOff>9525</xdr:colOff>
      <xdr:row>6</xdr:row>
      <xdr:rowOff>180975</xdr:rowOff>
    </xdr:from>
    <xdr:to>
      <xdr:col>52</xdr:col>
      <xdr:colOff>219075</xdr:colOff>
      <xdr:row>6</xdr:row>
      <xdr:rowOff>180975</xdr:rowOff>
    </xdr:to>
    <xdr:sp>
      <xdr:nvSpPr>
        <xdr:cNvPr id="398" name="Line 400"/>
        <xdr:cNvSpPr>
          <a:spLocks/>
        </xdr:cNvSpPr>
      </xdr:nvSpPr>
      <xdr:spPr>
        <a:xfrm>
          <a:off x="13696950" y="1924050"/>
          <a:ext cx="272415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47</xdr:col>
      <xdr:colOff>0</xdr:colOff>
      <xdr:row>6</xdr:row>
      <xdr:rowOff>238125</xdr:rowOff>
    </xdr:from>
    <xdr:to>
      <xdr:col>52</xdr:col>
      <xdr:colOff>514350</xdr:colOff>
      <xdr:row>6</xdr:row>
      <xdr:rowOff>238125</xdr:rowOff>
    </xdr:to>
    <xdr:sp>
      <xdr:nvSpPr>
        <xdr:cNvPr id="399" name="Line 401"/>
        <xdr:cNvSpPr>
          <a:spLocks/>
        </xdr:cNvSpPr>
      </xdr:nvSpPr>
      <xdr:spPr>
        <a:xfrm>
          <a:off x="13687425" y="1981200"/>
          <a:ext cx="302895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47</xdr:col>
      <xdr:colOff>9525</xdr:colOff>
      <xdr:row>12</xdr:row>
      <xdr:rowOff>57150</xdr:rowOff>
    </xdr:from>
    <xdr:to>
      <xdr:col>52</xdr:col>
      <xdr:colOff>219075</xdr:colOff>
      <xdr:row>12</xdr:row>
      <xdr:rowOff>57150</xdr:rowOff>
    </xdr:to>
    <xdr:sp>
      <xdr:nvSpPr>
        <xdr:cNvPr id="400" name="Line 402"/>
        <xdr:cNvSpPr>
          <a:spLocks/>
        </xdr:cNvSpPr>
      </xdr:nvSpPr>
      <xdr:spPr>
        <a:xfrm>
          <a:off x="13696950" y="2362200"/>
          <a:ext cx="272415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47</xdr:col>
      <xdr:colOff>0</xdr:colOff>
      <xdr:row>12</xdr:row>
      <xdr:rowOff>0</xdr:rowOff>
    </xdr:from>
    <xdr:to>
      <xdr:col>52</xdr:col>
      <xdr:colOff>514350</xdr:colOff>
      <xdr:row>12</xdr:row>
      <xdr:rowOff>0</xdr:rowOff>
    </xdr:to>
    <xdr:sp>
      <xdr:nvSpPr>
        <xdr:cNvPr id="401" name="Line 403"/>
        <xdr:cNvSpPr>
          <a:spLocks/>
        </xdr:cNvSpPr>
      </xdr:nvSpPr>
      <xdr:spPr>
        <a:xfrm>
          <a:off x="13687425" y="2305050"/>
          <a:ext cx="302895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52</xdr:col>
      <xdr:colOff>209550</xdr:colOff>
      <xdr:row>6</xdr:row>
      <xdr:rowOff>0</xdr:rowOff>
    </xdr:from>
    <xdr:to>
      <xdr:col>52</xdr:col>
      <xdr:colOff>209550</xdr:colOff>
      <xdr:row>6</xdr:row>
      <xdr:rowOff>180975</xdr:rowOff>
    </xdr:to>
    <xdr:sp>
      <xdr:nvSpPr>
        <xdr:cNvPr id="402" name="Line 404"/>
        <xdr:cNvSpPr>
          <a:spLocks/>
        </xdr:cNvSpPr>
      </xdr:nvSpPr>
      <xdr:spPr>
        <a:xfrm>
          <a:off x="16411575" y="17430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52</xdr:col>
      <xdr:colOff>219075</xdr:colOff>
      <xdr:row>6</xdr:row>
      <xdr:rowOff>180975</xdr:rowOff>
    </xdr:from>
    <xdr:to>
      <xdr:col>52</xdr:col>
      <xdr:colOff>514350</xdr:colOff>
      <xdr:row>6</xdr:row>
      <xdr:rowOff>238125</xdr:rowOff>
    </xdr:to>
    <xdr:sp>
      <xdr:nvSpPr>
        <xdr:cNvPr id="403" name="Line 405"/>
        <xdr:cNvSpPr>
          <a:spLocks/>
        </xdr:cNvSpPr>
      </xdr:nvSpPr>
      <xdr:spPr>
        <a:xfrm>
          <a:off x="16421100" y="1924050"/>
          <a:ext cx="295275"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52</xdr:col>
      <xdr:colOff>209550</xdr:colOff>
      <xdr:row>12</xdr:row>
      <xdr:rowOff>57150</xdr:rowOff>
    </xdr:from>
    <xdr:to>
      <xdr:col>52</xdr:col>
      <xdr:colOff>209550</xdr:colOff>
      <xdr:row>14</xdr:row>
      <xdr:rowOff>0</xdr:rowOff>
    </xdr:to>
    <xdr:sp>
      <xdr:nvSpPr>
        <xdr:cNvPr id="404" name="Line 406"/>
        <xdr:cNvSpPr>
          <a:spLocks/>
        </xdr:cNvSpPr>
      </xdr:nvSpPr>
      <xdr:spPr>
        <a:xfrm>
          <a:off x="16411575" y="23622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52</xdr:col>
      <xdr:colOff>209550</xdr:colOff>
      <xdr:row>12</xdr:row>
      <xdr:rowOff>0</xdr:rowOff>
    </xdr:from>
    <xdr:to>
      <xdr:col>52</xdr:col>
      <xdr:colOff>514350</xdr:colOff>
      <xdr:row>12</xdr:row>
      <xdr:rowOff>66675</xdr:rowOff>
    </xdr:to>
    <xdr:sp>
      <xdr:nvSpPr>
        <xdr:cNvPr id="405" name="Line 407"/>
        <xdr:cNvSpPr>
          <a:spLocks/>
        </xdr:cNvSpPr>
      </xdr:nvSpPr>
      <xdr:spPr>
        <a:xfrm flipV="1">
          <a:off x="16411575" y="2305050"/>
          <a:ext cx="3048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52</xdr:col>
      <xdr:colOff>514350</xdr:colOff>
      <xdr:row>6</xdr:row>
      <xdr:rowOff>0</xdr:rowOff>
    </xdr:from>
    <xdr:to>
      <xdr:col>52</xdr:col>
      <xdr:colOff>514350</xdr:colOff>
      <xdr:row>14</xdr:row>
      <xdr:rowOff>0</xdr:rowOff>
    </xdr:to>
    <xdr:sp>
      <xdr:nvSpPr>
        <xdr:cNvPr id="406" name="Line 408"/>
        <xdr:cNvSpPr>
          <a:spLocks/>
        </xdr:cNvSpPr>
      </xdr:nvSpPr>
      <xdr:spPr>
        <a:xfrm>
          <a:off x="16716375" y="1743075"/>
          <a:ext cx="0" cy="8001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17</xdr:col>
      <xdr:colOff>142875</xdr:colOff>
      <xdr:row>22</xdr:row>
      <xdr:rowOff>180975</xdr:rowOff>
    </xdr:from>
    <xdr:to>
      <xdr:col>17</xdr:col>
      <xdr:colOff>142875</xdr:colOff>
      <xdr:row>23</xdr:row>
      <xdr:rowOff>104775</xdr:rowOff>
    </xdr:to>
    <xdr:sp>
      <xdr:nvSpPr>
        <xdr:cNvPr id="407" name="Line 409"/>
        <xdr:cNvSpPr>
          <a:spLocks/>
        </xdr:cNvSpPr>
      </xdr:nvSpPr>
      <xdr:spPr>
        <a:xfrm>
          <a:off x="4276725" y="3400425"/>
          <a:ext cx="0" cy="200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17</xdr:col>
      <xdr:colOff>114300</xdr:colOff>
      <xdr:row>22</xdr:row>
      <xdr:rowOff>238125</xdr:rowOff>
    </xdr:from>
    <xdr:to>
      <xdr:col>17</xdr:col>
      <xdr:colOff>180975</xdr:colOff>
      <xdr:row>23</xdr:row>
      <xdr:rowOff>28575</xdr:rowOff>
    </xdr:to>
    <xdr:sp>
      <xdr:nvSpPr>
        <xdr:cNvPr id="408" name="Oval 410"/>
        <xdr:cNvSpPr>
          <a:spLocks/>
        </xdr:cNvSpPr>
      </xdr:nvSpPr>
      <xdr:spPr>
        <a:xfrm>
          <a:off x="4248150" y="3457575"/>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18</xdr:col>
      <xdr:colOff>85725</xdr:colOff>
      <xdr:row>22</xdr:row>
      <xdr:rowOff>180975</xdr:rowOff>
    </xdr:from>
    <xdr:to>
      <xdr:col>18</xdr:col>
      <xdr:colOff>85725</xdr:colOff>
      <xdr:row>23</xdr:row>
      <xdr:rowOff>104775</xdr:rowOff>
    </xdr:to>
    <xdr:sp>
      <xdr:nvSpPr>
        <xdr:cNvPr id="409" name="Line 411"/>
        <xdr:cNvSpPr>
          <a:spLocks/>
        </xdr:cNvSpPr>
      </xdr:nvSpPr>
      <xdr:spPr>
        <a:xfrm>
          <a:off x="4781550" y="3400425"/>
          <a:ext cx="0" cy="200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18</xdr:col>
      <xdr:colOff>57150</xdr:colOff>
      <xdr:row>22</xdr:row>
      <xdr:rowOff>238125</xdr:rowOff>
    </xdr:from>
    <xdr:to>
      <xdr:col>18</xdr:col>
      <xdr:colOff>123825</xdr:colOff>
      <xdr:row>23</xdr:row>
      <xdr:rowOff>28575</xdr:rowOff>
    </xdr:to>
    <xdr:sp>
      <xdr:nvSpPr>
        <xdr:cNvPr id="410" name="Oval 412"/>
        <xdr:cNvSpPr>
          <a:spLocks/>
        </xdr:cNvSpPr>
      </xdr:nvSpPr>
      <xdr:spPr>
        <a:xfrm>
          <a:off x="4752975" y="3457575"/>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18</xdr:col>
      <xdr:colOff>95250</xdr:colOff>
      <xdr:row>3</xdr:row>
      <xdr:rowOff>247650</xdr:rowOff>
    </xdr:from>
    <xdr:to>
      <xdr:col>18</xdr:col>
      <xdr:colOff>95250</xdr:colOff>
      <xdr:row>4</xdr:row>
      <xdr:rowOff>85725</xdr:rowOff>
    </xdr:to>
    <xdr:sp>
      <xdr:nvSpPr>
        <xdr:cNvPr id="411" name="Line 413"/>
        <xdr:cNvSpPr>
          <a:spLocks/>
        </xdr:cNvSpPr>
      </xdr:nvSpPr>
      <xdr:spPr>
        <a:xfrm flipH="1">
          <a:off x="4791075" y="1123950"/>
          <a:ext cx="0" cy="161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18</xdr:col>
      <xdr:colOff>66675</xdr:colOff>
      <xdr:row>3</xdr:row>
      <xdr:rowOff>285750</xdr:rowOff>
    </xdr:from>
    <xdr:to>
      <xdr:col>18</xdr:col>
      <xdr:colOff>133350</xdr:colOff>
      <xdr:row>4</xdr:row>
      <xdr:rowOff>28575</xdr:rowOff>
    </xdr:to>
    <xdr:sp>
      <xdr:nvSpPr>
        <xdr:cNvPr id="412" name="Oval 414"/>
        <xdr:cNvSpPr>
          <a:spLocks/>
        </xdr:cNvSpPr>
      </xdr:nvSpPr>
      <xdr:spPr>
        <a:xfrm>
          <a:off x="4762500" y="1162050"/>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17</xdr:col>
      <xdr:colOff>152400</xdr:colOff>
      <xdr:row>3</xdr:row>
      <xdr:rowOff>247650</xdr:rowOff>
    </xdr:from>
    <xdr:to>
      <xdr:col>17</xdr:col>
      <xdr:colOff>152400</xdr:colOff>
      <xdr:row>4</xdr:row>
      <xdr:rowOff>85725</xdr:rowOff>
    </xdr:to>
    <xdr:sp>
      <xdr:nvSpPr>
        <xdr:cNvPr id="413" name="Line 419"/>
        <xdr:cNvSpPr>
          <a:spLocks/>
        </xdr:cNvSpPr>
      </xdr:nvSpPr>
      <xdr:spPr>
        <a:xfrm flipH="1">
          <a:off x="4286250" y="1123950"/>
          <a:ext cx="0" cy="161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17</xdr:col>
      <xdr:colOff>114300</xdr:colOff>
      <xdr:row>3</xdr:row>
      <xdr:rowOff>285750</xdr:rowOff>
    </xdr:from>
    <xdr:to>
      <xdr:col>17</xdr:col>
      <xdr:colOff>180975</xdr:colOff>
      <xdr:row>4</xdr:row>
      <xdr:rowOff>28575</xdr:rowOff>
    </xdr:to>
    <xdr:sp>
      <xdr:nvSpPr>
        <xdr:cNvPr id="414" name="Oval 420"/>
        <xdr:cNvSpPr>
          <a:spLocks/>
        </xdr:cNvSpPr>
      </xdr:nvSpPr>
      <xdr:spPr>
        <a:xfrm>
          <a:off x="4248150" y="1162050"/>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33</xdr:col>
      <xdr:colOff>95250</xdr:colOff>
      <xdr:row>3</xdr:row>
      <xdr:rowOff>219075</xdr:rowOff>
    </xdr:from>
    <xdr:to>
      <xdr:col>33</xdr:col>
      <xdr:colOff>95250</xdr:colOff>
      <xdr:row>4</xdr:row>
      <xdr:rowOff>114300</xdr:rowOff>
    </xdr:to>
    <xdr:sp>
      <xdr:nvSpPr>
        <xdr:cNvPr id="415" name="Line 421"/>
        <xdr:cNvSpPr>
          <a:spLocks/>
        </xdr:cNvSpPr>
      </xdr:nvSpPr>
      <xdr:spPr>
        <a:xfrm>
          <a:off x="10420350" y="1095375"/>
          <a:ext cx="0" cy="2190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33</xdr:col>
      <xdr:colOff>57150</xdr:colOff>
      <xdr:row>3</xdr:row>
      <xdr:rowOff>285750</xdr:rowOff>
    </xdr:from>
    <xdr:to>
      <xdr:col>33</xdr:col>
      <xdr:colOff>123825</xdr:colOff>
      <xdr:row>4</xdr:row>
      <xdr:rowOff>28575</xdr:rowOff>
    </xdr:to>
    <xdr:sp>
      <xdr:nvSpPr>
        <xdr:cNvPr id="416" name="Oval 422"/>
        <xdr:cNvSpPr>
          <a:spLocks/>
        </xdr:cNvSpPr>
      </xdr:nvSpPr>
      <xdr:spPr>
        <a:xfrm>
          <a:off x="10382250" y="1162050"/>
          <a:ext cx="66675" cy="66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33</xdr:col>
      <xdr:colOff>66675</xdr:colOff>
      <xdr:row>22</xdr:row>
      <xdr:rowOff>171450</xdr:rowOff>
    </xdr:from>
    <xdr:to>
      <xdr:col>33</xdr:col>
      <xdr:colOff>133350</xdr:colOff>
      <xdr:row>23</xdr:row>
      <xdr:rowOff>114300</xdr:rowOff>
    </xdr:to>
    <xdr:grpSp>
      <xdr:nvGrpSpPr>
        <xdr:cNvPr id="417" name="Group 486"/>
        <xdr:cNvGrpSpPr>
          <a:grpSpLocks/>
        </xdr:cNvGrpSpPr>
      </xdr:nvGrpSpPr>
      <xdr:grpSpPr>
        <a:xfrm>
          <a:off x="10391775" y="3390900"/>
          <a:ext cx="66675" cy="219075"/>
          <a:chOff x="1091" y="356"/>
          <a:chExt cx="7" cy="23"/>
        </a:xfrm>
        <a:solidFill>
          <a:srgbClr val="FFFFFF"/>
        </a:solidFill>
      </xdr:grpSpPr>
      <xdr:sp>
        <xdr:nvSpPr>
          <xdr:cNvPr id="418" name="Line 423"/>
          <xdr:cNvSpPr>
            <a:spLocks/>
          </xdr:cNvSpPr>
        </xdr:nvSpPr>
        <xdr:spPr>
          <a:xfrm>
            <a:off x="1094" y="356"/>
            <a:ext cx="0" cy="23"/>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419" name="Oval 424"/>
          <xdr:cNvSpPr>
            <a:spLocks/>
          </xdr:cNvSpPr>
        </xdr:nvSpPr>
        <xdr:spPr>
          <a:xfrm>
            <a:off x="1091" y="364"/>
            <a:ext cx="7" cy="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clientData/>
  </xdr:twoCellAnchor>
  <xdr:twoCellAnchor>
    <xdr:from>
      <xdr:col>27</xdr:col>
      <xdr:colOff>314325</xdr:colOff>
      <xdr:row>31</xdr:row>
      <xdr:rowOff>57150</xdr:rowOff>
    </xdr:from>
    <xdr:to>
      <xdr:col>27</xdr:col>
      <xdr:colOff>371475</xdr:colOff>
      <xdr:row>36</xdr:row>
      <xdr:rowOff>228600</xdr:rowOff>
    </xdr:to>
    <xdr:grpSp>
      <xdr:nvGrpSpPr>
        <xdr:cNvPr id="420" name="Group 425"/>
        <xdr:cNvGrpSpPr>
          <a:grpSpLocks/>
        </xdr:cNvGrpSpPr>
      </xdr:nvGrpSpPr>
      <xdr:grpSpPr>
        <a:xfrm>
          <a:off x="9048750" y="5334000"/>
          <a:ext cx="57150" cy="1123950"/>
          <a:chOff x="1502" y="531"/>
          <a:chExt cx="6" cy="118"/>
        </a:xfrm>
        <a:solidFill>
          <a:srgbClr val="FFFFFF"/>
        </a:solidFill>
      </xdr:grpSpPr>
      <xdr:sp>
        <xdr:nvSpPr>
          <xdr:cNvPr id="421" name="Line 426"/>
          <xdr:cNvSpPr>
            <a:spLocks/>
          </xdr:cNvSpPr>
        </xdr:nvSpPr>
        <xdr:spPr>
          <a:xfrm>
            <a:off x="1502" y="538"/>
            <a:ext cx="0" cy="106"/>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422" name="Arc 427"/>
          <xdr:cNvSpPr>
            <a:spLocks/>
          </xdr:cNvSpPr>
        </xdr:nvSpPr>
        <xdr:spPr>
          <a:xfrm flipH="1">
            <a:off x="1502" y="531"/>
            <a:ext cx="6" cy="8"/>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423" name="Arc 428"/>
          <xdr:cNvSpPr>
            <a:spLocks/>
          </xdr:cNvSpPr>
        </xdr:nvSpPr>
        <xdr:spPr>
          <a:xfrm flipH="1" flipV="1">
            <a:off x="1502" y="640"/>
            <a:ext cx="5" cy="9"/>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clientData/>
  </xdr:twoCellAnchor>
  <xdr:twoCellAnchor>
    <xdr:from>
      <xdr:col>29</xdr:col>
      <xdr:colOff>47625</xdr:colOff>
      <xdr:row>31</xdr:row>
      <xdr:rowOff>123825</xdr:rowOff>
    </xdr:from>
    <xdr:to>
      <xdr:col>29</xdr:col>
      <xdr:colOff>47625</xdr:colOff>
      <xdr:row>36</xdr:row>
      <xdr:rowOff>171450</xdr:rowOff>
    </xdr:to>
    <xdr:sp>
      <xdr:nvSpPr>
        <xdr:cNvPr id="424" name="Line 429"/>
        <xdr:cNvSpPr>
          <a:spLocks/>
        </xdr:cNvSpPr>
      </xdr:nvSpPr>
      <xdr:spPr>
        <a:xfrm>
          <a:off x="9620250" y="5400675"/>
          <a:ext cx="0" cy="1000125"/>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28</xdr:col>
      <xdr:colOff>257175</xdr:colOff>
      <xdr:row>31</xdr:row>
      <xdr:rowOff>66675</xdr:rowOff>
    </xdr:from>
    <xdr:to>
      <xdr:col>29</xdr:col>
      <xdr:colOff>47625</xdr:colOff>
      <xdr:row>31</xdr:row>
      <xdr:rowOff>133350</xdr:rowOff>
    </xdr:to>
    <xdr:sp>
      <xdr:nvSpPr>
        <xdr:cNvPr id="425" name="Arc 430"/>
        <xdr:cNvSpPr>
          <a:spLocks/>
        </xdr:cNvSpPr>
      </xdr:nvSpPr>
      <xdr:spPr>
        <a:xfrm>
          <a:off x="9553575" y="5343525"/>
          <a:ext cx="66675" cy="66675"/>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28</xdr:col>
      <xdr:colOff>247650</xdr:colOff>
      <xdr:row>36</xdr:row>
      <xdr:rowOff>161925</xdr:rowOff>
    </xdr:from>
    <xdr:to>
      <xdr:col>29</xdr:col>
      <xdr:colOff>47625</xdr:colOff>
      <xdr:row>36</xdr:row>
      <xdr:rowOff>238125</xdr:rowOff>
    </xdr:to>
    <xdr:sp>
      <xdr:nvSpPr>
        <xdr:cNvPr id="426" name="Arc 431"/>
        <xdr:cNvSpPr>
          <a:spLocks/>
        </xdr:cNvSpPr>
      </xdr:nvSpPr>
      <xdr:spPr>
        <a:xfrm flipV="1">
          <a:off x="9544050" y="6391275"/>
          <a:ext cx="76200" cy="76200"/>
        </a:xfrm>
        <a:prstGeom prst="arc">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34</xdr:col>
      <xdr:colOff>28575</xdr:colOff>
      <xdr:row>23</xdr:row>
      <xdr:rowOff>47625</xdr:rowOff>
    </xdr:from>
    <xdr:to>
      <xdr:col>36</xdr:col>
      <xdr:colOff>190500</xdr:colOff>
      <xdr:row>24</xdr:row>
      <xdr:rowOff>152400</xdr:rowOff>
    </xdr:to>
    <xdr:sp>
      <xdr:nvSpPr>
        <xdr:cNvPr id="427" name="Text 1378"/>
        <xdr:cNvSpPr txBox="1">
          <a:spLocks noChangeArrowheads="1"/>
        </xdr:cNvSpPr>
      </xdr:nvSpPr>
      <xdr:spPr>
        <a:xfrm>
          <a:off x="10687050" y="3543300"/>
          <a:ext cx="828675" cy="314325"/>
        </a:xfrm>
        <a:prstGeom prst="rect">
          <a:avLst/>
        </a:prstGeom>
        <a:noFill/>
        <a:ln w="1" cmpd="sng">
          <a:noFill/>
        </a:ln>
      </xdr:spPr>
      <xdr:txBody>
        <a:bodyPr vertOverflow="clip" wrap="square"/>
        <a:p>
          <a:pPr algn="l">
            <a:defRPr/>
          </a:pPr>
          <a:r>
            <a:rPr lang="en-US" cap="none" sz="1800" b="0" i="0" u="none" baseline="0">
              <a:latin typeface="AngsanaUPC"/>
              <a:ea typeface="AngsanaUPC"/>
              <a:cs typeface="AngsanaUPC"/>
            </a:rPr>
            <a:t>STIRRUP</a:t>
          </a:r>
        </a:p>
      </xdr:txBody>
    </xdr:sp>
    <xdr:clientData/>
  </xdr:twoCellAnchor>
  <xdr:twoCellAnchor>
    <xdr:from>
      <xdr:col>9</xdr:col>
      <xdr:colOff>171450</xdr:colOff>
      <xdr:row>23</xdr:row>
      <xdr:rowOff>38100</xdr:rowOff>
    </xdr:from>
    <xdr:to>
      <xdr:col>12</xdr:col>
      <xdr:colOff>0</xdr:colOff>
      <xdr:row>24</xdr:row>
      <xdr:rowOff>142875</xdr:rowOff>
    </xdr:to>
    <xdr:sp>
      <xdr:nvSpPr>
        <xdr:cNvPr id="428" name="Text 1378"/>
        <xdr:cNvSpPr txBox="1">
          <a:spLocks noChangeArrowheads="1"/>
        </xdr:cNvSpPr>
      </xdr:nvSpPr>
      <xdr:spPr>
        <a:xfrm>
          <a:off x="2276475" y="3533775"/>
          <a:ext cx="828675" cy="314325"/>
        </a:xfrm>
        <a:prstGeom prst="rect">
          <a:avLst/>
        </a:prstGeom>
        <a:noFill/>
        <a:ln w="1" cmpd="sng">
          <a:noFill/>
        </a:ln>
      </xdr:spPr>
      <xdr:txBody>
        <a:bodyPr vertOverflow="clip" wrap="square"/>
        <a:p>
          <a:pPr algn="l">
            <a:defRPr/>
          </a:pPr>
          <a:r>
            <a:rPr lang="en-US" cap="none" sz="1800" b="0" i="0" u="none" baseline="0">
              <a:latin typeface="AngsanaUPC"/>
              <a:ea typeface="AngsanaUPC"/>
              <a:cs typeface="AngsanaUPC"/>
            </a:rPr>
            <a:t>STIRRUP</a:t>
          </a:r>
        </a:p>
      </xdr:txBody>
    </xdr:sp>
    <xdr:clientData/>
  </xdr:twoCellAnchor>
  <xdr:twoCellAnchor>
    <xdr:from>
      <xdr:col>20</xdr:col>
      <xdr:colOff>476250</xdr:colOff>
      <xdr:row>7</xdr:row>
      <xdr:rowOff>85725</xdr:rowOff>
    </xdr:from>
    <xdr:to>
      <xdr:col>20</xdr:col>
      <xdr:colOff>476250</xdr:colOff>
      <xdr:row>19</xdr:row>
      <xdr:rowOff>19050</xdr:rowOff>
    </xdr:to>
    <xdr:sp>
      <xdr:nvSpPr>
        <xdr:cNvPr id="429" name="Line 434"/>
        <xdr:cNvSpPr>
          <a:spLocks/>
        </xdr:cNvSpPr>
      </xdr:nvSpPr>
      <xdr:spPr>
        <a:xfrm>
          <a:off x="6296025" y="2152650"/>
          <a:ext cx="0" cy="6477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19</xdr:col>
      <xdr:colOff>428625</xdr:colOff>
      <xdr:row>7</xdr:row>
      <xdr:rowOff>85725</xdr:rowOff>
    </xdr:from>
    <xdr:to>
      <xdr:col>19</xdr:col>
      <xdr:colOff>428625</xdr:colOff>
      <xdr:row>19</xdr:row>
      <xdr:rowOff>19050</xdr:rowOff>
    </xdr:to>
    <xdr:sp>
      <xdr:nvSpPr>
        <xdr:cNvPr id="430" name="Line 435"/>
        <xdr:cNvSpPr>
          <a:spLocks/>
        </xdr:cNvSpPr>
      </xdr:nvSpPr>
      <xdr:spPr>
        <a:xfrm>
          <a:off x="5686425" y="2152650"/>
          <a:ext cx="0" cy="647700"/>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10</xdr:col>
      <xdr:colOff>57150</xdr:colOff>
      <xdr:row>31</xdr:row>
      <xdr:rowOff>85725</xdr:rowOff>
    </xdr:from>
    <xdr:to>
      <xdr:col>10</xdr:col>
      <xdr:colOff>85725</xdr:colOff>
      <xdr:row>31</xdr:row>
      <xdr:rowOff>133350</xdr:rowOff>
    </xdr:to>
    <xdr:sp>
      <xdr:nvSpPr>
        <xdr:cNvPr id="431" name="Oval 442"/>
        <xdr:cNvSpPr>
          <a:spLocks/>
        </xdr:cNvSpPr>
      </xdr:nvSpPr>
      <xdr:spPr>
        <a:xfrm>
          <a:off x="2495550" y="5362575"/>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28</xdr:col>
      <xdr:colOff>247650</xdr:colOff>
      <xdr:row>31</xdr:row>
      <xdr:rowOff>85725</xdr:rowOff>
    </xdr:from>
    <xdr:to>
      <xdr:col>29</xdr:col>
      <xdr:colOff>0</xdr:colOff>
      <xdr:row>31</xdr:row>
      <xdr:rowOff>133350</xdr:rowOff>
    </xdr:to>
    <xdr:sp>
      <xdr:nvSpPr>
        <xdr:cNvPr id="432" name="Oval 448"/>
        <xdr:cNvSpPr>
          <a:spLocks/>
        </xdr:cNvSpPr>
      </xdr:nvSpPr>
      <xdr:spPr>
        <a:xfrm>
          <a:off x="9544050" y="5362575"/>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23</xdr:col>
      <xdr:colOff>0</xdr:colOff>
      <xdr:row>17</xdr:row>
      <xdr:rowOff>0</xdr:rowOff>
    </xdr:from>
    <xdr:to>
      <xdr:col>29</xdr:col>
      <xdr:colOff>0</xdr:colOff>
      <xdr:row>18</xdr:row>
      <xdr:rowOff>0</xdr:rowOff>
    </xdr:to>
    <xdr:sp>
      <xdr:nvSpPr>
        <xdr:cNvPr id="433" name="Rectangle 451"/>
        <xdr:cNvSpPr>
          <a:spLocks/>
        </xdr:cNvSpPr>
      </xdr:nvSpPr>
      <xdr:spPr>
        <a:xfrm flipV="1">
          <a:off x="6781800" y="2733675"/>
          <a:ext cx="2790825" cy="28575"/>
        </a:xfrm>
        <a:prstGeom prst="rect">
          <a:avLst/>
        </a:prstGeom>
        <a:pattFill prst="lt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26</xdr:col>
      <xdr:colOff>247650</xdr:colOff>
      <xdr:row>10</xdr:row>
      <xdr:rowOff>0</xdr:rowOff>
    </xdr:from>
    <xdr:to>
      <xdr:col>26</xdr:col>
      <xdr:colOff>428625</xdr:colOff>
      <xdr:row>21</xdr:row>
      <xdr:rowOff>123825</xdr:rowOff>
    </xdr:to>
    <xdr:sp>
      <xdr:nvSpPr>
        <xdr:cNvPr id="434" name="Polygon 454"/>
        <xdr:cNvSpPr>
          <a:spLocks/>
        </xdr:cNvSpPr>
      </xdr:nvSpPr>
      <xdr:spPr>
        <a:xfrm>
          <a:off x="8420100" y="2209800"/>
          <a:ext cx="180975" cy="866775"/>
        </a:xfrm>
        <a:custGeom>
          <a:pathLst>
            <a:path h="89" w="35">
              <a:moveTo>
                <a:pt x="0" y="0"/>
              </a:moveTo>
              <a:lnTo>
                <a:pt x="0" y="89"/>
              </a:lnTo>
              <a:lnTo>
                <a:pt x="35" y="89"/>
              </a:lnTo>
            </a:path>
          </a:pathLst>
        </a:custGeom>
        <a:noFill/>
        <a:ln w="9525" cmpd="sng">
          <a:solidFill>
            <a:srgbClr val="000000"/>
          </a:solidFill>
          <a:headEnd type="triangl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26</xdr:col>
      <xdr:colOff>247650</xdr:colOff>
      <xdr:row>16</xdr:row>
      <xdr:rowOff>38100</xdr:rowOff>
    </xdr:from>
    <xdr:to>
      <xdr:col>26</xdr:col>
      <xdr:colOff>247650</xdr:colOff>
      <xdr:row>19</xdr:row>
      <xdr:rowOff>47625</xdr:rowOff>
    </xdr:to>
    <xdr:sp>
      <xdr:nvSpPr>
        <xdr:cNvPr id="435" name="Line 455"/>
        <xdr:cNvSpPr>
          <a:spLocks/>
        </xdr:cNvSpPr>
      </xdr:nvSpPr>
      <xdr:spPr>
        <a:xfrm flipV="1">
          <a:off x="8420100" y="27241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27</xdr:col>
      <xdr:colOff>476250</xdr:colOff>
      <xdr:row>31</xdr:row>
      <xdr:rowOff>66675</xdr:rowOff>
    </xdr:from>
    <xdr:to>
      <xdr:col>27</xdr:col>
      <xdr:colOff>552450</xdr:colOff>
      <xdr:row>31</xdr:row>
      <xdr:rowOff>161925</xdr:rowOff>
    </xdr:to>
    <xdr:sp>
      <xdr:nvSpPr>
        <xdr:cNvPr id="436" name="Oval 456"/>
        <xdr:cNvSpPr>
          <a:spLocks/>
        </xdr:cNvSpPr>
      </xdr:nvSpPr>
      <xdr:spPr>
        <a:xfrm>
          <a:off x="9210675" y="5343525"/>
          <a:ext cx="76200" cy="95250"/>
        </a:xfrm>
        <a:prstGeom prst="ellipse">
          <a:avLst/>
        </a:prstGeom>
        <a:pattFill prst="ltDnDiag">
          <a:fgClr>
            <a:srgbClr val="000000"/>
          </a:fgClr>
          <a:bgClr>
            <a:srgbClr val="FFFFFF"/>
          </a:bgClr>
        </a:patt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28</xdr:col>
      <xdr:colOff>57150</xdr:colOff>
      <xdr:row>36</xdr:row>
      <xdr:rowOff>114300</xdr:rowOff>
    </xdr:from>
    <xdr:to>
      <xdr:col>28</xdr:col>
      <xdr:colOff>133350</xdr:colOff>
      <xdr:row>36</xdr:row>
      <xdr:rowOff>209550</xdr:rowOff>
    </xdr:to>
    <xdr:sp>
      <xdr:nvSpPr>
        <xdr:cNvPr id="437" name="Oval 458"/>
        <xdr:cNvSpPr>
          <a:spLocks/>
        </xdr:cNvSpPr>
      </xdr:nvSpPr>
      <xdr:spPr>
        <a:xfrm>
          <a:off x="9353550" y="6343650"/>
          <a:ext cx="76200" cy="95250"/>
        </a:xfrm>
        <a:prstGeom prst="ellipse">
          <a:avLst/>
        </a:prstGeom>
        <a:pattFill prst="ltDnDiag">
          <a:fgClr>
            <a:srgbClr val="000000"/>
          </a:fgClr>
          <a:bgClr>
            <a:srgbClr val="FFFFFF"/>
          </a:bgClr>
        </a:patt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34</xdr:col>
      <xdr:colOff>9525</xdr:colOff>
      <xdr:row>34</xdr:row>
      <xdr:rowOff>190500</xdr:rowOff>
    </xdr:from>
    <xdr:to>
      <xdr:col>42</xdr:col>
      <xdr:colOff>85725</xdr:colOff>
      <xdr:row>36</xdr:row>
      <xdr:rowOff>171450</xdr:rowOff>
    </xdr:to>
    <xdr:sp>
      <xdr:nvSpPr>
        <xdr:cNvPr id="438" name="TextBox 460"/>
        <xdr:cNvSpPr txBox="1">
          <a:spLocks noChangeArrowheads="1"/>
        </xdr:cNvSpPr>
      </xdr:nvSpPr>
      <xdr:spPr>
        <a:xfrm>
          <a:off x="10668000" y="6086475"/>
          <a:ext cx="2028825" cy="314325"/>
        </a:xfrm>
        <a:prstGeom prst="rect">
          <a:avLst/>
        </a:prstGeom>
        <a:noFill/>
        <a:ln w="9525" cmpd="sng">
          <a:noFill/>
        </a:ln>
      </xdr:spPr>
      <xdr:txBody>
        <a:bodyPr vertOverflow="clip" wrap="square"/>
        <a:p>
          <a:pPr algn="l">
            <a:defRPr/>
          </a:pPr>
          <a:r>
            <a:rPr lang="en-US" cap="none" sz="1600" b="1" i="0" u="none" baseline="0">
              <a:latin typeface="AngsanaUPC"/>
              <a:ea typeface="AngsanaUPC"/>
              <a:cs typeface="AngsanaUPC"/>
            </a:rPr>
            <a:t>2 DB.12 mm.x 18.00 m.</a:t>
          </a:r>
        </a:p>
      </xdr:txBody>
    </xdr:sp>
    <xdr:clientData/>
  </xdr:twoCellAnchor>
  <xdr:twoCellAnchor>
    <xdr:from>
      <xdr:col>28</xdr:col>
      <xdr:colOff>133350</xdr:colOff>
      <xdr:row>36</xdr:row>
      <xdr:rowOff>19050</xdr:rowOff>
    </xdr:from>
    <xdr:to>
      <xdr:col>33</xdr:col>
      <xdr:colOff>285750</xdr:colOff>
      <xdr:row>36</xdr:row>
      <xdr:rowOff>133350</xdr:rowOff>
    </xdr:to>
    <xdr:sp>
      <xdr:nvSpPr>
        <xdr:cNvPr id="439" name="Polygon 461"/>
        <xdr:cNvSpPr>
          <a:spLocks/>
        </xdr:cNvSpPr>
      </xdr:nvSpPr>
      <xdr:spPr>
        <a:xfrm>
          <a:off x="9429750" y="6248400"/>
          <a:ext cx="1181100" cy="114300"/>
        </a:xfrm>
        <a:custGeom>
          <a:pathLst>
            <a:path h="10" w="100">
              <a:moveTo>
                <a:pt x="0" y="10"/>
              </a:moveTo>
              <a:lnTo>
                <a:pt x="53" y="0"/>
              </a:lnTo>
              <a:lnTo>
                <a:pt x="100" y="0"/>
              </a:lnTo>
            </a:path>
          </a:pathLst>
        </a:custGeom>
        <a:noFill/>
        <a:ln w="9525" cmpd="sng">
          <a:solidFill>
            <a:srgbClr val="000000"/>
          </a:solidFill>
          <a:headEnd type="triangl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8</xdr:col>
      <xdr:colOff>161925</xdr:colOff>
      <xdr:row>36</xdr:row>
      <xdr:rowOff>152400</xdr:rowOff>
    </xdr:from>
    <xdr:to>
      <xdr:col>8</xdr:col>
      <xdr:colOff>190500</xdr:colOff>
      <xdr:row>36</xdr:row>
      <xdr:rowOff>200025</xdr:rowOff>
    </xdr:to>
    <xdr:sp>
      <xdr:nvSpPr>
        <xdr:cNvPr id="440" name="Oval 462"/>
        <xdr:cNvSpPr>
          <a:spLocks/>
        </xdr:cNvSpPr>
      </xdr:nvSpPr>
      <xdr:spPr>
        <a:xfrm>
          <a:off x="1933575" y="6381750"/>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10</xdr:col>
      <xdr:colOff>161925</xdr:colOff>
      <xdr:row>36</xdr:row>
      <xdr:rowOff>152400</xdr:rowOff>
    </xdr:from>
    <xdr:to>
      <xdr:col>10</xdr:col>
      <xdr:colOff>190500</xdr:colOff>
      <xdr:row>36</xdr:row>
      <xdr:rowOff>200025</xdr:rowOff>
    </xdr:to>
    <xdr:sp>
      <xdr:nvSpPr>
        <xdr:cNvPr id="441" name="Oval 463"/>
        <xdr:cNvSpPr>
          <a:spLocks/>
        </xdr:cNvSpPr>
      </xdr:nvSpPr>
      <xdr:spPr>
        <a:xfrm>
          <a:off x="2600325" y="6381750"/>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8</xdr:col>
      <xdr:colOff>161925</xdr:colOff>
      <xdr:row>31</xdr:row>
      <xdr:rowOff>76200</xdr:rowOff>
    </xdr:from>
    <xdr:to>
      <xdr:col>8</xdr:col>
      <xdr:colOff>190500</xdr:colOff>
      <xdr:row>31</xdr:row>
      <xdr:rowOff>123825</xdr:rowOff>
    </xdr:to>
    <xdr:sp>
      <xdr:nvSpPr>
        <xdr:cNvPr id="442" name="Oval 464"/>
        <xdr:cNvSpPr>
          <a:spLocks/>
        </xdr:cNvSpPr>
      </xdr:nvSpPr>
      <xdr:spPr>
        <a:xfrm>
          <a:off x="1933575" y="5353050"/>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10</xdr:col>
      <xdr:colOff>171450</xdr:colOff>
      <xdr:row>31</xdr:row>
      <xdr:rowOff>76200</xdr:rowOff>
    </xdr:from>
    <xdr:to>
      <xdr:col>10</xdr:col>
      <xdr:colOff>200025</xdr:colOff>
      <xdr:row>31</xdr:row>
      <xdr:rowOff>123825</xdr:rowOff>
    </xdr:to>
    <xdr:sp>
      <xdr:nvSpPr>
        <xdr:cNvPr id="443" name="Oval 465"/>
        <xdr:cNvSpPr>
          <a:spLocks/>
        </xdr:cNvSpPr>
      </xdr:nvSpPr>
      <xdr:spPr>
        <a:xfrm>
          <a:off x="2609850" y="5353050"/>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8</xdr:col>
      <xdr:colOff>266700</xdr:colOff>
      <xdr:row>31</xdr:row>
      <xdr:rowOff>76200</xdr:rowOff>
    </xdr:from>
    <xdr:to>
      <xdr:col>8</xdr:col>
      <xdr:colOff>295275</xdr:colOff>
      <xdr:row>31</xdr:row>
      <xdr:rowOff>123825</xdr:rowOff>
    </xdr:to>
    <xdr:sp>
      <xdr:nvSpPr>
        <xdr:cNvPr id="444" name="Oval 466"/>
        <xdr:cNvSpPr>
          <a:spLocks/>
        </xdr:cNvSpPr>
      </xdr:nvSpPr>
      <xdr:spPr>
        <a:xfrm>
          <a:off x="2038350" y="5353050"/>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24</xdr:col>
      <xdr:colOff>133350</xdr:colOff>
      <xdr:row>47</xdr:row>
      <xdr:rowOff>66675</xdr:rowOff>
    </xdr:from>
    <xdr:to>
      <xdr:col>24</xdr:col>
      <xdr:colOff>276225</xdr:colOff>
      <xdr:row>48</xdr:row>
      <xdr:rowOff>247650</xdr:rowOff>
    </xdr:to>
    <xdr:sp>
      <xdr:nvSpPr>
        <xdr:cNvPr id="445" name="AutoShape 467"/>
        <xdr:cNvSpPr>
          <a:spLocks/>
        </xdr:cNvSpPr>
      </xdr:nvSpPr>
      <xdr:spPr>
        <a:xfrm>
          <a:off x="7181850" y="9039225"/>
          <a:ext cx="142875" cy="447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9</xdr:col>
      <xdr:colOff>47625</xdr:colOff>
      <xdr:row>36</xdr:row>
      <xdr:rowOff>152400</xdr:rowOff>
    </xdr:from>
    <xdr:to>
      <xdr:col>9</xdr:col>
      <xdr:colOff>76200</xdr:colOff>
      <xdr:row>36</xdr:row>
      <xdr:rowOff>200025</xdr:rowOff>
    </xdr:to>
    <xdr:sp>
      <xdr:nvSpPr>
        <xdr:cNvPr id="446" name="Oval 468"/>
        <xdr:cNvSpPr>
          <a:spLocks/>
        </xdr:cNvSpPr>
      </xdr:nvSpPr>
      <xdr:spPr>
        <a:xfrm>
          <a:off x="2152650" y="6381750"/>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27</xdr:col>
      <xdr:colOff>257175</xdr:colOff>
      <xdr:row>36</xdr:row>
      <xdr:rowOff>161925</xdr:rowOff>
    </xdr:from>
    <xdr:to>
      <xdr:col>27</xdr:col>
      <xdr:colOff>285750</xdr:colOff>
      <xdr:row>36</xdr:row>
      <xdr:rowOff>209550</xdr:rowOff>
    </xdr:to>
    <xdr:sp>
      <xdr:nvSpPr>
        <xdr:cNvPr id="447" name="Oval 469"/>
        <xdr:cNvSpPr>
          <a:spLocks/>
        </xdr:cNvSpPr>
      </xdr:nvSpPr>
      <xdr:spPr>
        <a:xfrm>
          <a:off x="8991600" y="6391275"/>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29</xdr:col>
      <xdr:colOff>76200</xdr:colOff>
      <xdr:row>36</xdr:row>
      <xdr:rowOff>152400</xdr:rowOff>
    </xdr:from>
    <xdr:to>
      <xdr:col>29</xdr:col>
      <xdr:colOff>104775</xdr:colOff>
      <xdr:row>36</xdr:row>
      <xdr:rowOff>200025</xdr:rowOff>
    </xdr:to>
    <xdr:sp>
      <xdr:nvSpPr>
        <xdr:cNvPr id="448" name="Oval 470"/>
        <xdr:cNvSpPr>
          <a:spLocks/>
        </xdr:cNvSpPr>
      </xdr:nvSpPr>
      <xdr:spPr>
        <a:xfrm>
          <a:off x="9648825" y="6381750"/>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27</xdr:col>
      <xdr:colOff>476250</xdr:colOff>
      <xdr:row>36</xdr:row>
      <xdr:rowOff>161925</xdr:rowOff>
    </xdr:from>
    <xdr:to>
      <xdr:col>27</xdr:col>
      <xdr:colOff>504825</xdr:colOff>
      <xdr:row>36</xdr:row>
      <xdr:rowOff>209550</xdr:rowOff>
    </xdr:to>
    <xdr:sp>
      <xdr:nvSpPr>
        <xdr:cNvPr id="449" name="Oval 471"/>
        <xdr:cNvSpPr>
          <a:spLocks/>
        </xdr:cNvSpPr>
      </xdr:nvSpPr>
      <xdr:spPr>
        <a:xfrm>
          <a:off x="9210675" y="6391275"/>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27</xdr:col>
      <xdr:colOff>371475</xdr:colOff>
      <xdr:row>31</xdr:row>
      <xdr:rowOff>76200</xdr:rowOff>
    </xdr:from>
    <xdr:to>
      <xdr:col>27</xdr:col>
      <xdr:colOff>400050</xdr:colOff>
      <xdr:row>31</xdr:row>
      <xdr:rowOff>123825</xdr:rowOff>
    </xdr:to>
    <xdr:sp>
      <xdr:nvSpPr>
        <xdr:cNvPr id="450" name="Oval 472"/>
        <xdr:cNvSpPr>
          <a:spLocks/>
        </xdr:cNvSpPr>
      </xdr:nvSpPr>
      <xdr:spPr>
        <a:xfrm>
          <a:off x="9105900" y="5353050"/>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27</xdr:col>
      <xdr:colOff>257175</xdr:colOff>
      <xdr:row>31</xdr:row>
      <xdr:rowOff>76200</xdr:rowOff>
    </xdr:from>
    <xdr:to>
      <xdr:col>27</xdr:col>
      <xdr:colOff>285750</xdr:colOff>
      <xdr:row>31</xdr:row>
      <xdr:rowOff>123825</xdr:rowOff>
    </xdr:to>
    <xdr:sp>
      <xdr:nvSpPr>
        <xdr:cNvPr id="451" name="Oval 473"/>
        <xdr:cNvSpPr>
          <a:spLocks/>
        </xdr:cNvSpPr>
      </xdr:nvSpPr>
      <xdr:spPr>
        <a:xfrm>
          <a:off x="8991600" y="5353050"/>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29</xdr:col>
      <xdr:colOff>95250</xdr:colOff>
      <xdr:row>31</xdr:row>
      <xdr:rowOff>76200</xdr:rowOff>
    </xdr:from>
    <xdr:to>
      <xdr:col>30</xdr:col>
      <xdr:colOff>0</xdr:colOff>
      <xdr:row>31</xdr:row>
      <xdr:rowOff>123825</xdr:rowOff>
    </xdr:to>
    <xdr:sp>
      <xdr:nvSpPr>
        <xdr:cNvPr id="452" name="Oval 474"/>
        <xdr:cNvSpPr>
          <a:spLocks/>
        </xdr:cNvSpPr>
      </xdr:nvSpPr>
      <xdr:spPr>
        <a:xfrm>
          <a:off x="9667875" y="5353050"/>
          <a:ext cx="28575" cy="47625"/>
        </a:xfrm>
        <a:prstGeom prst="ellips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13</xdr:col>
      <xdr:colOff>19050</xdr:colOff>
      <xdr:row>28</xdr:row>
      <xdr:rowOff>180975</xdr:rowOff>
    </xdr:from>
    <xdr:to>
      <xdr:col>18</xdr:col>
      <xdr:colOff>238125</xdr:colOff>
      <xdr:row>30</xdr:row>
      <xdr:rowOff>9525</xdr:rowOff>
    </xdr:to>
    <xdr:sp>
      <xdr:nvSpPr>
        <xdr:cNvPr id="453" name="TextBox 475"/>
        <xdr:cNvSpPr txBox="1">
          <a:spLocks noChangeArrowheads="1"/>
        </xdr:cNvSpPr>
      </xdr:nvSpPr>
      <xdr:spPr>
        <a:xfrm>
          <a:off x="3457575" y="4914900"/>
          <a:ext cx="1476375" cy="314325"/>
        </a:xfrm>
        <a:prstGeom prst="rect">
          <a:avLst/>
        </a:prstGeom>
        <a:noFill/>
        <a:ln w="9525" cmpd="sng">
          <a:noFill/>
        </a:ln>
      </xdr:spPr>
      <xdr:txBody>
        <a:bodyPr vertOverflow="clip" wrap="square"/>
        <a:p>
          <a:pPr algn="l">
            <a:defRPr/>
          </a:pPr>
          <a:r>
            <a:rPr lang="en-US" cap="none" sz="1600" b="1" i="0" u="none" baseline="0">
              <a:latin typeface="AngsanaUPC"/>
              <a:ea typeface="AngsanaUPC"/>
              <a:cs typeface="AngsanaUPC"/>
            </a:rPr>
            <a:t>2 DB.12 mm.x 18.00 m.</a:t>
          </a:r>
        </a:p>
      </xdr:txBody>
    </xdr:sp>
    <xdr:clientData/>
  </xdr:twoCellAnchor>
  <xdr:twoCellAnchor>
    <xdr:from>
      <xdr:col>9</xdr:col>
      <xdr:colOff>133350</xdr:colOff>
      <xdr:row>29</xdr:row>
      <xdr:rowOff>85725</xdr:rowOff>
    </xdr:from>
    <xdr:to>
      <xdr:col>12</xdr:col>
      <xdr:colOff>285750</xdr:colOff>
      <xdr:row>31</xdr:row>
      <xdr:rowOff>123825</xdr:rowOff>
    </xdr:to>
    <xdr:sp>
      <xdr:nvSpPr>
        <xdr:cNvPr id="454" name="Polygon 476"/>
        <xdr:cNvSpPr>
          <a:spLocks/>
        </xdr:cNvSpPr>
      </xdr:nvSpPr>
      <xdr:spPr>
        <a:xfrm>
          <a:off x="2238375" y="5086350"/>
          <a:ext cx="1152525" cy="314325"/>
        </a:xfrm>
        <a:custGeom>
          <a:pathLst>
            <a:path h="10" w="100">
              <a:moveTo>
                <a:pt x="0" y="10"/>
              </a:moveTo>
              <a:lnTo>
                <a:pt x="53" y="0"/>
              </a:lnTo>
              <a:lnTo>
                <a:pt x="100" y="0"/>
              </a:lnTo>
            </a:path>
          </a:pathLst>
        </a:custGeom>
        <a:noFill/>
        <a:ln w="9525" cmpd="sng">
          <a:solidFill>
            <a:srgbClr val="000000"/>
          </a:solidFill>
          <a:headEnd type="triangl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8</xdr:col>
      <xdr:colOff>85725</xdr:colOff>
      <xdr:row>31</xdr:row>
      <xdr:rowOff>85725</xdr:rowOff>
    </xdr:from>
    <xdr:to>
      <xdr:col>8</xdr:col>
      <xdr:colOff>161925</xdr:colOff>
      <xdr:row>31</xdr:row>
      <xdr:rowOff>180975</xdr:rowOff>
    </xdr:to>
    <xdr:sp>
      <xdr:nvSpPr>
        <xdr:cNvPr id="455" name="Oval 477"/>
        <xdr:cNvSpPr>
          <a:spLocks/>
        </xdr:cNvSpPr>
      </xdr:nvSpPr>
      <xdr:spPr>
        <a:xfrm>
          <a:off x="1857375" y="5362575"/>
          <a:ext cx="7620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10</xdr:col>
      <xdr:colOff>200025</xdr:colOff>
      <xdr:row>31</xdr:row>
      <xdr:rowOff>85725</xdr:rowOff>
    </xdr:from>
    <xdr:to>
      <xdr:col>10</xdr:col>
      <xdr:colOff>276225</xdr:colOff>
      <xdr:row>31</xdr:row>
      <xdr:rowOff>180975</xdr:rowOff>
    </xdr:to>
    <xdr:sp>
      <xdr:nvSpPr>
        <xdr:cNvPr id="456" name="Oval 478"/>
        <xdr:cNvSpPr>
          <a:spLocks/>
        </xdr:cNvSpPr>
      </xdr:nvSpPr>
      <xdr:spPr>
        <a:xfrm>
          <a:off x="2638425" y="5362575"/>
          <a:ext cx="7620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8</xdr:col>
      <xdr:colOff>85725</xdr:colOff>
      <xdr:row>36</xdr:row>
      <xdr:rowOff>85725</xdr:rowOff>
    </xdr:from>
    <xdr:to>
      <xdr:col>8</xdr:col>
      <xdr:colOff>161925</xdr:colOff>
      <xdr:row>36</xdr:row>
      <xdr:rowOff>180975</xdr:rowOff>
    </xdr:to>
    <xdr:sp>
      <xdr:nvSpPr>
        <xdr:cNvPr id="457" name="Oval 479"/>
        <xdr:cNvSpPr>
          <a:spLocks/>
        </xdr:cNvSpPr>
      </xdr:nvSpPr>
      <xdr:spPr>
        <a:xfrm>
          <a:off x="1857375" y="6315075"/>
          <a:ext cx="7620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10</xdr:col>
      <xdr:colOff>190500</xdr:colOff>
      <xdr:row>36</xdr:row>
      <xdr:rowOff>85725</xdr:rowOff>
    </xdr:from>
    <xdr:to>
      <xdr:col>10</xdr:col>
      <xdr:colOff>266700</xdr:colOff>
      <xdr:row>36</xdr:row>
      <xdr:rowOff>180975</xdr:rowOff>
    </xdr:to>
    <xdr:sp>
      <xdr:nvSpPr>
        <xdr:cNvPr id="458" name="Oval 480"/>
        <xdr:cNvSpPr>
          <a:spLocks/>
        </xdr:cNvSpPr>
      </xdr:nvSpPr>
      <xdr:spPr>
        <a:xfrm>
          <a:off x="2628900" y="6315075"/>
          <a:ext cx="7620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9</xdr:col>
      <xdr:colOff>0</xdr:colOff>
      <xdr:row>31</xdr:row>
      <xdr:rowOff>57150</xdr:rowOff>
    </xdr:from>
    <xdr:to>
      <xdr:col>10</xdr:col>
      <xdr:colOff>9525</xdr:colOff>
      <xdr:row>36</xdr:row>
      <xdr:rowOff>219075</xdr:rowOff>
    </xdr:to>
    <xdr:sp>
      <xdr:nvSpPr>
        <xdr:cNvPr id="459" name="Rectangle 481"/>
        <xdr:cNvSpPr>
          <a:spLocks/>
        </xdr:cNvSpPr>
      </xdr:nvSpPr>
      <xdr:spPr>
        <a:xfrm>
          <a:off x="2105025" y="5334000"/>
          <a:ext cx="342900" cy="1114425"/>
        </a:xfrm>
        <a:prstGeom prst="roundRect">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clientData/>
  </xdr:twoCellAnchor>
  <xdr:twoCellAnchor>
    <xdr:from>
      <xdr:col>10</xdr:col>
      <xdr:colOff>323850</xdr:colOff>
      <xdr:row>22</xdr:row>
      <xdr:rowOff>209550</xdr:rowOff>
    </xdr:from>
    <xdr:to>
      <xdr:col>11</xdr:col>
      <xdr:colOff>57150</xdr:colOff>
      <xdr:row>23</xdr:row>
      <xdr:rowOff>95250</xdr:rowOff>
    </xdr:to>
    <xdr:grpSp>
      <xdr:nvGrpSpPr>
        <xdr:cNvPr id="460" name="Group 484"/>
        <xdr:cNvGrpSpPr>
          <a:grpSpLocks/>
        </xdr:cNvGrpSpPr>
      </xdr:nvGrpSpPr>
      <xdr:grpSpPr>
        <a:xfrm>
          <a:off x="2762250" y="3429000"/>
          <a:ext cx="66675" cy="161925"/>
          <a:chOff x="290" y="360"/>
          <a:chExt cx="7" cy="17"/>
        </a:xfrm>
        <a:solidFill>
          <a:srgbClr val="FFFFFF"/>
        </a:solidFill>
      </xdr:grpSpPr>
      <xdr:sp>
        <xdr:nvSpPr>
          <xdr:cNvPr id="461" name="Line 482"/>
          <xdr:cNvSpPr>
            <a:spLocks/>
          </xdr:cNvSpPr>
        </xdr:nvSpPr>
        <xdr:spPr>
          <a:xfrm>
            <a:off x="293" y="360"/>
            <a:ext cx="0" cy="17"/>
          </a:xfrm>
          <a:prstGeom prst="lin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462" name="Oval 483"/>
          <xdr:cNvSpPr>
            <a:spLocks/>
          </xdr:cNvSpPr>
        </xdr:nvSpPr>
        <xdr:spPr>
          <a:xfrm>
            <a:off x="290" y="364"/>
            <a:ext cx="7" cy="7"/>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clientData/>
  </xdr:twoCellAnchor>
  <xdr:twoCellAnchor>
    <xdr:from>
      <xdr:col>10</xdr:col>
      <xdr:colOff>304800</xdr:colOff>
      <xdr:row>3</xdr:row>
      <xdr:rowOff>257175</xdr:rowOff>
    </xdr:from>
    <xdr:to>
      <xdr:col>11</xdr:col>
      <xdr:colOff>38100</xdr:colOff>
      <xdr:row>4</xdr:row>
      <xdr:rowOff>95250</xdr:rowOff>
    </xdr:to>
    <xdr:grpSp>
      <xdr:nvGrpSpPr>
        <xdr:cNvPr id="463" name="Group 491"/>
        <xdr:cNvGrpSpPr>
          <a:grpSpLocks/>
        </xdr:cNvGrpSpPr>
      </xdr:nvGrpSpPr>
      <xdr:grpSpPr>
        <a:xfrm>
          <a:off x="2743200" y="1133475"/>
          <a:ext cx="66675" cy="161925"/>
          <a:chOff x="191" y="118"/>
          <a:chExt cx="7" cy="17"/>
        </a:xfrm>
        <a:solidFill>
          <a:srgbClr val="FFFFFF"/>
        </a:solidFill>
      </xdr:grpSpPr>
      <xdr:sp>
        <xdr:nvSpPr>
          <xdr:cNvPr id="464" name="Line 492"/>
          <xdr:cNvSpPr>
            <a:spLocks/>
          </xdr:cNvSpPr>
        </xdr:nvSpPr>
        <xdr:spPr>
          <a:xfrm flipH="1">
            <a:off x="194" y="118"/>
            <a:ext cx="0" cy="1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sp>
        <xdr:nvSpPr>
          <xdr:cNvPr id="465" name="Oval 493"/>
          <xdr:cNvSpPr>
            <a:spLocks/>
          </xdr:cNvSpPr>
        </xdr:nvSpPr>
        <xdr:spPr>
          <a:xfrm>
            <a:off x="191" y="122"/>
            <a:ext cx="7" cy="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ngsanaUPC"/>
                <a:ea typeface="AngsanaUPC"/>
                <a:cs typeface="AngsanaUPC"/>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39"/>
  <sheetViews>
    <sheetView workbookViewId="0" topLeftCell="A19">
      <selection activeCell="A5" sqref="A5:F5"/>
    </sheetView>
  </sheetViews>
  <sheetFormatPr defaultColWidth="9.33203125" defaultRowHeight="21"/>
  <cols>
    <col min="1" max="1" width="4.16015625" style="34" customWidth="1"/>
    <col min="2" max="2" width="9.33203125" style="34" customWidth="1"/>
    <col min="3" max="3" width="7.33203125" style="34" customWidth="1"/>
    <col min="4" max="4" width="13.33203125" style="34" customWidth="1"/>
    <col min="5" max="11" width="9.33203125" style="34" customWidth="1"/>
    <col min="12" max="12" width="4.16015625" style="34" customWidth="1"/>
    <col min="13" max="16384" width="9.33203125" style="34" customWidth="1"/>
  </cols>
  <sheetData>
    <row r="1" spans="2:12" ht="31.5">
      <c r="B1" s="35"/>
      <c r="C1" s="36"/>
      <c r="D1" s="37"/>
      <c r="E1" s="37"/>
      <c r="F1" s="36"/>
      <c r="G1" s="36"/>
      <c r="H1" s="36"/>
      <c r="I1" s="36"/>
      <c r="J1" s="36"/>
      <c r="K1" s="36"/>
      <c r="L1" s="38"/>
    </row>
    <row r="2" spans="1:12" ht="39" customHeight="1">
      <c r="A2" s="405"/>
      <c r="B2" s="405"/>
      <c r="C2" s="405"/>
      <c r="D2" s="405"/>
      <c r="E2" s="405"/>
      <c r="F2" s="405"/>
      <c r="G2" s="405"/>
      <c r="H2" s="405"/>
      <c r="I2" s="405"/>
      <c r="J2" s="405"/>
      <c r="K2" s="405"/>
      <c r="L2" s="405"/>
    </row>
    <row r="3" spans="2:11" ht="13.5" customHeight="1" thickBot="1">
      <c r="B3" s="1"/>
      <c r="C3" s="2"/>
      <c r="D3" s="2"/>
      <c r="E3" s="2"/>
      <c r="F3" s="2"/>
      <c r="G3" s="2"/>
      <c r="H3" s="2"/>
      <c r="I3" s="2"/>
      <c r="J3" s="10"/>
      <c r="K3" s="3"/>
    </row>
    <row r="4" spans="1:12" ht="17.25" customHeight="1">
      <c r="A4" s="82" t="s">
        <v>12</v>
      </c>
      <c r="B4" s="83"/>
      <c r="C4" s="21"/>
      <c r="D4" s="21"/>
      <c r="E4" s="21"/>
      <c r="F4" s="22"/>
      <c r="G4" s="84" t="s">
        <v>320</v>
      </c>
      <c r="H4" s="85"/>
      <c r="I4" s="86" t="s">
        <v>321</v>
      </c>
      <c r="J4" s="87"/>
      <c r="K4" s="406" t="s">
        <v>332</v>
      </c>
      <c r="L4" s="407"/>
    </row>
    <row r="5" spans="1:12" ht="21">
      <c r="A5" s="418"/>
      <c r="B5" s="419"/>
      <c r="C5" s="419"/>
      <c r="D5" s="419"/>
      <c r="E5" s="419"/>
      <c r="F5" s="420"/>
      <c r="G5" s="88" t="s">
        <v>322</v>
      </c>
      <c r="H5" s="89"/>
      <c r="I5" s="90" t="s">
        <v>323</v>
      </c>
      <c r="J5" s="91"/>
      <c r="K5" s="13"/>
      <c r="L5" s="15"/>
    </row>
    <row r="6" spans="1:12" ht="17.25" customHeight="1" thickBot="1">
      <c r="A6" s="18"/>
      <c r="B6" s="11"/>
      <c r="C6" s="11"/>
      <c r="D6" s="11"/>
      <c r="E6" s="11"/>
      <c r="F6" s="19"/>
      <c r="G6" s="92" t="s">
        <v>324</v>
      </c>
      <c r="H6" s="93"/>
      <c r="I6" s="94" t="s">
        <v>13</v>
      </c>
      <c r="J6" s="95"/>
      <c r="K6" s="18"/>
      <c r="L6" s="19"/>
    </row>
    <row r="7" spans="1:12" ht="48.75" customHeight="1">
      <c r="A7" s="39"/>
      <c r="B7" s="40" t="s">
        <v>333</v>
      </c>
      <c r="C7" s="41"/>
      <c r="D7" s="41"/>
      <c r="E7" s="41"/>
      <c r="F7" s="41"/>
      <c r="G7" s="41"/>
      <c r="H7" s="41"/>
      <c r="I7" s="41"/>
      <c r="J7" s="41"/>
      <c r="K7" s="41"/>
      <c r="L7" s="42"/>
    </row>
    <row r="8" spans="1:17" ht="21">
      <c r="A8" s="43"/>
      <c r="B8" s="44"/>
      <c r="C8" s="45" t="s">
        <v>334</v>
      </c>
      <c r="D8" s="45" t="s">
        <v>335</v>
      </c>
      <c r="E8" s="45"/>
      <c r="F8" s="45"/>
      <c r="G8" s="45"/>
      <c r="H8" s="45"/>
      <c r="I8" s="46" t="s">
        <v>329</v>
      </c>
      <c r="J8" s="46">
        <v>350</v>
      </c>
      <c r="K8" s="47" t="s">
        <v>314</v>
      </c>
      <c r="L8" s="48"/>
      <c r="M8" s="38"/>
      <c r="N8" s="38"/>
      <c r="O8" s="38"/>
      <c r="P8" s="38"/>
      <c r="Q8" s="38"/>
    </row>
    <row r="9" spans="1:12" ht="21">
      <c r="A9" s="43"/>
      <c r="B9" s="49"/>
      <c r="C9" s="49" t="s">
        <v>336</v>
      </c>
      <c r="D9" s="45" t="s">
        <v>337</v>
      </c>
      <c r="E9" s="45"/>
      <c r="F9" s="45"/>
      <c r="G9" s="45"/>
      <c r="H9" s="45"/>
      <c r="I9" s="46" t="s">
        <v>329</v>
      </c>
      <c r="J9" s="49">
        <v>280</v>
      </c>
      <c r="K9" s="47" t="s">
        <v>314</v>
      </c>
      <c r="L9" s="50"/>
    </row>
    <row r="10" spans="1:12" ht="26.25">
      <c r="A10" s="43"/>
      <c r="B10" s="51" t="s">
        <v>338</v>
      </c>
      <c r="C10" s="49"/>
      <c r="D10" s="49"/>
      <c r="E10" s="49"/>
      <c r="F10" s="49"/>
      <c r="G10" s="49"/>
      <c r="H10" s="49"/>
      <c r="I10" s="49"/>
      <c r="J10" s="49"/>
      <c r="K10" s="49"/>
      <c r="L10" s="50"/>
    </row>
    <row r="11" spans="1:12" ht="21">
      <c r="A11" s="43"/>
      <c r="B11" s="49"/>
      <c r="C11" s="49" t="s">
        <v>339</v>
      </c>
      <c r="D11" s="49"/>
      <c r="E11" s="49"/>
      <c r="F11" s="49"/>
      <c r="G11" s="49" t="s">
        <v>340</v>
      </c>
      <c r="H11" s="49" t="s">
        <v>341</v>
      </c>
      <c r="I11" s="46" t="s">
        <v>329</v>
      </c>
      <c r="J11" s="52">
        <f>0.6*J9</f>
        <v>168</v>
      </c>
      <c r="K11" s="47" t="s">
        <v>314</v>
      </c>
      <c r="L11" s="50"/>
    </row>
    <row r="12" spans="1:12" ht="21">
      <c r="A12" s="43"/>
      <c r="B12" s="49"/>
      <c r="C12" s="49" t="s">
        <v>342</v>
      </c>
      <c r="D12" s="49"/>
      <c r="E12" s="49"/>
      <c r="F12" s="49"/>
      <c r="G12" s="49" t="s">
        <v>343</v>
      </c>
      <c r="H12" s="53"/>
      <c r="I12" s="46" t="s">
        <v>329</v>
      </c>
      <c r="J12" s="52">
        <f>0.795*SQRT(280)</f>
        <v>13.302894421891802</v>
      </c>
      <c r="K12" s="47" t="s">
        <v>314</v>
      </c>
      <c r="L12" s="50"/>
    </row>
    <row r="13" spans="1:12" ht="26.25">
      <c r="A13" s="43"/>
      <c r="B13" s="51" t="s">
        <v>344</v>
      </c>
      <c r="C13" s="49"/>
      <c r="D13" s="49"/>
      <c r="E13" s="49"/>
      <c r="F13" s="49"/>
      <c r="G13" s="49"/>
      <c r="H13" s="49"/>
      <c r="I13" s="49"/>
      <c r="J13" s="49"/>
      <c r="K13" s="49"/>
      <c r="L13" s="50"/>
    </row>
    <row r="14" spans="1:12" ht="21">
      <c r="A14" s="43"/>
      <c r="B14" s="49"/>
      <c r="C14" s="49" t="s">
        <v>345</v>
      </c>
      <c r="D14" s="49"/>
      <c r="E14" s="49"/>
      <c r="F14" s="49"/>
      <c r="G14" s="49"/>
      <c r="H14" s="49"/>
      <c r="I14" s="46" t="s">
        <v>329</v>
      </c>
      <c r="J14" s="52">
        <f>0.45*J8</f>
        <v>157.5</v>
      </c>
      <c r="K14" s="47" t="s">
        <v>314</v>
      </c>
      <c r="L14" s="50"/>
    </row>
    <row r="15" spans="1:12" ht="21">
      <c r="A15" s="43"/>
      <c r="B15" s="49"/>
      <c r="C15" s="49" t="s">
        <v>346</v>
      </c>
      <c r="D15" s="49"/>
      <c r="E15" s="49"/>
      <c r="F15" s="49"/>
      <c r="G15" s="49"/>
      <c r="H15" s="49"/>
      <c r="I15" s="46" t="s">
        <v>329</v>
      </c>
      <c r="J15" s="52">
        <f>1.59*SQRT(J8)</f>
        <v>29.74617622485284</v>
      </c>
      <c r="K15" s="47" t="s">
        <v>314</v>
      </c>
      <c r="L15" s="50"/>
    </row>
    <row r="16" spans="1:12" ht="26.25">
      <c r="A16" s="43"/>
      <c r="B16" s="51" t="s">
        <v>48</v>
      </c>
      <c r="C16" s="49"/>
      <c r="D16" s="49"/>
      <c r="E16" s="49"/>
      <c r="F16" s="49"/>
      <c r="G16" s="49"/>
      <c r="H16" s="49"/>
      <c r="I16" s="49"/>
      <c r="J16" s="49"/>
      <c r="K16" s="49"/>
      <c r="L16" s="50"/>
    </row>
    <row r="17" spans="1:15" ht="29.25">
      <c r="A17" s="43"/>
      <c r="B17" s="54"/>
      <c r="C17" s="45"/>
      <c r="D17" s="45"/>
      <c r="E17" s="45"/>
      <c r="F17" s="46" t="s">
        <v>347</v>
      </c>
      <c r="G17" s="46" t="s">
        <v>329</v>
      </c>
      <c r="H17" s="110" t="s">
        <v>47</v>
      </c>
      <c r="I17" s="45"/>
      <c r="J17" s="45"/>
      <c r="K17" s="45"/>
      <c r="L17" s="48"/>
      <c r="M17" s="38"/>
      <c r="N17" s="38"/>
      <c r="O17" s="38"/>
    </row>
    <row r="18" spans="1:12" ht="21">
      <c r="A18" s="43"/>
      <c r="B18" s="49"/>
      <c r="C18" s="49"/>
      <c r="D18" s="49"/>
      <c r="E18" s="49"/>
      <c r="F18" s="33" t="s">
        <v>5</v>
      </c>
      <c r="G18" s="46" t="s">
        <v>329</v>
      </c>
      <c r="H18" s="49" t="s">
        <v>348</v>
      </c>
      <c r="I18" s="49"/>
      <c r="J18" s="49"/>
      <c r="K18" s="49"/>
      <c r="L18" s="50"/>
    </row>
    <row r="19" spans="1:12" ht="21">
      <c r="A19" s="43"/>
      <c r="B19" s="49"/>
      <c r="C19" s="49"/>
      <c r="D19" s="49"/>
      <c r="E19" s="49"/>
      <c r="F19" s="46" t="s">
        <v>349</v>
      </c>
      <c r="G19" s="46" t="s">
        <v>329</v>
      </c>
      <c r="H19" s="80" t="s">
        <v>46</v>
      </c>
      <c r="I19" s="49"/>
      <c r="J19" s="49"/>
      <c r="K19" s="49"/>
      <c r="L19" s="50"/>
    </row>
    <row r="20" spans="1:12" ht="21">
      <c r="A20" s="43"/>
      <c r="B20" s="49" t="s">
        <v>350</v>
      </c>
      <c r="C20" s="49"/>
      <c r="D20" s="49"/>
      <c r="E20" s="49"/>
      <c r="F20" s="49"/>
      <c r="G20" s="49"/>
      <c r="H20" s="49"/>
      <c r="I20" s="46" t="s">
        <v>329</v>
      </c>
      <c r="J20" s="52">
        <v>0.75</v>
      </c>
      <c r="K20" s="47" t="s">
        <v>349</v>
      </c>
      <c r="L20" s="50"/>
    </row>
    <row r="21" spans="1:12" ht="21">
      <c r="A21" s="43"/>
      <c r="B21" s="49" t="s">
        <v>351</v>
      </c>
      <c r="C21" s="49"/>
      <c r="D21" s="49"/>
      <c r="E21" s="49"/>
      <c r="F21" s="49"/>
      <c r="H21" s="46" t="s">
        <v>352</v>
      </c>
      <c r="I21" s="46" t="s">
        <v>329</v>
      </c>
      <c r="J21" s="52">
        <v>0.63</v>
      </c>
      <c r="K21" s="47" t="s">
        <v>349</v>
      </c>
      <c r="L21" s="50"/>
    </row>
    <row r="22" spans="1:12" ht="11.25" customHeight="1">
      <c r="A22" s="43"/>
      <c r="B22" s="49"/>
      <c r="C22" s="49"/>
      <c r="D22" s="49"/>
      <c r="E22" s="55"/>
      <c r="F22" s="55"/>
      <c r="G22" s="49"/>
      <c r="H22" s="49"/>
      <c r="I22" s="49"/>
      <c r="J22" s="49"/>
      <c r="K22" s="49"/>
      <c r="L22" s="50"/>
    </row>
    <row r="23" spans="1:12" ht="23.25" customHeight="1">
      <c r="A23" s="43"/>
      <c r="B23" s="408" t="s">
        <v>353</v>
      </c>
      <c r="C23" s="409"/>
      <c r="D23" s="414" t="s">
        <v>5</v>
      </c>
      <c r="E23" s="416" t="s">
        <v>6</v>
      </c>
      <c r="F23" s="56" t="s">
        <v>354</v>
      </c>
      <c r="G23" s="57" t="s">
        <v>347</v>
      </c>
      <c r="H23" s="57" t="s">
        <v>349</v>
      </c>
      <c r="I23" s="96">
        <f>+J20</f>
        <v>0.75</v>
      </c>
      <c r="J23" s="57" t="s">
        <v>352</v>
      </c>
      <c r="K23" s="58" t="s">
        <v>355</v>
      </c>
      <c r="L23" s="50"/>
    </row>
    <row r="24" spans="1:14" s="64" customFormat="1" ht="22.5" customHeight="1">
      <c r="A24" s="59"/>
      <c r="B24" s="410"/>
      <c r="C24" s="411"/>
      <c r="D24" s="415"/>
      <c r="E24" s="417"/>
      <c r="F24" s="60" t="s">
        <v>356</v>
      </c>
      <c r="G24" s="60" t="s">
        <v>314</v>
      </c>
      <c r="H24" s="60" t="s">
        <v>357</v>
      </c>
      <c r="I24" s="60" t="s">
        <v>357</v>
      </c>
      <c r="J24" s="60" t="s">
        <v>357</v>
      </c>
      <c r="K24" s="61" t="s">
        <v>358</v>
      </c>
      <c r="L24" s="62"/>
      <c r="M24" s="63"/>
      <c r="N24" s="63"/>
    </row>
    <row r="25" spans="1:12" ht="21">
      <c r="A25" s="43"/>
      <c r="B25" s="65" t="s">
        <v>359</v>
      </c>
      <c r="C25" s="49"/>
      <c r="D25" s="56" t="s">
        <v>317</v>
      </c>
      <c r="E25" s="56">
        <v>1770</v>
      </c>
      <c r="F25" s="56">
        <v>0.126</v>
      </c>
      <c r="G25" s="66">
        <v>18000</v>
      </c>
      <c r="H25" s="67">
        <f aca="true" t="shared" si="0" ref="H25:H31">+F25*G25</f>
        <v>2268</v>
      </c>
      <c r="I25" s="67">
        <f>+H25*J20</f>
        <v>1701</v>
      </c>
      <c r="J25" s="67">
        <f>+H25*J21</f>
        <v>1428.84</v>
      </c>
      <c r="K25" s="68">
        <v>0.099</v>
      </c>
      <c r="L25" s="50"/>
    </row>
    <row r="26" spans="1:12" ht="21">
      <c r="A26" s="43"/>
      <c r="B26" s="65" t="s">
        <v>359</v>
      </c>
      <c r="C26" s="49"/>
      <c r="D26" s="56" t="s">
        <v>318</v>
      </c>
      <c r="E26" s="56">
        <v>1770</v>
      </c>
      <c r="F26" s="56">
        <v>0.196</v>
      </c>
      <c r="G26" s="66">
        <v>18000</v>
      </c>
      <c r="H26" s="67">
        <f t="shared" si="0"/>
        <v>3528</v>
      </c>
      <c r="I26" s="67">
        <f>+H26*J20</f>
        <v>2646</v>
      </c>
      <c r="J26" s="67">
        <f>+H26*J21</f>
        <v>2222.64</v>
      </c>
      <c r="K26" s="68">
        <v>0.154</v>
      </c>
      <c r="L26" s="50"/>
    </row>
    <row r="27" spans="1:12" ht="21">
      <c r="A27" s="43"/>
      <c r="B27" s="65" t="s">
        <v>359</v>
      </c>
      <c r="C27" s="49"/>
      <c r="D27" s="56" t="s">
        <v>319</v>
      </c>
      <c r="E27" s="56">
        <v>1670</v>
      </c>
      <c r="F27" s="56">
        <v>0.385</v>
      </c>
      <c r="G27" s="67">
        <v>17000</v>
      </c>
      <c r="H27" s="67">
        <f t="shared" si="0"/>
        <v>6545</v>
      </c>
      <c r="I27" s="67">
        <f>+H27*J20</f>
        <v>4908.75</v>
      </c>
      <c r="J27" s="67">
        <f>+H27*J21</f>
        <v>4123.35</v>
      </c>
      <c r="K27" s="68">
        <v>0.302</v>
      </c>
      <c r="L27" s="50"/>
    </row>
    <row r="28" spans="1:12" ht="21">
      <c r="A28" s="43"/>
      <c r="B28" s="69" t="s">
        <v>7</v>
      </c>
      <c r="C28" s="49"/>
      <c r="D28" s="70" t="s">
        <v>8</v>
      </c>
      <c r="E28" s="56">
        <v>1720</v>
      </c>
      <c r="F28" s="56">
        <v>0.516</v>
      </c>
      <c r="G28" s="67">
        <v>17500</v>
      </c>
      <c r="H28" s="67">
        <f t="shared" si="0"/>
        <v>9030</v>
      </c>
      <c r="I28" s="67">
        <f>+H28*J20</f>
        <v>6772.5</v>
      </c>
      <c r="J28" s="67">
        <f>+H28*J21</f>
        <v>5688.9</v>
      </c>
      <c r="K28" s="68">
        <v>0.405</v>
      </c>
      <c r="L28" s="50"/>
    </row>
    <row r="29" spans="1:12" ht="21">
      <c r="A29" s="43"/>
      <c r="B29" s="69" t="s">
        <v>7</v>
      </c>
      <c r="C29" s="49"/>
      <c r="D29" s="70" t="s">
        <v>9</v>
      </c>
      <c r="E29" s="56">
        <v>1860</v>
      </c>
      <c r="F29" s="56">
        <v>0.548</v>
      </c>
      <c r="G29" s="67">
        <v>19000</v>
      </c>
      <c r="H29" s="67">
        <f t="shared" si="0"/>
        <v>10412</v>
      </c>
      <c r="I29" s="67">
        <f>+H29*J20</f>
        <v>7809</v>
      </c>
      <c r="J29" s="67">
        <f>+H29*J21</f>
        <v>6559.56</v>
      </c>
      <c r="K29" s="68">
        <v>0.432</v>
      </c>
      <c r="L29" s="50"/>
    </row>
    <row r="30" spans="1:12" ht="21">
      <c r="A30" s="43"/>
      <c r="B30" s="69" t="s">
        <v>7</v>
      </c>
      <c r="C30" s="49"/>
      <c r="D30" s="70" t="s">
        <v>10</v>
      </c>
      <c r="E30" s="56">
        <v>1720</v>
      </c>
      <c r="F30" s="56">
        <v>0.929</v>
      </c>
      <c r="G30" s="67">
        <v>17500</v>
      </c>
      <c r="H30" s="67">
        <f t="shared" si="0"/>
        <v>16257.5</v>
      </c>
      <c r="I30" s="67">
        <f>+H30*J20</f>
        <v>12193.125</v>
      </c>
      <c r="J30" s="67">
        <f>+H30*J21</f>
        <v>10242.225</v>
      </c>
      <c r="K30" s="68">
        <v>0.729</v>
      </c>
      <c r="L30" s="50"/>
    </row>
    <row r="31" spans="1:12" ht="21">
      <c r="A31" s="43"/>
      <c r="B31" s="71" t="s">
        <v>7</v>
      </c>
      <c r="C31" s="55"/>
      <c r="D31" s="72" t="s">
        <v>11</v>
      </c>
      <c r="E31" s="73">
        <v>1860</v>
      </c>
      <c r="F31" s="74">
        <v>0.987</v>
      </c>
      <c r="G31" s="75">
        <v>19000</v>
      </c>
      <c r="H31" s="75">
        <f t="shared" si="0"/>
        <v>18753</v>
      </c>
      <c r="I31" s="75">
        <f>+H31*J20</f>
        <v>14064.75</v>
      </c>
      <c r="J31" s="75">
        <f>+H31*J21</f>
        <v>11814.39</v>
      </c>
      <c r="K31" s="76">
        <v>0.774</v>
      </c>
      <c r="L31" s="50"/>
    </row>
    <row r="32" spans="1:12" ht="21.75" thickBot="1">
      <c r="A32" s="77"/>
      <c r="B32" s="78"/>
      <c r="C32" s="78"/>
      <c r="D32" s="78"/>
      <c r="E32" s="78"/>
      <c r="F32" s="78"/>
      <c r="G32" s="78"/>
      <c r="H32" s="78"/>
      <c r="I32" s="78"/>
      <c r="J32" s="78"/>
      <c r="K32" s="78"/>
      <c r="L32" s="79"/>
    </row>
    <row r="33" spans="1:12" ht="21">
      <c r="A33" s="49"/>
      <c r="B33" s="49"/>
      <c r="C33" s="49"/>
      <c r="D33" s="49"/>
      <c r="E33" s="49"/>
      <c r="F33" s="49"/>
      <c r="G33" s="49"/>
      <c r="H33" s="49"/>
      <c r="I33" s="49"/>
      <c r="J33" s="49"/>
      <c r="K33" s="49"/>
      <c r="L33" s="49"/>
    </row>
    <row r="34" spans="1:12" ht="21">
      <c r="A34" s="49"/>
      <c r="B34" s="49"/>
      <c r="C34" s="49"/>
      <c r="D34" s="49"/>
      <c r="E34" s="49"/>
      <c r="F34" s="49"/>
      <c r="G34" s="49"/>
      <c r="H34" s="49"/>
      <c r="I34" s="49"/>
      <c r="J34" s="49"/>
      <c r="K34" s="49"/>
      <c r="L34" s="49"/>
    </row>
    <row r="35" spans="1:12" ht="21">
      <c r="A35" s="49"/>
      <c r="B35" s="49"/>
      <c r="C35" s="49"/>
      <c r="D35" s="49"/>
      <c r="E35" s="49"/>
      <c r="H35"/>
      <c r="I35"/>
      <c r="J35" s="80"/>
      <c r="L35" s="49"/>
    </row>
    <row r="36" spans="1:12" ht="21">
      <c r="A36" s="49"/>
      <c r="B36" s="49"/>
      <c r="C36" s="49"/>
      <c r="D36" s="49"/>
      <c r="E36" s="49"/>
      <c r="H36" s="413"/>
      <c r="I36" s="413"/>
      <c r="J36" s="413"/>
      <c r="K36" s="49"/>
      <c r="L36" s="49"/>
    </row>
    <row r="37" spans="8:10" ht="21">
      <c r="H37" s="413"/>
      <c r="I37" s="413"/>
      <c r="J37" s="413"/>
    </row>
    <row r="38" spans="2:10" ht="21">
      <c r="B38" s="81"/>
      <c r="H38" s="413"/>
      <c r="I38" s="413"/>
      <c r="J38" s="413"/>
    </row>
    <row r="39" spans="10:12" ht="21">
      <c r="J39" s="412"/>
      <c r="K39" s="412"/>
      <c r="L39" s="412"/>
    </row>
  </sheetData>
  <mergeCells count="10">
    <mergeCell ref="A2:L2"/>
    <mergeCell ref="K4:L4"/>
    <mergeCell ref="B23:C24"/>
    <mergeCell ref="J39:L39"/>
    <mergeCell ref="H36:J36"/>
    <mergeCell ref="H37:J37"/>
    <mergeCell ref="H38:J38"/>
    <mergeCell ref="D23:D24"/>
    <mergeCell ref="E23:E24"/>
    <mergeCell ref="A5:F5"/>
  </mergeCells>
  <printOptions horizontalCentered="1"/>
  <pageMargins left="0.57" right="0.35433070866141736" top="0.35" bottom="0.32" header="0.06" footer="0.03"/>
  <pageSetup horizontalDpi="180" verticalDpi="180" orientation="portrait" paperSize="9" r:id="rId2"/>
  <drawing r:id="rId1"/>
</worksheet>
</file>

<file path=xl/worksheets/sheet2.xml><?xml version="1.0" encoding="utf-8"?>
<worksheet xmlns="http://schemas.openxmlformats.org/spreadsheetml/2006/main" xmlns:r="http://schemas.openxmlformats.org/officeDocument/2006/relationships">
  <dimension ref="A2:R185"/>
  <sheetViews>
    <sheetView tabSelected="1" workbookViewId="0" topLeftCell="A124">
      <selection activeCell="B185" sqref="B185"/>
    </sheetView>
  </sheetViews>
  <sheetFormatPr defaultColWidth="9.33203125" defaultRowHeight="21"/>
  <cols>
    <col min="1" max="1" width="2.33203125" style="112" customWidth="1"/>
    <col min="2" max="2" width="13.5" style="112" customWidth="1"/>
    <col min="3" max="3" width="12.33203125" style="112" customWidth="1"/>
    <col min="4" max="4" width="13.5" style="112" customWidth="1"/>
    <col min="5" max="5" width="11.66015625" style="112" bestFit="1" customWidth="1"/>
    <col min="6" max="6" width="11.5" style="112" customWidth="1"/>
    <col min="7" max="8" width="12.5" style="112" customWidth="1"/>
    <col min="9" max="9" width="11.66015625" style="112" customWidth="1"/>
    <col min="10" max="10" width="14.5" style="112" customWidth="1"/>
    <col min="11" max="11" width="10.66015625" style="112" customWidth="1"/>
    <col min="12" max="12" width="9.33203125" style="112" customWidth="1"/>
    <col min="13" max="13" width="12.66015625" style="112" customWidth="1"/>
    <col min="14" max="15" width="10.66015625" style="112" customWidth="1"/>
    <col min="16" max="16" width="14.5" style="112" customWidth="1"/>
    <col min="17" max="16384" width="10.66015625" style="112" customWidth="1"/>
  </cols>
  <sheetData>
    <row r="1" ht="26.25" customHeight="1"/>
    <row r="2" spans="1:12" ht="21.75">
      <c r="A2" s="111"/>
      <c r="B2" s="111"/>
      <c r="C2" s="111"/>
      <c r="D2" s="113"/>
      <c r="E2" s="111"/>
      <c r="F2" s="111"/>
      <c r="G2" s="111"/>
      <c r="H2" s="111"/>
      <c r="I2" s="111"/>
      <c r="J2" s="111"/>
      <c r="K2" s="111"/>
      <c r="L2" s="111"/>
    </row>
    <row r="3" spans="1:12" ht="12.75" customHeight="1">
      <c r="A3" s="111"/>
      <c r="B3" s="111"/>
      <c r="C3" s="111"/>
      <c r="D3" s="113"/>
      <c r="E3" s="111"/>
      <c r="F3" s="111"/>
      <c r="G3" s="111"/>
      <c r="H3" s="111"/>
      <c r="I3" s="111"/>
      <c r="J3" s="111"/>
      <c r="K3" s="111"/>
      <c r="L3" s="111"/>
    </row>
    <row r="4" spans="1:11" ht="23.25">
      <c r="A4" s="394" t="s">
        <v>397</v>
      </c>
      <c r="B4" s="394"/>
      <c r="C4" s="394"/>
      <c r="D4" s="394"/>
      <c r="E4" s="394"/>
      <c r="F4" s="394"/>
      <c r="G4" s="394"/>
      <c r="H4" s="394"/>
      <c r="I4" s="394"/>
      <c r="J4" s="394"/>
      <c r="K4" s="394"/>
    </row>
    <row r="5" spans="1:11" ht="24" thickBot="1">
      <c r="A5" s="123" t="s">
        <v>398</v>
      </c>
      <c r="B5" s="123"/>
      <c r="C5" s="122"/>
      <c r="D5" s="122"/>
      <c r="E5" s="122"/>
      <c r="F5" s="122"/>
      <c r="G5" s="122"/>
      <c r="H5" s="122"/>
      <c r="I5" s="122"/>
      <c r="J5" s="122"/>
      <c r="K5" s="122"/>
    </row>
    <row r="6" spans="1:11" ht="23.25">
      <c r="A6" s="126"/>
      <c r="B6" s="127"/>
      <c r="C6" s="127"/>
      <c r="D6" s="128"/>
      <c r="E6" s="129" t="s">
        <v>236</v>
      </c>
      <c r="F6" s="128" t="s">
        <v>34</v>
      </c>
      <c r="G6" s="128"/>
      <c r="H6" s="128"/>
      <c r="I6" s="128"/>
      <c r="J6" s="128"/>
      <c r="K6" s="130"/>
    </row>
    <row r="7" spans="1:11" ht="24" thickBot="1">
      <c r="A7" s="131" t="s">
        <v>183</v>
      </c>
      <c r="B7" s="132"/>
      <c r="C7" s="111"/>
      <c r="D7" s="111"/>
      <c r="E7" s="111"/>
      <c r="F7" s="111"/>
      <c r="G7" s="111"/>
      <c r="H7" s="111"/>
      <c r="I7" s="111"/>
      <c r="J7" s="111"/>
      <c r="K7" s="133"/>
    </row>
    <row r="8" spans="1:11" ht="17.25" customHeight="1">
      <c r="A8" s="126"/>
      <c r="B8" s="127"/>
      <c r="C8" s="127"/>
      <c r="D8" s="134"/>
      <c r="E8" s="425" t="s">
        <v>52</v>
      </c>
      <c r="F8" s="425"/>
      <c r="G8" s="425"/>
      <c r="H8" s="425"/>
      <c r="I8" s="425"/>
      <c r="J8" s="425"/>
      <c r="K8" s="426"/>
    </row>
    <row r="9" spans="1:11" ht="17.25" customHeight="1">
      <c r="A9" s="135"/>
      <c r="B9" s="111"/>
      <c r="C9" s="111"/>
      <c r="D9" s="133"/>
      <c r="E9" s="136" t="s">
        <v>53</v>
      </c>
      <c r="F9" s="260" t="s">
        <v>54</v>
      </c>
      <c r="G9" s="260" t="s">
        <v>55</v>
      </c>
      <c r="H9" s="260" t="s">
        <v>56</v>
      </c>
      <c r="I9" s="260" t="s">
        <v>57</v>
      </c>
      <c r="J9" s="260" t="s">
        <v>58</v>
      </c>
      <c r="K9" s="261" t="s">
        <v>59</v>
      </c>
    </row>
    <row r="10" spans="1:13" ht="17.25" customHeight="1">
      <c r="A10" s="135"/>
      <c r="B10" s="111"/>
      <c r="C10" s="111"/>
      <c r="D10" s="133"/>
      <c r="E10" s="285">
        <v>40</v>
      </c>
      <c r="F10" s="386">
        <v>12</v>
      </c>
      <c r="G10" s="386">
        <v>16</v>
      </c>
      <c r="H10" s="286">
        <v>40</v>
      </c>
      <c r="I10" s="386">
        <v>11</v>
      </c>
      <c r="J10" s="386">
        <v>3</v>
      </c>
      <c r="K10" s="387">
        <v>12</v>
      </c>
      <c r="M10" s="272">
        <f>+IF(G10&gt;0,G10,IF(G10=0,E10))</f>
        <v>16</v>
      </c>
    </row>
    <row r="11" spans="1:11" ht="21.75">
      <c r="A11" s="135"/>
      <c r="B11" s="111"/>
      <c r="C11" s="111"/>
      <c r="D11" s="133"/>
      <c r="E11" s="111"/>
      <c r="F11" s="111" t="s">
        <v>174</v>
      </c>
      <c r="G11" s="111"/>
      <c r="I11" s="118" t="s">
        <v>360</v>
      </c>
      <c r="J11" s="284">
        <v>18</v>
      </c>
      <c r="K11" s="133" t="s">
        <v>237</v>
      </c>
    </row>
    <row r="12" spans="1:11" ht="24.75">
      <c r="A12" s="135"/>
      <c r="B12" s="111"/>
      <c r="C12" s="111"/>
      <c r="D12" s="133"/>
      <c r="E12" s="111"/>
      <c r="F12" s="111" t="s">
        <v>175</v>
      </c>
      <c r="G12" s="111"/>
      <c r="I12" s="118" t="s">
        <v>361</v>
      </c>
      <c r="J12" s="284">
        <v>1232</v>
      </c>
      <c r="K12" s="133" t="s">
        <v>238</v>
      </c>
    </row>
    <row r="13" spans="1:11" ht="21.75">
      <c r="A13" s="135"/>
      <c r="B13" s="111"/>
      <c r="C13" s="111"/>
      <c r="D13" s="133"/>
      <c r="E13" s="111"/>
      <c r="F13" s="111" t="s">
        <v>176</v>
      </c>
      <c r="G13" s="111"/>
      <c r="I13" s="118" t="s">
        <v>370</v>
      </c>
      <c r="J13" s="138">
        <f>+J12*0.24</f>
        <v>295.68</v>
      </c>
      <c r="K13" s="133" t="s">
        <v>239</v>
      </c>
    </row>
    <row r="14" spans="1:11" ht="24.75">
      <c r="A14" s="135"/>
      <c r="B14" s="111"/>
      <c r="C14" s="111"/>
      <c r="D14" s="133"/>
      <c r="E14" s="111"/>
      <c r="F14" s="111" t="s">
        <v>177</v>
      </c>
      <c r="G14" s="111"/>
      <c r="I14" s="118" t="s">
        <v>362</v>
      </c>
      <c r="J14" s="284">
        <v>206313.33</v>
      </c>
      <c r="K14" s="133" t="s">
        <v>240</v>
      </c>
    </row>
    <row r="15" spans="1:11" ht="24.75">
      <c r="A15" s="135"/>
      <c r="B15" s="111"/>
      <c r="C15" s="111"/>
      <c r="D15" s="133"/>
      <c r="E15" s="111"/>
      <c r="F15" s="111" t="s">
        <v>234</v>
      </c>
      <c r="G15" s="111"/>
      <c r="I15" s="118" t="s">
        <v>363</v>
      </c>
      <c r="J15" s="284">
        <v>10315.67</v>
      </c>
      <c r="K15" s="133" t="s">
        <v>241</v>
      </c>
    </row>
    <row r="16" spans="1:15" ht="21.75">
      <c r="A16" s="135"/>
      <c r="B16" s="111"/>
      <c r="C16" s="111"/>
      <c r="D16" s="133"/>
      <c r="E16" s="111"/>
      <c r="F16" s="111" t="s">
        <v>364</v>
      </c>
      <c r="G16" s="111"/>
      <c r="I16" s="118" t="s">
        <v>371</v>
      </c>
      <c r="J16" s="284">
        <v>12500</v>
      </c>
      <c r="K16" s="133" t="s">
        <v>242</v>
      </c>
      <c r="M16" s="111"/>
      <c r="N16" s="148"/>
      <c r="O16" s="111"/>
    </row>
    <row r="17" spans="1:15" ht="21.75">
      <c r="A17" s="135"/>
      <c r="B17" s="111"/>
      <c r="C17" s="111"/>
      <c r="D17" s="133"/>
      <c r="E17" s="111"/>
      <c r="F17" s="111" t="s">
        <v>365</v>
      </c>
      <c r="G17" s="111"/>
      <c r="I17" s="118" t="s">
        <v>374</v>
      </c>
      <c r="J17" s="138">
        <f>+J18-J16</f>
        <v>1800</v>
      </c>
      <c r="K17" s="133" t="s">
        <v>242</v>
      </c>
      <c r="M17" s="117"/>
      <c r="N17" s="148"/>
      <c r="O17" s="111"/>
    </row>
    <row r="18" spans="1:15" ht="21.75">
      <c r="A18" s="135"/>
      <c r="B18" s="111"/>
      <c r="C18" s="111"/>
      <c r="D18" s="133"/>
      <c r="E18" s="111"/>
      <c r="F18" s="111"/>
      <c r="G18" s="111"/>
      <c r="I18" s="118" t="s">
        <v>375</v>
      </c>
      <c r="J18" s="305">
        <v>14300</v>
      </c>
      <c r="K18" s="133" t="s">
        <v>242</v>
      </c>
      <c r="M18" s="111"/>
      <c r="N18" s="111"/>
      <c r="O18" s="111"/>
    </row>
    <row r="19" spans="1:15" ht="21.75">
      <c r="A19" s="135"/>
      <c r="B19" s="111"/>
      <c r="C19" s="111"/>
      <c r="D19" s="133"/>
      <c r="E19" s="111"/>
      <c r="F19" s="111" t="s">
        <v>178</v>
      </c>
      <c r="G19" s="111"/>
      <c r="I19" s="118" t="s">
        <v>376</v>
      </c>
      <c r="J19" s="284">
        <v>6600</v>
      </c>
      <c r="K19" s="133" t="s">
        <v>243</v>
      </c>
      <c r="M19" s="111"/>
      <c r="N19" s="111"/>
      <c r="O19" s="111"/>
    </row>
    <row r="20" spans="1:11" ht="22.5" thickBot="1">
      <c r="A20" s="139"/>
      <c r="B20" s="140"/>
      <c r="C20" s="140"/>
      <c r="D20" s="141"/>
      <c r="E20" s="140"/>
      <c r="F20" s="140"/>
      <c r="G20" s="140"/>
      <c r="H20" s="142"/>
      <c r="I20" s="140"/>
      <c r="J20" s="143"/>
      <c r="K20" s="141"/>
    </row>
    <row r="21" spans="1:11" ht="23.25">
      <c r="A21" s="131" t="s">
        <v>61</v>
      </c>
      <c r="B21" s="144"/>
      <c r="C21" s="111"/>
      <c r="D21" s="111"/>
      <c r="E21" s="111"/>
      <c r="F21" s="111"/>
      <c r="G21" s="111"/>
      <c r="H21" s="111"/>
      <c r="I21" s="111"/>
      <c r="J21" s="117"/>
      <c r="K21" s="133"/>
    </row>
    <row r="22" spans="1:11" ht="21.75">
      <c r="A22" s="135"/>
      <c r="B22" s="145" t="s">
        <v>181</v>
      </c>
      <c r="C22" s="111"/>
      <c r="D22" s="111"/>
      <c r="E22" s="111"/>
      <c r="F22" s="111"/>
      <c r="G22" s="111"/>
      <c r="H22" s="137" t="s">
        <v>179</v>
      </c>
      <c r="I22" s="117" t="s">
        <v>329</v>
      </c>
      <c r="J22" s="287">
        <v>400</v>
      </c>
      <c r="K22" s="133" t="s">
        <v>26</v>
      </c>
    </row>
    <row r="23" spans="1:11" ht="21.75">
      <c r="A23" s="135"/>
      <c r="B23" s="145" t="s">
        <v>184</v>
      </c>
      <c r="C23" s="111"/>
      <c r="D23" s="111"/>
      <c r="E23" s="111"/>
      <c r="F23" s="111"/>
      <c r="G23" s="111"/>
      <c r="H23" s="137" t="s">
        <v>180</v>
      </c>
      <c r="I23" s="117" t="s">
        <v>329</v>
      </c>
      <c r="J23" s="287">
        <f>+CERTIFICATE!J9</f>
        <v>280</v>
      </c>
      <c r="K23" s="133" t="s">
        <v>314</v>
      </c>
    </row>
    <row r="24" spans="1:11" ht="21.75">
      <c r="A24" s="135"/>
      <c r="B24" s="145" t="s">
        <v>182</v>
      </c>
      <c r="C24" s="111"/>
      <c r="D24" s="111"/>
      <c r="E24" s="111"/>
      <c r="F24" s="111"/>
      <c r="G24" s="111" t="s">
        <v>160</v>
      </c>
      <c r="H24" s="111"/>
      <c r="I24" s="117" t="s">
        <v>329</v>
      </c>
      <c r="J24" s="146">
        <f>15200*SQRT(J22)</f>
        <v>304000</v>
      </c>
      <c r="K24" s="133" t="s">
        <v>314</v>
      </c>
    </row>
    <row r="25" spans="1:11" ht="21.75">
      <c r="A25" s="135"/>
      <c r="B25" s="145" t="s">
        <v>235</v>
      </c>
      <c r="C25" s="111"/>
      <c r="D25" s="111"/>
      <c r="E25" s="111"/>
      <c r="F25" s="111"/>
      <c r="G25" s="111" t="s">
        <v>161</v>
      </c>
      <c r="H25" s="111"/>
      <c r="I25" s="117" t="s">
        <v>329</v>
      </c>
      <c r="J25" s="146">
        <f>15200*SQRT(J23)</f>
        <v>254344.64806635896</v>
      </c>
      <c r="K25" s="133" t="s">
        <v>314</v>
      </c>
    </row>
    <row r="26" spans="1:11" ht="21.75">
      <c r="A26" s="135"/>
      <c r="B26" s="145" t="s">
        <v>62</v>
      </c>
      <c r="C26" s="111"/>
      <c r="D26" s="111"/>
      <c r="E26" s="111" t="s">
        <v>63</v>
      </c>
      <c r="F26" s="111"/>
      <c r="G26" s="147" t="s">
        <v>162</v>
      </c>
      <c r="H26" s="147" t="s">
        <v>163</v>
      </c>
      <c r="I26" s="117" t="s">
        <v>329</v>
      </c>
      <c r="J26" s="148">
        <f>0.6*J23</f>
        <v>168</v>
      </c>
      <c r="K26" s="133" t="s">
        <v>314</v>
      </c>
    </row>
    <row r="27" spans="1:11" ht="21.75">
      <c r="A27" s="135"/>
      <c r="B27" s="111"/>
      <c r="C27" s="111"/>
      <c r="D27" s="111"/>
      <c r="E27" s="111" t="s">
        <v>64</v>
      </c>
      <c r="F27" s="111"/>
      <c r="G27" s="147" t="s">
        <v>164</v>
      </c>
      <c r="H27" s="147" t="s">
        <v>377</v>
      </c>
      <c r="I27" s="117"/>
      <c r="J27" s="148">
        <f>-0.795*SQRT(J23)</f>
        <v>-13.302894421891802</v>
      </c>
      <c r="K27" s="133" t="s">
        <v>314</v>
      </c>
    </row>
    <row r="28" spans="1:11" ht="21.75">
      <c r="A28" s="135"/>
      <c r="B28" s="145" t="s">
        <v>65</v>
      </c>
      <c r="C28" s="111"/>
      <c r="D28" s="111"/>
      <c r="E28" s="111" t="s">
        <v>63</v>
      </c>
      <c r="F28" s="111"/>
      <c r="G28" s="147" t="s">
        <v>165</v>
      </c>
      <c r="H28" s="147" t="s">
        <v>166</v>
      </c>
      <c r="I28" s="117" t="s">
        <v>329</v>
      </c>
      <c r="J28" s="148">
        <f>0.45*J22</f>
        <v>180</v>
      </c>
      <c r="K28" s="133" t="s">
        <v>314</v>
      </c>
    </row>
    <row r="29" spans="1:11" ht="21.75">
      <c r="A29" s="135"/>
      <c r="B29" s="111"/>
      <c r="C29" s="111"/>
      <c r="D29" s="111"/>
      <c r="E29" s="111" t="s">
        <v>64</v>
      </c>
      <c r="F29" s="111"/>
      <c r="G29" s="147" t="s">
        <v>167</v>
      </c>
      <c r="H29" s="147" t="s">
        <v>378</v>
      </c>
      <c r="I29" s="111"/>
      <c r="J29" s="148">
        <f>-1.59*SQRT(J22)</f>
        <v>-31.8</v>
      </c>
      <c r="K29" s="133" t="s">
        <v>314</v>
      </c>
    </row>
    <row r="30" spans="1:11" ht="21.75">
      <c r="A30" s="135"/>
      <c r="B30" s="145" t="s">
        <v>66</v>
      </c>
      <c r="C30" s="111"/>
      <c r="D30" s="111"/>
      <c r="E30" s="111"/>
      <c r="F30" s="111"/>
      <c r="G30" s="147" t="s">
        <v>168</v>
      </c>
      <c r="H30" s="147" t="s">
        <v>169</v>
      </c>
      <c r="I30" s="117" t="s">
        <v>329</v>
      </c>
      <c r="J30" s="148">
        <f>0.33*J22</f>
        <v>132</v>
      </c>
      <c r="K30" s="133" t="s">
        <v>314</v>
      </c>
    </row>
    <row r="31" spans="1:11" ht="22.5" thickBot="1">
      <c r="A31" s="135"/>
      <c r="B31" s="145" t="s">
        <v>67</v>
      </c>
      <c r="C31" s="111"/>
      <c r="D31" s="111"/>
      <c r="E31" s="111"/>
      <c r="F31" s="111"/>
      <c r="G31" s="111"/>
      <c r="H31" s="117" t="s">
        <v>170</v>
      </c>
      <c r="I31" s="149" t="s">
        <v>329</v>
      </c>
      <c r="J31" s="296">
        <f>P39</f>
        <v>1978256.8</v>
      </c>
      <c r="K31" s="133" t="s">
        <v>314</v>
      </c>
    </row>
    <row r="32" spans="1:15" ht="18.75" customHeight="1">
      <c r="A32" s="431" t="s">
        <v>68</v>
      </c>
      <c r="B32" s="432"/>
      <c r="C32" s="429" t="s">
        <v>69</v>
      </c>
      <c r="D32" s="151" t="s">
        <v>70</v>
      </c>
      <c r="E32" s="395" t="s">
        <v>72</v>
      </c>
      <c r="F32" s="396"/>
      <c r="G32" s="151" t="s">
        <v>73</v>
      </c>
      <c r="H32" s="150" t="s">
        <v>74</v>
      </c>
      <c r="I32" s="151" t="s">
        <v>75</v>
      </c>
      <c r="J32" s="395" t="s">
        <v>76</v>
      </c>
      <c r="K32" s="397"/>
      <c r="O32" s="114" t="s">
        <v>185</v>
      </c>
    </row>
    <row r="33" spans="1:15" ht="18.75" customHeight="1">
      <c r="A33" s="433"/>
      <c r="B33" s="434"/>
      <c r="C33" s="430"/>
      <c r="D33" s="153" t="s">
        <v>216</v>
      </c>
      <c r="E33" s="154" t="s">
        <v>77</v>
      </c>
      <c r="F33" s="155" t="s">
        <v>78</v>
      </c>
      <c r="G33" s="153" t="s">
        <v>79</v>
      </c>
      <c r="H33" s="152" t="s">
        <v>80</v>
      </c>
      <c r="I33" s="153" t="s">
        <v>217</v>
      </c>
      <c r="J33" s="154" t="s">
        <v>218</v>
      </c>
      <c r="K33" s="156" t="s">
        <v>219</v>
      </c>
      <c r="O33" s="114" t="s">
        <v>186</v>
      </c>
    </row>
    <row r="34" spans="1:16" ht="18.75" customHeight="1" thickBot="1">
      <c r="A34" s="435"/>
      <c r="B34" s="436"/>
      <c r="C34" s="157" t="s">
        <v>220</v>
      </c>
      <c r="D34" s="158" t="s">
        <v>81</v>
      </c>
      <c r="E34" s="159" t="s">
        <v>82</v>
      </c>
      <c r="F34" s="157" t="s">
        <v>82</v>
      </c>
      <c r="G34" s="158" t="s">
        <v>33</v>
      </c>
      <c r="H34" s="157" t="s">
        <v>33</v>
      </c>
      <c r="I34" s="158" t="s">
        <v>220</v>
      </c>
      <c r="J34" s="159" t="s">
        <v>82</v>
      </c>
      <c r="K34" s="160" t="s">
        <v>82</v>
      </c>
      <c r="N34" s="112" t="s">
        <v>316</v>
      </c>
      <c r="O34" s="114" t="s">
        <v>221</v>
      </c>
      <c r="P34" s="114" t="s">
        <v>170</v>
      </c>
    </row>
    <row r="35" spans="1:16" ht="21.75">
      <c r="A35" s="161" t="s">
        <v>384</v>
      </c>
      <c r="B35" s="162"/>
      <c r="C35" s="163">
        <v>0.126</v>
      </c>
      <c r="D35" s="164">
        <v>18000</v>
      </c>
      <c r="E35" s="288">
        <v>0</v>
      </c>
      <c r="F35" s="288">
        <v>0</v>
      </c>
      <c r="G35" s="262">
        <f aca="true" t="shared" si="0" ref="G35:G41">C35*D35*$G$48</f>
        <v>1701</v>
      </c>
      <c r="H35" s="262">
        <f aca="true" t="shared" si="1" ref="H35:H41">C35*D35*(E35+F35)*$G$48</f>
        <v>0</v>
      </c>
      <c r="I35" s="262">
        <f aca="true" t="shared" si="2" ref="I35:I41">(E35+F35)*C35</f>
        <v>0</v>
      </c>
      <c r="J35" s="384">
        <v>0</v>
      </c>
      <c r="K35" s="165">
        <f aca="true" t="shared" si="3" ref="K35:K41">IF(J35=0,J35,IF(J35&gt;0,M35))</f>
        <v>0</v>
      </c>
      <c r="M35" s="166">
        <f aca="true" t="shared" si="4" ref="M35:M41">$H$10-J35</f>
        <v>40</v>
      </c>
      <c r="N35" s="304">
        <v>4</v>
      </c>
      <c r="O35" s="238">
        <v>200</v>
      </c>
      <c r="P35" s="303">
        <f aca="true" t="shared" si="5" ref="P35:P41">+O35*10197.2</f>
        <v>2039440.0000000002</v>
      </c>
    </row>
    <row r="36" spans="1:16" ht="21.75">
      <c r="A36" s="167" t="s">
        <v>385</v>
      </c>
      <c r="B36" s="168"/>
      <c r="C36" s="169">
        <v>0.196</v>
      </c>
      <c r="D36" s="170">
        <v>18000</v>
      </c>
      <c r="E36" s="289">
        <v>0</v>
      </c>
      <c r="F36" s="289">
        <v>0</v>
      </c>
      <c r="G36" s="203">
        <f t="shared" si="0"/>
        <v>2646</v>
      </c>
      <c r="H36" s="203">
        <f t="shared" si="1"/>
        <v>0</v>
      </c>
      <c r="I36" s="203">
        <f t="shared" si="2"/>
        <v>0</v>
      </c>
      <c r="J36" s="289">
        <v>0</v>
      </c>
      <c r="K36" s="172">
        <f t="shared" si="3"/>
        <v>0</v>
      </c>
      <c r="M36" s="173">
        <f t="shared" si="4"/>
        <v>40</v>
      </c>
      <c r="N36" s="304">
        <v>5</v>
      </c>
      <c r="O36" s="238">
        <v>200</v>
      </c>
      <c r="P36" s="303">
        <f t="shared" si="5"/>
        <v>2039440.0000000002</v>
      </c>
    </row>
    <row r="37" spans="1:16" ht="21.75">
      <c r="A37" s="167" t="s">
        <v>386</v>
      </c>
      <c r="B37" s="168"/>
      <c r="C37" s="169">
        <v>0.385</v>
      </c>
      <c r="D37" s="170">
        <v>17000</v>
      </c>
      <c r="E37" s="290">
        <v>0</v>
      </c>
      <c r="F37" s="290">
        <v>0</v>
      </c>
      <c r="G37" s="203">
        <f t="shared" si="0"/>
        <v>4908.75</v>
      </c>
      <c r="H37" s="203">
        <f t="shared" si="1"/>
        <v>0</v>
      </c>
      <c r="I37" s="203">
        <f t="shared" si="2"/>
        <v>0</v>
      </c>
      <c r="J37" s="289">
        <v>0</v>
      </c>
      <c r="K37" s="172">
        <f t="shared" si="3"/>
        <v>0</v>
      </c>
      <c r="M37" s="173">
        <f t="shared" si="4"/>
        <v>40</v>
      </c>
      <c r="N37" s="304">
        <v>7</v>
      </c>
      <c r="O37" s="238">
        <v>200</v>
      </c>
      <c r="P37" s="303">
        <f t="shared" si="5"/>
        <v>2039440.0000000002</v>
      </c>
    </row>
    <row r="38" spans="1:16" ht="21.75">
      <c r="A38" s="167" t="s">
        <v>387</v>
      </c>
      <c r="B38" s="168"/>
      <c r="C38" s="169">
        <v>0.516</v>
      </c>
      <c r="D38" s="170">
        <v>17500</v>
      </c>
      <c r="E38" s="290">
        <v>0</v>
      </c>
      <c r="F38" s="290">
        <v>0</v>
      </c>
      <c r="G38" s="203">
        <f t="shared" si="0"/>
        <v>6772.5</v>
      </c>
      <c r="H38" s="203">
        <f t="shared" si="1"/>
        <v>0</v>
      </c>
      <c r="I38" s="203">
        <f t="shared" si="2"/>
        <v>0</v>
      </c>
      <c r="J38" s="289">
        <v>0</v>
      </c>
      <c r="K38" s="172">
        <f t="shared" si="3"/>
        <v>0</v>
      </c>
      <c r="M38" s="173">
        <f t="shared" si="4"/>
        <v>40</v>
      </c>
      <c r="N38" s="304" t="s">
        <v>187</v>
      </c>
      <c r="O38" s="238">
        <v>192</v>
      </c>
      <c r="P38" s="303">
        <f t="shared" si="5"/>
        <v>1957862.4000000001</v>
      </c>
    </row>
    <row r="39" spans="1:16" ht="21.75">
      <c r="A39" s="167" t="s">
        <v>388</v>
      </c>
      <c r="B39" s="168"/>
      <c r="C39" s="169">
        <v>0.548</v>
      </c>
      <c r="D39" s="170">
        <v>19000</v>
      </c>
      <c r="E39" s="383">
        <v>6</v>
      </c>
      <c r="F39" s="383">
        <v>8</v>
      </c>
      <c r="G39" s="203">
        <f t="shared" si="0"/>
        <v>7809</v>
      </c>
      <c r="H39" s="203">
        <f t="shared" si="1"/>
        <v>109326</v>
      </c>
      <c r="I39" s="203">
        <f t="shared" si="2"/>
        <v>7.672000000000001</v>
      </c>
      <c r="J39" s="289">
        <v>4</v>
      </c>
      <c r="K39" s="172">
        <f t="shared" si="3"/>
        <v>36</v>
      </c>
      <c r="M39" s="173">
        <f t="shared" si="4"/>
        <v>36</v>
      </c>
      <c r="N39" s="304" t="s">
        <v>188</v>
      </c>
      <c r="O39" s="238">
        <v>194</v>
      </c>
      <c r="P39" s="303">
        <f t="shared" si="5"/>
        <v>1978256.8</v>
      </c>
    </row>
    <row r="40" spans="1:16" ht="21.75">
      <c r="A40" s="167" t="s">
        <v>389</v>
      </c>
      <c r="B40" s="168"/>
      <c r="C40" s="169">
        <v>0.929</v>
      </c>
      <c r="D40" s="170">
        <v>17500</v>
      </c>
      <c r="E40" s="290">
        <v>0</v>
      </c>
      <c r="F40" s="290">
        <v>0</v>
      </c>
      <c r="G40" s="203">
        <f t="shared" si="0"/>
        <v>12193.125</v>
      </c>
      <c r="H40" s="203">
        <f t="shared" si="1"/>
        <v>0</v>
      </c>
      <c r="I40" s="203">
        <f t="shared" si="2"/>
        <v>0</v>
      </c>
      <c r="J40" s="289">
        <v>0</v>
      </c>
      <c r="K40" s="172">
        <f t="shared" si="3"/>
        <v>0</v>
      </c>
      <c r="M40" s="173">
        <f t="shared" si="4"/>
        <v>40</v>
      </c>
      <c r="N40" s="304" t="s">
        <v>190</v>
      </c>
      <c r="O40" s="238">
        <v>195</v>
      </c>
      <c r="P40" s="303">
        <f t="shared" si="5"/>
        <v>1988454.0000000002</v>
      </c>
    </row>
    <row r="41" spans="1:16" ht="22.5" thickBot="1">
      <c r="A41" s="174" t="s">
        <v>390</v>
      </c>
      <c r="B41" s="175"/>
      <c r="C41" s="176">
        <v>0.987</v>
      </c>
      <c r="D41" s="177">
        <v>19000</v>
      </c>
      <c r="E41" s="291">
        <v>0</v>
      </c>
      <c r="F41" s="291">
        <v>0</v>
      </c>
      <c r="G41" s="263">
        <f t="shared" si="0"/>
        <v>14064.75</v>
      </c>
      <c r="H41" s="263">
        <f t="shared" si="1"/>
        <v>0</v>
      </c>
      <c r="I41" s="263">
        <f t="shared" si="2"/>
        <v>0</v>
      </c>
      <c r="J41" s="385">
        <v>0</v>
      </c>
      <c r="K41" s="178">
        <f t="shared" si="3"/>
        <v>0</v>
      </c>
      <c r="M41" s="179">
        <f t="shared" si="4"/>
        <v>40</v>
      </c>
      <c r="N41" s="304" t="s">
        <v>192</v>
      </c>
      <c r="O41" s="238">
        <v>193</v>
      </c>
      <c r="P41" s="303">
        <f t="shared" si="5"/>
        <v>1968059.6</v>
      </c>
    </row>
    <row r="42" spans="1:11" ht="21.75">
      <c r="A42" s="180"/>
      <c r="B42" s="181" t="s">
        <v>189</v>
      </c>
      <c r="C42" s="127"/>
      <c r="D42" s="182"/>
      <c r="E42" s="127"/>
      <c r="F42" s="183" t="s">
        <v>222</v>
      </c>
      <c r="G42" s="292">
        <v>19000</v>
      </c>
      <c r="H42" s="184" t="s">
        <v>83</v>
      </c>
      <c r="I42" s="182"/>
      <c r="J42" s="182"/>
      <c r="K42" s="185"/>
    </row>
    <row r="43" spans="1:11" ht="21.75">
      <c r="A43" s="186"/>
      <c r="B43" s="118" t="s">
        <v>191</v>
      </c>
      <c r="C43" s="111"/>
      <c r="D43" s="117"/>
      <c r="E43" s="111"/>
      <c r="F43" s="137" t="s">
        <v>223</v>
      </c>
      <c r="G43" s="293">
        <v>4</v>
      </c>
      <c r="H43" s="119" t="s">
        <v>14</v>
      </c>
      <c r="I43" s="117"/>
      <c r="J43" s="117"/>
      <c r="K43" s="187"/>
    </row>
    <row r="44" spans="1:11" ht="21.75">
      <c r="A44" s="186"/>
      <c r="B44" s="118" t="s">
        <v>191</v>
      </c>
      <c r="C44" s="111"/>
      <c r="D44" s="117"/>
      <c r="E44" s="111"/>
      <c r="F44" s="137" t="s">
        <v>224</v>
      </c>
      <c r="G44" s="120">
        <f>H10-G43</f>
        <v>36</v>
      </c>
      <c r="H44" s="119" t="s">
        <v>14</v>
      </c>
      <c r="I44" s="117"/>
      <c r="J44" s="117"/>
      <c r="K44" s="187"/>
    </row>
    <row r="45" spans="1:11" ht="21.75">
      <c r="A45" s="135"/>
      <c r="B45" s="111" t="s">
        <v>193</v>
      </c>
      <c r="C45" s="111"/>
      <c r="D45" s="111"/>
      <c r="E45" s="111"/>
      <c r="F45" s="111"/>
      <c r="G45" s="111"/>
      <c r="H45" s="117" t="s">
        <v>171</v>
      </c>
      <c r="I45" s="117" t="s">
        <v>329</v>
      </c>
      <c r="J45" s="265">
        <f>E35*C35+E36*C36+E37*C37+E38*C38+E39*C39+E40*C40+E41*C41</f>
        <v>3.2880000000000003</v>
      </c>
      <c r="K45" s="188" t="s">
        <v>172</v>
      </c>
    </row>
    <row r="46" spans="1:11" ht="21.75">
      <c r="A46" s="135"/>
      <c r="B46" s="111" t="s">
        <v>194</v>
      </c>
      <c r="C46" s="111"/>
      <c r="D46" s="111"/>
      <c r="E46" s="111"/>
      <c r="F46" s="111"/>
      <c r="G46" s="111"/>
      <c r="H46" s="117" t="s">
        <v>173</v>
      </c>
      <c r="I46" s="117" t="s">
        <v>329</v>
      </c>
      <c r="J46" s="265">
        <f>F35*C35+F36*C36+F37*C37+F38*C38+F39*C39+F40*C40+F41*C41</f>
        <v>4.384</v>
      </c>
      <c r="K46" s="188" t="s">
        <v>172</v>
      </c>
    </row>
    <row r="47" spans="1:11" ht="21.75">
      <c r="A47" s="135"/>
      <c r="B47" s="111" t="s">
        <v>195</v>
      </c>
      <c r="C47" s="111"/>
      <c r="D47" s="111"/>
      <c r="E47" s="111"/>
      <c r="F47" s="137" t="s">
        <v>225</v>
      </c>
      <c r="G47" s="111" t="s">
        <v>226</v>
      </c>
      <c r="H47" s="111"/>
      <c r="I47" s="117" t="s">
        <v>329</v>
      </c>
      <c r="J47" s="265">
        <f>J45+J46</f>
        <v>7.672000000000001</v>
      </c>
      <c r="K47" s="188" t="s">
        <v>172</v>
      </c>
    </row>
    <row r="48" spans="1:11" ht="21.75">
      <c r="A48" s="135"/>
      <c r="B48" s="111" t="s">
        <v>196</v>
      </c>
      <c r="C48" s="111"/>
      <c r="D48" s="111"/>
      <c r="E48" s="111"/>
      <c r="F48" s="137" t="s">
        <v>197</v>
      </c>
      <c r="G48" s="294">
        <f>+CERTIFICATE!J20</f>
        <v>0.75</v>
      </c>
      <c r="H48" s="111" t="s">
        <v>227</v>
      </c>
      <c r="I48" s="117" t="s">
        <v>329</v>
      </c>
      <c r="J48" s="146">
        <f>G48*(G42)*J47</f>
        <v>109326.00000000001</v>
      </c>
      <c r="K48" s="189" t="s">
        <v>33</v>
      </c>
    </row>
    <row r="49" spans="1:11" ht="21.75">
      <c r="A49" s="135"/>
      <c r="B49" s="111" t="s">
        <v>198</v>
      </c>
      <c r="C49" s="111"/>
      <c r="D49" s="111"/>
      <c r="E49" s="111"/>
      <c r="F49" s="111" t="s">
        <v>244</v>
      </c>
      <c r="G49" s="111"/>
      <c r="H49" s="111"/>
      <c r="I49" s="117" t="s">
        <v>329</v>
      </c>
      <c r="J49" s="146">
        <f>(J46*G44+J45*G43)/J47</f>
        <v>22.285714285714285</v>
      </c>
      <c r="K49" s="189" t="s">
        <v>14</v>
      </c>
    </row>
    <row r="50" spans="1:11" ht="21.75">
      <c r="A50" s="135"/>
      <c r="B50" s="111" t="s">
        <v>366</v>
      </c>
      <c r="C50" s="111"/>
      <c r="D50" s="137"/>
      <c r="E50" s="117" t="s">
        <v>199</v>
      </c>
      <c r="F50" s="111" t="s">
        <v>245</v>
      </c>
      <c r="G50" s="111"/>
      <c r="H50" s="111"/>
      <c r="I50" s="117" t="s">
        <v>329</v>
      </c>
      <c r="J50" s="258">
        <f>J49-H10/2</f>
        <v>2.2857142857142847</v>
      </c>
      <c r="K50" s="189" t="s">
        <v>14</v>
      </c>
    </row>
    <row r="51" spans="1:11" ht="23.25">
      <c r="A51" s="131" t="s">
        <v>84</v>
      </c>
      <c r="B51" s="132"/>
      <c r="C51" s="111"/>
      <c r="D51" s="111"/>
      <c r="E51" s="111"/>
      <c r="F51" s="111"/>
      <c r="G51" s="111"/>
      <c r="H51" s="111"/>
      <c r="I51" s="111"/>
      <c r="J51" s="111"/>
      <c r="K51" s="133"/>
    </row>
    <row r="52" spans="1:11" ht="21.75">
      <c r="A52" s="135"/>
      <c r="B52" s="190" t="s">
        <v>399</v>
      </c>
      <c r="C52" s="111"/>
      <c r="D52" s="111"/>
      <c r="E52" s="111"/>
      <c r="F52" s="111"/>
      <c r="G52" s="111"/>
      <c r="H52" s="111"/>
      <c r="I52" s="111"/>
      <c r="J52" s="111"/>
      <c r="K52" s="133"/>
    </row>
    <row r="53" spans="1:11" ht="21.75">
      <c r="A53" s="135"/>
      <c r="B53" s="111"/>
      <c r="C53" s="111" t="s">
        <v>85</v>
      </c>
      <c r="D53" s="111"/>
      <c r="E53" s="111"/>
      <c r="F53" s="117" t="s">
        <v>329</v>
      </c>
      <c r="G53" s="111" t="s">
        <v>86</v>
      </c>
      <c r="H53" s="111"/>
      <c r="I53" s="111"/>
      <c r="J53" s="111"/>
      <c r="K53" s="133"/>
    </row>
    <row r="54" spans="1:11" ht="24.75">
      <c r="A54" s="135"/>
      <c r="B54" s="111"/>
      <c r="C54" s="111" t="s">
        <v>246</v>
      </c>
      <c r="D54" s="111"/>
      <c r="E54" s="111"/>
      <c r="F54" s="116">
        <f>(I54*((J48/J12)+J48*((J50)^2)/J14))</f>
        <v>82.35639706529157</v>
      </c>
      <c r="G54" s="117" t="s">
        <v>83</v>
      </c>
      <c r="H54" s="111" t="s">
        <v>228</v>
      </c>
      <c r="I54" s="191">
        <v>0.9</v>
      </c>
      <c r="J54" s="111" t="s">
        <v>87</v>
      </c>
      <c r="K54" s="133"/>
    </row>
    <row r="55" spans="1:11" ht="21.75">
      <c r="A55" s="135"/>
      <c r="B55" s="111"/>
      <c r="C55" s="111" t="s">
        <v>88</v>
      </c>
      <c r="D55" s="111"/>
      <c r="E55" s="111"/>
      <c r="F55" s="117" t="s">
        <v>329</v>
      </c>
      <c r="G55" s="111" t="s">
        <v>247</v>
      </c>
      <c r="H55" s="111"/>
      <c r="I55" s="111"/>
      <c r="J55" s="111"/>
      <c r="K55" s="133"/>
    </row>
    <row r="56" spans="1:11" ht="21.75">
      <c r="A56" s="135"/>
      <c r="B56" s="111"/>
      <c r="C56" s="111" t="s">
        <v>89</v>
      </c>
      <c r="D56" s="111"/>
      <c r="E56" s="111"/>
      <c r="F56" s="117" t="s">
        <v>329</v>
      </c>
      <c r="G56" s="111" t="s">
        <v>248</v>
      </c>
      <c r="H56" s="111"/>
      <c r="I56" s="111" t="s">
        <v>229</v>
      </c>
      <c r="J56" s="192">
        <v>0</v>
      </c>
      <c r="K56" s="133"/>
    </row>
    <row r="57" spans="1:11" ht="21.75">
      <c r="A57" s="135"/>
      <c r="B57" s="111"/>
      <c r="C57" s="111" t="s">
        <v>90</v>
      </c>
      <c r="D57" s="111"/>
      <c r="E57" s="111"/>
      <c r="F57" s="117" t="s">
        <v>329</v>
      </c>
      <c r="G57" s="111" t="s">
        <v>91</v>
      </c>
      <c r="H57" s="111"/>
      <c r="I57" s="111" t="s">
        <v>200</v>
      </c>
      <c r="J57" s="192">
        <v>75</v>
      </c>
      <c r="K57" s="133"/>
    </row>
    <row r="58" spans="1:11" ht="22.5" thickBot="1">
      <c r="A58" s="139"/>
      <c r="B58" s="111"/>
      <c r="C58" s="111" t="s">
        <v>92</v>
      </c>
      <c r="D58" s="111"/>
      <c r="E58" s="111"/>
      <c r="F58" s="117" t="s">
        <v>329</v>
      </c>
      <c r="G58" s="111" t="s">
        <v>93</v>
      </c>
      <c r="H58" s="111"/>
      <c r="I58" s="111"/>
      <c r="J58" s="111"/>
      <c r="K58" s="141"/>
    </row>
    <row r="59" spans="1:11" ht="22.5" thickBot="1">
      <c r="A59" s="193"/>
      <c r="B59" s="422" t="s">
        <v>94</v>
      </c>
      <c r="C59" s="422"/>
      <c r="D59" s="441"/>
      <c r="E59" s="194" t="s">
        <v>95</v>
      </c>
      <c r="F59" s="194" t="s">
        <v>96</v>
      </c>
      <c r="G59" s="195" t="s">
        <v>97</v>
      </c>
      <c r="H59" s="194" t="s">
        <v>98</v>
      </c>
      <c r="I59" s="421" t="s">
        <v>99</v>
      </c>
      <c r="J59" s="422"/>
      <c r="K59" s="423"/>
    </row>
    <row r="60" spans="1:11" ht="21.75">
      <c r="A60" s="135"/>
      <c r="B60" s="196" t="s">
        <v>201</v>
      </c>
      <c r="C60" s="196"/>
      <c r="D60" s="197"/>
      <c r="E60" s="266">
        <f>J31*F54/J25</f>
        <v>640.5564408628974</v>
      </c>
      <c r="F60" s="266">
        <f>12*F54-7*J56</f>
        <v>988.276764783499</v>
      </c>
      <c r="G60" s="267">
        <f>1200-11*J57</f>
        <v>375</v>
      </c>
      <c r="H60" s="266">
        <f>1410-0.4*E60-0.2*(G60+F60)</f>
        <v>881.1220706981412</v>
      </c>
      <c r="I60" s="198"/>
      <c r="J60" s="199">
        <f>SUM(E60:H60)</f>
        <v>2884.9552763445377</v>
      </c>
      <c r="K60" s="200"/>
    </row>
    <row r="61" spans="1:11" ht="21.75">
      <c r="A61" s="201"/>
      <c r="B61" s="202" t="s">
        <v>202</v>
      </c>
      <c r="C61" s="202"/>
      <c r="D61" s="125"/>
      <c r="E61" s="268">
        <f>E60*$J$47</f>
        <v>4914.349014300149</v>
      </c>
      <c r="F61" s="268">
        <f>F60*$J$47</f>
        <v>7582.059339419005</v>
      </c>
      <c r="G61" s="171">
        <f>G60*$J$47</f>
        <v>2877</v>
      </c>
      <c r="H61" s="268">
        <f>H60*$J$47</f>
        <v>6759.96852639614</v>
      </c>
      <c r="I61" s="124"/>
      <c r="J61" s="204">
        <f>SUM(E61:H61)</f>
        <v>22133.376880115295</v>
      </c>
      <c r="K61" s="205"/>
    </row>
    <row r="62" spans="1:11" ht="22.5" thickBot="1">
      <c r="A62" s="139"/>
      <c r="B62" s="206" t="s">
        <v>203</v>
      </c>
      <c r="C62" s="206"/>
      <c r="D62" s="207"/>
      <c r="E62" s="269">
        <f>E61*100/$J$48</f>
        <v>4.495132918336122</v>
      </c>
      <c r="F62" s="269">
        <f>F61*100/$J$48</f>
        <v>6.935275542340343</v>
      </c>
      <c r="G62" s="270">
        <f>G61*100/$J$48</f>
        <v>2.631578947368421</v>
      </c>
      <c r="H62" s="269">
        <f>H61*100/$J$48</f>
        <v>6.183312776829061</v>
      </c>
      <c r="I62" s="208"/>
      <c r="J62" s="209">
        <f>SUM(E62:H62)</f>
        <v>20.245300184873948</v>
      </c>
      <c r="K62" s="210"/>
    </row>
    <row r="63" spans="1:11" ht="14.25" customHeight="1">
      <c r="A63" s="135"/>
      <c r="B63" s="111"/>
      <c r="C63" s="111"/>
      <c r="D63" s="111"/>
      <c r="E63" s="111"/>
      <c r="F63" s="111"/>
      <c r="G63" s="111"/>
      <c r="H63" s="111"/>
      <c r="I63" s="111"/>
      <c r="J63" s="111"/>
      <c r="K63" s="133"/>
    </row>
    <row r="64" spans="1:11" ht="21.75">
      <c r="A64" s="135"/>
      <c r="B64" s="190" t="s">
        <v>100</v>
      </c>
      <c r="C64" s="111"/>
      <c r="D64" s="111"/>
      <c r="E64" s="111"/>
      <c r="F64" s="111"/>
      <c r="G64" s="111"/>
      <c r="H64" s="111"/>
      <c r="I64" s="111"/>
      <c r="J64" s="111"/>
      <c r="K64" s="133"/>
    </row>
    <row r="65" spans="1:11" ht="21.75">
      <c r="A65" s="135"/>
      <c r="B65" s="111" t="s">
        <v>101</v>
      </c>
      <c r="C65" s="111"/>
      <c r="D65" s="111"/>
      <c r="E65" s="117" t="s">
        <v>249</v>
      </c>
      <c r="F65" s="117" t="s">
        <v>329</v>
      </c>
      <c r="G65" s="111" t="s">
        <v>102</v>
      </c>
      <c r="H65" s="111"/>
      <c r="I65" s="117" t="s">
        <v>329</v>
      </c>
      <c r="J65" s="146">
        <f>J48-E61</f>
        <v>104411.65098569986</v>
      </c>
      <c r="K65" s="133" t="s">
        <v>33</v>
      </c>
    </row>
    <row r="66" spans="1:11" ht="21.75">
      <c r="A66" s="135"/>
      <c r="B66" s="111" t="s">
        <v>103</v>
      </c>
      <c r="C66" s="111"/>
      <c r="D66" s="111"/>
      <c r="E66" s="117" t="s">
        <v>250</v>
      </c>
      <c r="F66" s="117" t="s">
        <v>329</v>
      </c>
      <c r="G66" s="111" t="s">
        <v>104</v>
      </c>
      <c r="H66" s="111"/>
      <c r="I66" s="117" t="s">
        <v>329</v>
      </c>
      <c r="J66" s="146">
        <f>J48-J61</f>
        <v>87192.62311988472</v>
      </c>
      <c r="K66" s="133" t="s">
        <v>33</v>
      </c>
    </row>
    <row r="67" spans="1:11" ht="24.75">
      <c r="A67" s="135"/>
      <c r="B67" s="111" t="s">
        <v>105</v>
      </c>
      <c r="C67" s="111"/>
      <c r="D67" s="111"/>
      <c r="E67" s="117" t="s">
        <v>315</v>
      </c>
      <c r="F67" s="117" t="s">
        <v>329</v>
      </c>
      <c r="G67" s="111" t="s">
        <v>251</v>
      </c>
      <c r="H67" s="111"/>
      <c r="I67" s="117" t="s">
        <v>329</v>
      </c>
      <c r="J67" s="146">
        <f>J13*((0.207*J11)^2)/2</f>
        <v>2052.4739558399997</v>
      </c>
      <c r="K67" s="133" t="s">
        <v>60</v>
      </c>
    </row>
    <row r="68" spans="1:11" ht="21.75">
      <c r="A68" s="135"/>
      <c r="B68" s="111" t="s">
        <v>106</v>
      </c>
      <c r="C68" s="111"/>
      <c r="D68" s="111"/>
      <c r="E68" s="117" t="s">
        <v>252</v>
      </c>
      <c r="F68" s="117" t="s">
        <v>329</v>
      </c>
      <c r="G68" s="111" t="s">
        <v>107</v>
      </c>
      <c r="H68" s="111"/>
      <c r="I68" s="117" t="s">
        <v>329</v>
      </c>
      <c r="J68" s="146">
        <f>1.5*J67</f>
        <v>3078.7109337599995</v>
      </c>
      <c r="K68" s="133" t="s">
        <v>60</v>
      </c>
    </row>
    <row r="69" spans="1:11" ht="21.75">
      <c r="A69" s="135"/>
      <c r="B69" s="111" t="s">
        <v>108</v>
      </c>
      <c r="C69" s="111"/>
      <c r="D69" s="111"/>
      <c r="E69" s="117" t="s">
        <v>253</v>
      </c>
      <c r="F69" s="117"/>
      <c r="G69" s="111"/>
      <c r="H69" s="111"/>
      <c r="I69" s="117" t="s">
        <v>329</v>
      </c>
      <c r="J69" s="146">
        <f>J16</f>
        <v>12500</v>
      </c>
      <c r="K69" s="133" t="s">
        <v>60</v>
      </c>
    </row>
    <row r="70" spans="1:11" ht="21.75">
      <c r="A70" s="135"/>
      <c r="B70" s="111" t="s">
        <v>109</v>
      </c>
      <c r="C70" s="111"/>
      <c r="D70" s="111"/>
      <c r="E70" s="117" t="s">
        <v>254</v>
      </c>
      <c r="F70" s="117" t="s">
        <v>329</v>
      </c>
      <c r="G70" s="111" t="s">
        <v>255</v>
      </c>
      <c r="H70" s="111"/>
      <c r="I70" s="117" t="s">
        <v>329</v>
      </c>
      <c r="J70" s="146">
        <f>1.7*J69</f>
        <v>21250</v>
      </c>
      <c r="K70" s="133" t="s">
        <v>60</v>
      </c>
    </row>
    <row r="71" spans="1:11" ht="18.75" customHeight="1" thickBot="1">
      <c r="A71" s="139"/>
      <c r="B71" s="190" t="s">
        <v>110</v>
      </c>
      <c r="C71" s="111"/>
      <c r="D71" s="111"/>
      <c r="E71" s="111"/>
      <c r="F71" s="111"/>
      <c r="G71" s="111"/>
      <c r="H71" s="111"/>
      <c r="I71" s="140"/>
      <c r="J71" s="140"/>
      <c r="K71" s="141"/>
    </row>
    <row r="72" spans="1:11" ht="17.25" customHeight="1">
      <c r="A72" s="135"/>
      <c r="B72" s="437" t="s">
        <v>111</v>
      </c>
      <c r="C72" s="437"/>
      <c r="D72" s="438"/>
      <c r="E72" s="424" t="s">
        <v>112</v>
      </c>
      <c r="F72" s="425"/>
      <c r="G72" s="424" t="s">
        <v>113</v>
      </c>
      <c r="H72" s="425"/>
      <c r="I72" s="424" t="s">
        <v>114</v>
      </c>
      <c r="J72" s="425"/>
      <c r="K72" s="426"/>
    </row>
    <row r="73" spans="1:11" ht="17.25" customHeight="1" thickBot="1">
      <c r="A73" s="211"/>
      <c r="B73" s="439"/>
      <c r="C73" s="439"/>
      <c r="D73" s="440"/>
      <c r="E73" s="212" t="s">
        <v>230</v>
      </c>
      <c r="F73" s="213" t="s">
        <v>231</v>
      </c>
      <c r="G73" s="212" t="s">
        <v>230</v>
      </c>
      <c r="H73" s="213" t="s">
        <v>231</v>
      </c>
      <c r="I73" s="212" t="s">
        <v>230</v>
      </c>
      <c r="J73" s="212" t="s">
        <v>231</v>
      </c>
      <c r="K73" s="214"/>
    </row>
    <row r="74" spans="1:11" ht="18.75" customHeight="1">
      <c r="A74" s="135"/>
      <c r="B74" s="111"/>
      <c r="C74" s="127" t="s">
        <v>256</v>
      </c>
      <c r="D74" s="215"/>
      <c r="E74" s="216">
        <f>$J$65/$J$12</f>
        <v>84.74971670917196</v>
      </c>
      <c r="F74" s="216">
        <f>$J$65/$J$12</f>
        <v>84.74971670917196</v>
      </c>
      <c r="G74" s="216"/>
      <c r="H74" s="216"/>
      <c r="I74" s="216"/>
      <c r="J74" s="216"/>
      <c r="K74" s="134"/>
    </row>
    <row r="75" spans="1:11" ht="18.75" customHeight="1">
      <c r="A75" s="201"/>
      <c r="B75" s="202"/>
      <c r="C75" s="202" t="s">
        <v>257</v>
      </c>
      <c r="D75" s="125"/>
      <c r="E75" s="217">
        <f>-($J$65*$J$50/$J$15)</f>
        <v>-23.13521101906402</v>
      </c>
      <c r="F75" s="217">
        <f>($J$65*$J$50/$J$15)</f>
        <v>23.13521101906402</v>
      </c>
      <c r="G75" s="217"/>
      <c r="H75" s="217"/>
      <c r="I75" s="217"/>
      <c r="J75" s="217"/>
      <c r="K75" s="218"/>
    </row>
    <row r="76" spans="1:11" ht="18.75" customHeight="1">
      <c r="A76" s="135"/>
      <c r="B76" s="202"/>
      <c r="C76" s="202" t="s">
        <v>115</v>
      </c>
      <c r="D76" s="125"/>
      <c r="E76" s="217"/>
      <c r="F76" s="217"/>
      <c r="G76" s="217"/>
      <c r="H76" s="217"/>
      <c r="I76" s="217"/>
      <c r="J76" s="217"/>
      <c r="K76" s="218"/>
    </row>
    <row r="77" spans="1:11" ht="18.75" customHeight="1">
      <c r="A77" s="201"/>
      <c r="B77" s="202"/>
      <c r="C77" s="202" t="s">
        <v>258</v>
      </c>
      <c r="D77" s="125"/>
      <c r="E77" s="217"/>
      <c r="F77" s="217"/>
      <c r="G77" s="217">
        <f>$J$66/$J$12</f>
        <v>70.77323305185449</v>
      </c>
      <c r="H77" s="217">
        <f>$J$66/$J$12</f>
        <v>70.77323305185449</v>
      </c>
      <c r="I77" s="217">
        <f>$J$66/$J$12</f>
        <v>70.77323305185449</v>
      </c>
      <c r="J77" s="217">
        <f>$J$66/$J$12</f>
        <v>70.77323305185449</v>
      </c>
      <c r="K77" s="218"/>
    </row>
    <row r="78" spans="1:11" ht="18.75" customHeight="1">
      <c r="A78" s="135"/>
      <c r="B78" s="202"/>
      <c r="C78" s="202" t="s">
        <v>259</v>
      </c>
      <c r="D78" s="125"/>
      <c r="E78" s="217"/>
      <c r="F78" s="217"/>
      <c r="G78" s="217">
        <f>-($J$66*$J$50/$J$15)</f>
        <v>-19.319872027122052</v>
      </c>
      <c r="H78" s="217">
        <f>($J$66*$J$50/$J$15)</f>
        <v>19.319872027122052</v>
      </c>
      <c r="I78" s="217">
        <f>-($J$66*$J$50/$J$15)</f>
        <v>-19.319872027122052</v>
      </c>
      <c r="J78" s="217">
        <f>($J$66*$J$50/$J$15)</f>
        <v>19.319872027122052</v>
      </c>
      <c r="K78" s="218"/>
    </row>
    <row r="79" spans="1:11" ht="18.75" customHeight="1">
      <c r="A79" s="201"/>
      <c r="B79" s="202"/>
      <c r="C79" s="202" t="s">
        <v>260</v>
      </c>
      <c r="D79" s="125"/>
      <c r="E79" s="217"/>
      <c r="F79" s="217"/>
      <c r="G79" s="217">
        <f>($J$68*100/$J$15)</f>
        <v>29.844992460596348</v>
      </c>
      <c r="H79" s="217">
        <f>-($J$68*100/$J$15)</f>
        <v>-29.844992460596348</v>
      </c>
      <c r="I79" s="217"/>
      <c r="J79" s="217"/>
      <c r="K79" s="218"/>
    </row>
    <row r="80" spans="1:11" ht="18.75" customHeight="1">
      <c r="A80" s="135"/>
      <c r="B80" s="121"/>
      <c r="C80" s="121" t="s">
        <v>261</v>
      </c>
      <c r="D80" s="219"/>
      <c r="E80" s="216"/>
      <c r="F80" s="216"/>
      <c r="G80" s="216"/>
      <c r="H80" s="216"/>
      <c r="I80" s="216">
        <f>$J$69*100/$J$15</f>
        <v>121.17487279061854</v>
      </c>
      <c r="J80" s="216">
        <f>-($J$69*100/$J$15)</f>
        <v>-121.17487279061854</v>
      </c>
      <c r="K80" s="218"/>
    </row>
    <row r="81" spans="1:11" ht="21.75">
      <c r="A81" s="201"/>
      <c r="B81" s="202" t="s">
        <v>204</v>
      </c>
      <c r="C81" s="202"/>
      <c r="D81" s="125"/>
      <c r="E81" s="217">
        <f aca="true" t="shared" si="6" ref="E81:J81">SUM(E74:E80)</f>
        <v>61.61450569010795</v>
      </c>
      <c r="F81" s="217">
        <f t="shared" si="6"/>
        <v>107.88492772823598</v>
      </c>
      <c r="G81" s="217">
        <f t="shared" si="6"/>
        <v>81.29835348532879</v>
      </c>
      <c r="H81" s="217">
        <f t="shared" si="6"/>
        <v>60.248112618380205</v>
      </c>
      <c r="I81" s="217">
        <f t="shared" si="6"/>
        <v>172.62823381535097</v>
      </c>
      <c r="J81" s="217">
        <f t="shared" si="6"/>
        <v>-31.081767711641987</v>
      </c>
      <c r="K81" s="218"/>
    </row>
    <row r="82" spans="1:13" ht="21.75">
      <c r="A82" s="220"/>
      <c r="B82" s="221" t="s">
        <v>205</v>
      </c>
      <c r="C82" s="221"/>
      <c r="D82" s="222"/>
      <c r="E82" s="223" t="s">
        <v>262</v>
      </c>
      <c r="F82" s="223" t="s">
        <v>262</v>
      </c>
      <c r="G82" s="223" t="s">
        <v>263</v>
      </c>
      <c r="H82" s="223" t="s">
        <v>263</v>
      </c>
      <c r="I82" s="223" t="s">
        <v>263</v>
      </c>
      <c r="J82" s="224" t="s">
        <v>264</v>
      </c>
      <c r="K82" s="218"/>
      <c r="M82" s="232" t="s">
        <v>393</v>
      </c>
    </row>
    <row r="83" spans="1:13" ht="21.75">
      <c r="A83" s="225"/>
      <c r="B83" s="121"/>
      <c r="C83" s="121"/>
      <c r="D83" s="219"/>
      <c r="E83" s="226">
        <f>0.6*J23</f>
        <v>168</v>
      </c>
      <c r="F83" s="226">
        <f>0.6*J23</f>
        <v>168</v>
      </c>
      <c r="G83" s="226">
        <f>0.45*J22</f>
        <v>180</v>
      </c>
      <c r="H83" s="226">
        <f>0.45*J22</f>
        <v>180</v>
      </c>
      <c r="I83" s="226">
        <f>0.45*J22</f>
        <v>180</v>
      </c>
      <c r="J83" s="227">
        <f>-1.59*SQRT(J22)</f>
        <v>-31.8</v>
      </c>
      <c r="K83" s="218"/>
      <c r="M83" s="236" t="s">
        <v>400</v>
      </c>
    </row>
    <row r="84" spans="1:11" ht="18.75" customHeight="1" thickBot="1">
      <c r="A84" s="139"/>
      <c r="B84" s="228" t="s">
        <v>206</v>
      </c>
      <c r="C84" s="206"/>
      <c r="D84" s="207"/>
      <c r="E84" s="390" t="str">
        <f>IF(E81&lt;(E83),$M$82,IF(E81&gt;(E83),$M$83))</f>
        <v>OK.</v>
      </c>
      <c r="F84" s="390" t="str">
        <f>IF(F81&lt;(F83),$M$82,IF(F81&gt;(F83),$M$83))</f>
        <v>OK.</v>
      </c>
      <c r="G84" s="390" t="str">
        <f>IF(G81&lt;(G83),$M$82,IF(G81&gt;(G83),$M$83))</f>
        <v>OK.</v>
      </c>
      <c r="H84" s="390" t="str">
        <f>IF(H81&lt;(H83),$M$82,IF(H81&gt;(H83),$M$83))</f>
        <v>OK.</v>
      </c>
      <c r="I84" s="390" t="str">
        <f>IF(I81&lt;(I83),$M$82,IF(I81&gt;(I83),$M$83))</f>
        <v>OK.</v>
      </c>
      <c r="J84" s="390" t="str">
        <f>IF(J81&gt;(J83),$M$82,IF(J81&lt;(J83),$M$83))</f>
        <v>OK.</v>
      </c>
      <c r="K84" s="391"/>
    </row>
    <row r="85" spans="1:11" ht="23.25">
      <c r="A85" s="229" t="s">
        <v>117</v>
      </c>
      <c r="B85" s="230"/>
      <c r="C85" s="127"/>
      <c r="D85" s="127"/>
      <c r="E85" s="127"/>
      <c r="F85" s="127"/>
      <c r="G85" s="127"/>
      <c r="H85" s="127"/>
      <c r="I85" s="127"/>
      <c r="J85" s="127"/>
      <c r="K85" s="134"/>
    </row>
    <row r="86" spans="1:11" ht="24.75">
      <c r="A86" s="135"/>
      <c r="B86" s="117" t="s">
        <v>265</v>
      </c>
      <c r="C86" s="145" t="s">
        <v>118</v>
      </c>
      <c r="D86" s="111"/>
      <c r="E86" s="111"/>
      <c r="F86" s="111"/>
      <c r="G86" s="111"/>
      <c r="H86" s="111"/>
      <c r="I86" s="111"/>
      <c r="J86" s="111"/>
      <c r="K86" s="133" t="s">
        <v>266</v>
      </c>
    </row>
    <row r="87" spans="1:11" ht="21.75">
      <c r="A87" s="135"/>
      <c r="B87" s="117" t="s">
        <v>267</v>
      </c>
      <c r="C87" s="145" t="s">
        <v>119</v>
      </c>
      <c r="D87" s="111"/>
      <c r="E87" s="111"/>
      <c r="F87" s="111"/>
      <c r="G87" s="111"/>
      <c r="H87" s="111"/>
      <c r="I87" s="111"/>
      <c r="J87" s="111"/>
      <c r="K87" s="133" t="s">
        <v>268</v>
      </c>
    </row>
    <row r="88" spans="1:11" ht="21.75">
      <c r="A88" s="135"/>
      <c r="B88" s="117" t="s">
        <v>269</v>
      </c>
      <c r="C88" s="145" t="s">
        <v>120</v>
      </c>
      <c r="D88" s="111"/>
      <c r="E88" s="111"/>
      <c r="F88" s="111"/>
      <c r="G88" s="111"/>
      <c r="H88" s="111"/>
      <c r="I88" s="111"/>
      <c r="J88" s="111"/>
      <c r="K88" s="133" t="s">
        <v>268</v>
      </c>
    </row>
    <row r="89" spans="1:11" ht="21.75">
      <c r="A89" s="135"/>
      <c r="B89" s="117" t="s">
        <v>121</v>
      </c>
      <c r="C89" s="145" t="s">
        <v>122</v>
      </c>
      <c r="D89" s="111"/>
      <c r="E89" s="111"/>
      <c r="F89" s="111"/>
      <c r="G89" s="111"/>
      <c r="H89" s="111"/>
      <c r="I89" s="111"/>
      <c r="J89" s="111"/>
      <c r="K89" s="133" t="s">
        <v>268</v>
      </c>
    </row>
    <row r="90" spans="1:11" ht="21.75">
      <c r="A90" s="135"/>
      <c r="B90" s="117" t="s">
        <v>379</v>
      </c>
      <c r="C90" s="145" t="s">
        <v>123</v>
      </c>
      <c r="D90" s="111"/>
      <c r="E90" s="111"/>
      <c r="F90" s="111"/>
      <c r="G90" s="111"/>
      <c r="H90" s="111"/>
      <c r="I90" s="111"/>
      <c r="J90" s="111"/>
      <c r="K90" s="133" t="s">
        <v>124</v>
      </c>
    </row>
    <row r="91" spans="1:11" ht="21.75">
      <c r="A91" s="135"/>
      <c r="B91" s="117" t="s">
        <v>270</v>
      </c>
      <c r="C91" s="145" t="s">
        <v>367</v>
      </c>
      <c r="D91" s="111"/>
      <c r="E91" s="111"/>
      <c r="F91" s="111"/>
      <c r="G91" s="111"/>
      <c r="H91" s="111"/>
      <c r="I91" s="111"/>
      <c r="J91" s="111"/>
      <c r="K91" s="133" t="s">
        <v>124</v>
      </c>
    </row>
    <row r="92" spans="1:11" ht="21.75">
      <c r="A92" s="135"/>
      <c r="B92" s="117" t="s">
        <v>271</v>
      </c>
      <c r="C92" s="145" t="s">
        <v>125</v>
      </c>
      <c r="D92" s="111"/>
      <c r="E92" s="111"/>
      <c r="F92" s="111"/>
      <c r="G92" s="111"/>
      <c r="H92" s="111"/>
      <c r="I92" s="111"/>
      <c r="J92" s="111"/>
      <c r="K92" s="133" t="s">
        <v>124</v>
      </c>
    </row>
    <row r="93" spans="1:11" ht="21.75">
      <c r="A93" s="135"/>
      <c r="B93" s="117" t="s">
        <v>272</v>
      </c>
      <c r="C93" s="145" t="s">
        <v>126</v>
      </c>
      <c r="D93" s="111"/>
      <c r="E93" s="111"/>
      <c r="F93" s="111"/>
      <c r="G93" s="111"/>
      <c r="H93" s="111"/>
      <c r="I93" s="111"/>
      <c r="J93" s="111"/>
      <c r="K93" s="133" t="s">
        <v>124</v>
      </c>
    </row>
    <row r="94" spans="1:11" ht="21.75">
      <c r="A94" s="135"/>
      <c r="B94" s="117" t="s">
        <v>273</v>
      </c>
      <c r="C94" s="145" t="s">
        <v>127</v>
      </c>
      <c r="D94" s="111"/>
      <c r="E94" s="111"/>
      <c r="F94" s="111"/>
      <c r="G94" s="111"/>
      <c r="H94" s="111"/>
      <c r="I94" s="111"/>
      <c r="J94" s="111"/>
      <c r="K94" s="133" t="s">
        <v>128</v>
      </c>
    </row>
    <row r="95" spans="1:11" ht="21.75">
      <c r="A95" s="135"/>
      <c r="B95" s="117" t="s">
        <v>274</v>
      </c>
      <c r="C95" s="145" t="s">
        <v>129</v>
      </c>
      <c r="D95" s="111"/>
      <c r="E95" s="111"/>
      <c r="F95" s="111"/>
      <c r="G95" s="111"/>
      <c r="H95" s="111"/>
      <c r="I95" s="111"/>
      <c r="J95" s="111"/>
      <c r="K95" s="133" t="s">
        <v>128</v>
      </c>
    </row>
    <row r="96" spans="1:11" ht="21.75">
      <c r="A96" s="135"/>
      <c r="B96" s="117" t="s">
        <v>275</v>
      </c>
      <c r="C96" s="145" t="s">
        <v>130</v>
      </c>
      <c r="D96" s="111"/>
      <c r="E96" s="111"/>
      <c r="F96" s="111"/>
      <c r="G96" s="111"/>
      <c r="H96" s="111"/>
      <c r="I96" s="111"/>
      <c r="J96" s="111"/>
      <c r="K96" s="133" t="s">
        <v>128</v>
      </c>
    </row>
    <row r="97" spans="1:11" ht="21.75">
      <c r="A97" s="135"/>
      <c r="B97" s="117" t="s">
        <v>276</v>
      </c>
      <c r="C97" s="145" t="s">
        <v>131</v>
      </c>
      <c r="D97" s="111"/>
      <c r="E97" s="111"/>
      <c r="F97" s="111"/>
      <c r="G97" s="111"/>
      <c r="H97" s="111"/>
      <c r="I97" s="111"/>
      <c r="J97" s="111"/>
      <c r="K97" s="133" t="s">
        <v>128</v>
      </c>
    </row>
    <row r="98" spans="1:11" ht="21.75">
      <c r="A98" s="135"/>
      <c r="B98" s="117" t="s">
        <v>277</v>
      </c>
      <c r="C98" s="145" t="s">
        <v>132</v>
      </c>
      <c r="D98" s="111"/>
      <c r="E98" s="111"/>
      <c r="F98" s="111"/>
      <c r="G98" s="111"/>
      <c r="H98" s="111"/>
      <c r="I98" s="111"/>
      <c r="J98" s="111"/>
      <c r="K98" s="133" t="s">
        <v>128</v>
      </c>
    </row>
    <row r="99" spans="1:11" ht="21.75">
      <c r="A99" s="135"/>
      <c r="B99" s="111"/>
      <c r="C99" s="117" t="s">
        <v>276</v>
      </c>
      <c r="D99" s="111"/>
      <c r="E99" s="111"/>
      <c r="F99" s="111"/>
      <c r="G99" s="111"/>
      <c r="H99" s="117"/>
      <c r="I99" s="117" t="s">
        <v>329</v>
      </c>
      <c r="J99" s="148">
        <f>J19</f>
        <v>6600</v>
      </c>
      <c r="K99" s="133" t="s">
        <v>33</v>
      </c>
    </row>
    <row r="100" spans="1:11" ht="21.75">
      <c r="A100" s="135"/>
      <c r="B100" s="111"/>
      <c r="C100" s="117" t="s">
        <v>277</v>
      </c>
      <c r="D100" s="117" t="s">
        <v>329</v>
      </c>
      <c r="E100" s="117" t="s">
        <v>278</v>
      </c>
      <c r="F100" s="111"/>
      <c r="G100" s="111"/>
      <c r="H100" s="111"/>
      <c r="I100" s="117" t="s">
        <v>329</v>
      </c>
      <c r="J100" s="148">
        <f>1.7*J99</f>
        <v>11220</v>
      </c>
      <c r="K100" s="133" t="s">
        <v>33</v>
      </c>
    </row>
    <row r="101" spans="1:16" ht="21.75">
      <c r="A101" s="135"/>
      <c r="B101" s="111"/>
      <c r="C101" s="117" t="s">
        <v>269</v>
      </c>
      <c r="D101" s="117" t="s">
        <v>329</v>
      </c>
      <c r="E101" s="111" t="s">
        <v>279</v>
      </c>
      <c r="F101" s="111"/>
      <c r="G101" s="111"/>
      <c r="H101" s="111"/>
      <c r="I101" s="117" t="s">
        <v>329</v>
      </c>
      <c r="J101" s="116">
        <f>G44</f>
        <v>36</v>
      </c>
      <c r="K101" s="133" t="s">
        <v>14</v>
      </c>
      <c r="N101" s="231" t="s">
        <v>207</v>
      </c>
      <c r="O101" s="232" t="s">
        <v>392</v>
      </c>
      <c r="P101" s="232"/>
    </row>
    <row r="102" spans="1:16" ht="24.75">
      <c r="A102" s="135"/>
      <c r="B102" s="111"/>
      <c r="C102" s="117" t="s">
        <v>267</v>
      </c>
      <c r="D102" s="117"/>
      <c r="E102" s="111"/>
      <c r="F102" s="111"/>
      <c r="G102" s="111"/>
      <c r="H102" s="111"/>
      <c r="I102" s="117" t="s">
        <v>329</v>
      </c>
      <c r="J102" s="273">
        <f>M10</f>
        <v>16</v>
      </c>
      <c r="K102" s="133" t="s">
        <v>14</v>
      </c>
      <c r="N102" s="233" t="s">
        <v>208</v>
      </c>
      <c r="O102" s="234" t="s">
        <v>232</v>
      </c>
      <c r="P102" s="234" t="s">
        <v>265</v>
      </c>
    </row>
    <row r="103" spans="1:16" ht="24.75">
      <c r="A103" s="135"/>
      <c r="B103" s="111"/>
      <c r="C103" s="111" t="s">
        <v>209</v>
      </c>
      <c r="D103" s="111"/>
      <c r="E103" s="295">
        <v>4.5</v>
      </c>
      <c r="F103" s="111" t="s">
        <v>27</v>
      </c>
      <c r="G103" s="111"/>
      <c r="H103" s="117"/>
      <c r="I103" s="118" t="s">
        <v>380</v>
      </c>
      <c r="J103" s="116">
        <f>+IF(E103=3,(O103),IF(E103=4,(O104),IF(E103=4.5,(O105)*2,IF(E103=6,(O106),IF(E103=9,(O107),IF(E103=12,O108))))))</f>
        <v>0.636174</v>
      </c>
      <c r="K103" s="133" t="s">
        <v>159</v>
      </c>
      <c r="N103" s="234">
        <v>3</v>
      </c>
      <c r="O103" s="235">
        <f aca="true" t="shared" si="7" ref="O103:O108">+P103*2</f>
        <v>0.141372</v>
      </c>
      <c r="P103" s="236">
        <f aca="true" t="shared" si="8" ref="P103:P108">(0.7854*(N103*N103))/100</f>
        <v>0.070686</v>
      </c>
    </row>
    <row r="104" spans="1:16" ht="21.75">
      <c r="A104" s="135"/>
      <c r="B104" s="111"/>
      <c r="C104" s="117" t="s">
        <v>272</v>
      </c>
      <c r="D104" s="117" t="s">
        <v>329</v>
      </c>
      <c r="E104" s="287">
        <v>5500</v>
      </c>
      <c r="F104" s="237" t="s">
        <v>133</v>
      </c>
      <c r="G104" s="117">
        <v>4200</v>
      </c>
      <c r="H104" s="145" t="s">
        <v>280</v>
      </c>
      <c r="I104" s="117" t="s">
        <v>329</v>
      </c>
      <c r="J104" s="146">
        <f>IF(E104&lt;4200,E104,IF(E104&gt;4200,G104))</f>
        <v>4200</v>
      </c>
      <c r="K104" s="133" t="s">
        <v>83</v>
      </c>
      <c r="N104" s="238">
        <v>4</v>
      </c>
      <c r="O104" s="239">
        <f t="shared" si="7"/>
        <v>0.251328</v>
      </c>
      <c r="P104" s="240">
        <f t="shared" si="8"/>
        <v>0.125664</v>
      </c>
    </row>
    <row r="105" spans="1:16" ht="21.75">
      <c r="A105" s="135"/>
      <c r="B105" s="111"/>
      <c r="C105" s="117" t="s">
        <v>273</v>
      </c>
      <c r="D105" s="117" t="s">
        <v>329</v>
      </c>
      <c r="E105" s="111" t="s">
        <v>281</v>
      </c>
      <c r="F105" s="111"/>
      <c r="G105" s="111"/>
      <c r="H105" s="111"/>
      <c r="I105" s="117" t="s">
        <v>329</v>
      </c>
      <c r="J105" s="146">
        <f>(0.16*SQRT(J22)+49*(J100*J101/(J70*100)))*J102*J101</f>
        <v>7208.017919999999</v>
      </c>
      <c r="K105" s="133" t="s">
        <v>33</v>
      </c>
      <c r="N105" s="238">
        <v>4.5</v>
      </c>
      <c r="O105" s="239">
        <f t="shared" si="7"/>
        <v>0.318087</v>
      </c>
      <c r="P105" s="240">
        <f t="shared" si="8"/>
        <v>0.1590435</v>
      </c>
    </row>
    <row r="106" spans="1:16" ht="21.75">
      <c r="A106" s="135"/>
      <c r="B106" s="111"/>
      <c r="C106" s="117" t="s">
        <v>282</v>
      </c>
      <c r="D106" s="117" t="s">
        <v>329</v>
      </c>
      <c r="E106" s="111" t="s">
        <v>283</v>
      </c>
      <c r="F106" s="111"/>
      <c r="G106" s="111"/>
      <c r="H106" s="111"/>
      <c r="I106" s="117" t="s">
        <v>329</v>
      </c>
      <c r="J106" s="148">
        <f>0.53*SQRT(J22)*J102*J101</f>
        <v>6105.6</v>
      </c>
      <c r="K106" s="133" t="s">
        <v>33</v>
      </c>
      <c r="N106" s="238">
        <v>6</v>
      </c>
      <c r="O106" s="239">
        <f t="shared" si="7"/>
        <v>0.565488</v>
      </c>
      <c r="P106" s="240">
        <f t="shared" si="8"/>
        <v>0.282744</v>
      </c>
    </row>
    <row r="107" spans="1:16" ht="21.75">
      <c r="A107" s="135"/>
      <c r="B107" s="111"/>
      <c r="C107" s="117" t="s">
        <v>284</v>
      </c>
      <c r="D107" s="117" t="s">
        <v>329</v>
      </c>
      <c r="E107" s="111" t="s">
        <v>285</v>
      </c>
      <c r="F107" s="111"/>
      <c r="G107" s="111"/>
      <c r="H107" s="111"/>
      <c r="I107" s="117" t="s">
        <v>329</v>
      </c>
      <c r="J107" s="148">
        <f>1.33*SQRT(J22)*J102*J101</f>
        <v>15321.6</v>
      </c>
      <c r="K107" s="133" t="s">
        <v>33</v>
      </c>
      <c r="N107" s="238">
        <v>9</v>
      </c>
      <c r="O107" s="239">
        <f t="shared" si="7"/>
        <v>1.272348</v>
      </c>
      <c r="P107" s="240">
        <f t="shared" si="8"/>
        <v>0.636174</v>
      </c>
    </row>
    <row r="108" spans="1:16" ht="21.75">
      <c r="A108" s="241" t="s">
        <v>32</v>
      </c>
      <c r="B108" s="242"/>
      <c r="C108" s="111"/>
      <c r="D108" s="111"/>
      <c r="E108" s="111"/>
      <c r="F108" s="243" t="s">
        <v>134</v>
      </c>
      <c r="G108" s="244" t="s">
        <v>286</v>
      </c>
      <c r="H108" s="244" t="s">
        <v>329</v>
      </c>
      <c r="I108" s="245">
        <f>IF(J105&gt;J107,J107,IF(J105&lt;J106,J106,J105))</f>
        <v>7208.017919999999</v>
      </c>
      <c r="J108" s="243" t="s">
        <v>33</v>
      </c>
      <c r="K108" s="392" t="str">
        <f>IF(I108&lt;J106,M83,IF(I108&gt;J107,M83,IF(I108&gt;J106,M82,IF(I108&lt;J107,M82))))</f>
        <v>OK.</v>
      </c>
      <c r="N108" s="238">
        <v>12</v>
      </c>
      <c r="O108" s="239">
        <f t="shared" si="7"/>
        <v>2.261952</v>
      </c>
      <c r="P108" s="240">
        <f t="shared" si="8"/>
        <v>1.130976</v>
      </c>
    </row>
    <row r="109" spans="1:11" ht="21.75">
      <c r="A109" s="241" t="s">
        <v>391</v>
      </c>
      <c r="B109" s="242"/>
      <c r="C109" s="117" t="s">
        <v>287</v>
      </c>
      <c r="D109" s="117" t="s">
        <v>329</v>
      </c>
      <c r="E109" s="427">
        <f>0.85*I108</f>
        <v>6126.815231999999</v>
      </c>
      <c r="F109" s="428"/>
      <c r="G109" s="111" t="s">
        <v>33</v>
      </c>
      <c r="H109" s="117" t="str">
        <f>IF(E109&gt;J100,A108,IF(E109&lt;J100,A109))</f>
        <v>&lt;</v>
      </c>
      <c r="I109" s="117" t="s">
        <v>277</v>
      </c>
      <c r="J109" s="111"/>
      <c r="K109" s="133" t="str">
        <f>IF(E109&gt;J100,M82,IF(E109&lt;J100,K110))</f>
        <v>Try for Vs</v>
      </c>
    </row>
    <row r="110" spans="1:11" ht="21.75">
      <c r="A110" s="135"/>
      <c r="B110" s="111"/>
      <c r="C110" s="111" t="s">
        <v>135</v>
      </c>
      <c r="D110" s="111"/>
      <c r="E110" s="111"/>
      <c r="F110" s="111"/>
      <c r="G110" s="111"/>
      <c r="H110" s="111"/>
      <c r="I110" s="111"/>
      <c r="J110" s="247">
        <f>J103*J104*G44/((J100/0.85)-I108)</f>
        <v>16.05303679412873</v>
      </c>
      <c r="K110" s="248" t="s">
        <v>288</v>
      </c>
    </row>
    <row r="111" spans="1:11" ht="21.75">
      <c r="A111" s="135"/>
      <c r="B111" s="111"/>
      <c r="C111" s="111" t="s">
        <v>136</v>
      </c>
      <c r="D111" s="117" t="s">
        <v>329</v>
      </c>
      <c r="E111" s="111" t="s">
        <v>289</v>
      </c>
      <c r="F111" s="111"/>
      <c r="G111" s="111" t="s">
        <v>290</v>
      </c>
      <c r="H111" s="111"/>
      <c r="I111" s="111"/>
      <c r="J111" s="271">
        <f>IF(J110&lt;0,0,IF(J110&gt;0,J110))</f>
        <v>16.05303679412873</v>
      </c>
      <c r="K111" s="133" t="s">
        <v>14</v>
      </c>
    </row>
    <row r="112" spans="1:11" ht="21.75">
      <c r="A112" s="135"/>
      <c r="B112" s="111"/>
      <c r="C112" s="111" t="s">
        <v>291</v>
      </c>
      <c r="D112" s="111"/>
      <c r="E112" s="111" t="s">
        <v>292</v>
      </c>
      <c r="F112" s="111"/>
      <c r="G112" s="111"/>
      <c r="H112" s="111"/>
      <c r="I112" s="244" t="s">
        <v>329</v>
      </c>
      <c r="J112" s="116">
        <f>80*J103*J104*J101/(J46*G42*SQRT(J101/J102))</f>
        <v>61.5888774490972</v>
      </c>
      <c r="K112" s="133" t="s">
        <v>14</v>
      </c>
    </row>
    <row r="113" spans="1:11" ht="21.75">
      <c r="A113" s="135"/>
      <c r="B113" s="111"/>
      <c r="C113" s="111" t="s">
        <v>293</v>
      </c>
      <c r="D113" s="111"/>
      <c r="E113" s="111" t="s">
        <v>294</v>
      </c>
      <c r="F113" s="111"/>
      <c r="G113" s="111"/>
      <c r="H113" s="111"/>
      <c r="I113" s="244" t="s">
        <v>329</v>
      </c>
      <c r="J113" s="116">
        <f>J103*J104/(3.52*J102)</f>
        <v>47.441953125000005</v>
      </c>
      <c r="K113" s="133" t="s">
        <v>14</v>
      </c>
    </row>
    <row r="114" spans="1:11" ht="21.75">
      <c r="A114" s="135"/>
      <c r="B114" s="111"/>
      <c r="C114" s="111" t="s">
        <v>137</v>
      </c>
      <c r="D114" s="111"/>
      <c r="E114" s="111"/>
      <c r="F114" s="111"/>
      <c r="G114" s="111"/>
      <c r="H114" s="111"/>
      <c r="I114" s="244" t="s">
        <v>329</v>
      </c>
      <c r="J114" s="146">
        <f>0.75*H10</f>
        <v>30</v>
      </c>
      <c r="K114" s="133" t="s">
        <v>14</v>
      </c>
    </row>
    <row r="115" spans="1:11" ht="21.75">
      <c r="A115" s="135"/>
      <c r="B115" s="111"/>
      <c r="C115" s="111"/>
      <c r="D115" s="111"/>
      <c r="E115" s="111"/>
      <c r="F115" s="111"/>
      <c r="G115" s="111" t="s">
        <v>138</v>
      </c>
      <c r="H115" s="111"/>
      <c r="I115" s="244" t="s">
        <v>329</v>
      </c>
      <c r="J115" s="296">
        <v>16</v>
      </c>
      <c r="K115" s="133" t="s">
        <v>14</v>
      </c>
    </row>
    <row r="116" spans="1:11" ht="21.75">
      <c r="A116" s="135"/>
      <c r="B116" s="111"/>
      <c r="C116" s="111" t="s">
        <v>233</v>
      </c>
      <c r="D116" s="111"/>
      <c r="E116" s="148">
        <f>J103*J104*G44/J115</f>
        <v>6011.844300000001</v>
      </c>
      <c r="F116" s="111" t="s">
        <v>295</v>
      </c>
      <c r="G116" s="111"/>
      <c r="H116" s="111"/>
      <c r="I116" s="148">
        <f>1.06*SQRT(J22)*J102*G44</f>
        <v>12211.2</v>
      </c>
      <c r="J116" s="111" t="s">
        <v>33</v>
      </c>
      <c r="K116" s="392" t="str">
        <f>IF(E116&lt;I116,M82,IF(E116&gt;I116,M83))</f>
        <v>OK.</v>
      </c>
    </row>
    <row r="117" spans="1:11" ht="21.75">
      <c r="A117" s="135"/>
      <c r="B117" s="111"/>
      <c r="C117" s="111"/>
      <c r="D117" s="111"/>
      <c r="E117" s="111"/>
      <c r="F117" s="111" t="s">
        <v>296</v>
      </c>
      <c r="G117" s="111"/>
      <c r="H117" s="111"/>
      <c r="I117" s="148">
        <f>2.12*SQRT(J22)*J102*G44</f>
        <v>24422.4</v>
      </c>
      <c r="J117" s="111" t="s">
        <v>33</v>
      </c>
      <c r="K117" s="392" t="str">
        <f>IF(E116&lt;I117,M82,IF(E116&gt;I117,M83))</f>
        <v>OK.</v>
      </c>
    </row>
    <row r="118" spans="1:11" ht="21.75">
      <c r="A118" s="135"/>
      <c r="B118" s="111"/>
      <c r="C118" s="117" t="s">
        <v>274</v>
      </c>
      <c r="D118" s="117" t="s">
        <v>329</v>
      </c>
      <c r="E118" s="117" t="s">
        <v>297</v>
      </c>
      <c r="F118" s="111"/>
      <c r="G118" s="111"/>
      <c r="H118" s="244" t="s">
        <v>329</v>
      </c>
      <c r="I118" s="148">
        <f>E116+I108</f>
        <v>13219.862219999999</v>
      </c>
      <c r="J118" s="111" t="s">
        <v>33</v>
      </c>
      <c r="K118" s="246"/>
    </row>
    <row r="119" spans="1:11" ht="22.5" thickBot="1">
      <c r="A119" s="139"/>
      <c r="B119" s="140"/>
      <c r="C119" s="264" t="s">
        <v>298</v>
      </c>
      <c r="D119" s="264" t="s">
        <v>329</v>
      </c>
      <c r="E119" s="453">
        <f>0.85*I118</f>
        <v>11236.882887</v>
      </c>
      <c r="F119" s="453"/>
      <c r="G119" s="140" t="s">
        <v>33</v>
      </c>
      <c r="H119" s="264" t="str">
        <f>IF(E119&gt;J100,A108,IF(E119&lt;J100,A109))</f>
        <v>&gt;</v>
      </c>
      <c r="I119" s="264" t="s">
        <v>277</v>
      </c>
      <c r="J119" s="140"/>
      <c r="K119" s="452" t="str">
        <f>IF(E119&gt;J100,M82,IF(E119&lt;J100,M83))</f>
        <v>OK.</v>
      </c>
    </row>
    <row r="120" spans="1:11" ht="23.25">
      <c r="A120" s="229" t="s">
        <v>401</v>
      </c>
      <c r="B120" s="230"/>
      <c r="C120" s="127"/>
      <c r="D120" s="127"/>
      <c r="E120" s="127"/>
      <c r="F120" s="127"/>
      <c r="G120" s="127"/>
      <c r="H120" s="127"/>
      <c r="I120" s="127"/>
      <c r="J120" s="127"/>
      <c r="K120" s="134"/>
    </row>
    <row r="121" spans="1:11" ht="24.75">
      <c r="A121" s="135"/>
      <c r="B121" s="117" t="s">
        <v>299</v>
      </c>
      <c r="C121" s="111" t="s">
        <v>139</v>
      </c>
      <c r="D121" s="111"/>
      <c r="E121" s="111"/>
      <c r="F121" s="111"/>
      <c r="G121" s="111"/>
      <c r="H121" s="111"/>
      <c r="I121" s="111"/>
      <c r="J121" s="111"/>
      <c r="K121" s="133" t="s">
        <v>266</v>
      </c>
    </row>
    <row r="122" spans="1:11" ht="24.75">
      <c r="A122" s="135"/>
      <c r="B122" s="117" t="s">
        <v>381</v>
      </c>
      <c r="C122" s="111" t="s">
        <v>140</v>
      </c>
      <c r="D122" s="111"/>
      <c r="E122" s="111"/>
      <c r="F122" s="111"/>
      <c r="G122" s="111"/>
      <c r="H122" s="111"/>
      <c r="I122" s="111"/>
      <c r="J122" s="111"/>
      <c r="K122" s="133" t="s">
        <v>266</v>
      </c>
    </row>
    <row r="123" spans="1:11" ht="24.75">
      <c r="A123" s="135"/>
      <c r="B123" s="117" t="s">
        <v>173</v>
      </c>
      <c r="C123" s="111" t="s">
        <v>422</v>
      </c>
      <c r="D123" s="111"/>
      <c r="E123" s="111"/>
      <c r="F123" s="111"/>
      <c r="G123" s="111"/>
      <c r="H123" s="111"/>
      <c r="I123" s="111"/>
      <c r="J123" s="111"/>
      <c r="K123" s="133" t="s">
        <v>266</v>
      </c>
    </row>
    <row r="124" spans="1:11" ht="24.75">
      <c r="A124" s="135"/>
      <c r="B124" s="117" t="s">
        <v>423</v>
      </c>
      <c r="C124" s="111" t="s">
        <v>426</v>
      </c>
      <c r="D124" s="111"/>
      <c r="E124" s="111"/>
      <c r="F124" s="111"/>
      <c r="G124" s="111"/>
      <c r="H124" s="111"/>
      <c r="I124" s="111"/>
      <c r="J124" s="111"/>
      <c r="K124" s="133" t="s">
        <v>266</v>
      </c>
    </row>
    <row r="125" spans="1:11" ht="24.75">
      <c r="A125" s="135"/>
      <c r="B125" s="117" t="s">
        <v>424</v>
      </c>
      <c r="C125" s="111" t="s">
        <v>425</v>
      </c>
      <c r="D125" s="111"/>
      <c r="E125" s="111"/>
      <c r="F125" s="111"/>
      <c r="G125" s="111"/>
      <c r="H125" s="111"/>
      <c r="I125" s="111"/>
      <c r="J125" s="111"/>
      <c r="K125" s="133" t="s">
        <v>266</v>
      </c>
    </row>
    <row r="126" spans="1:11" ht="21.75">
      <c r="A126" s="135"/>
      <c r="B126" s="117" t="s">
        <v>51</v>
      </c>
      <c r="C126" s="111" t="s">
        <v>141</v>
      </c>
      <c r="D126" s="111"/>
      <c r="E126" s="111"/>
      <c r="F126" s="111"/>
      <c r="G126" s="111"/>
      <c r="H126" s="111"/>
      <c r="I126" s="111"/>
      <c r="J126" s="111"/>
      <c r="K126" s="133" t="s">
        <v>268</v>
      </c>
    </row>
    <row r="127" spans="1:11" ht="21.75">
      <c r="A127" s="135"/>
      <c r="B127" s="117" t="s">
        <v>49</v>
      </c>
      <c r="C127" s="111" t="s">
        <v>210</v>
      </c>
      <c r="D127" s="111"/>
      <c r="E127" s="111"/>
      <c r="F127" s="111"/>
      <c r="G127" s="111"/>
      <c r="H127" s="111"/>
      <c r="I127" s="111"/>
      <c r="J127" s="111"/>
      <c r="K127" s="133"/>
    </row>
    <row r="128" spans="1:11" ht="21.75">
      <c r="A128" s="135"/>
      <c r="B128" s="117"/>
      <c r="C128" s="111" t="s">
        <v>211</v>
      </c>
      <c r="D128" s="111"/>
      <c r="E128" s="111"/>
      <c r="F128" s="111"/>
      <c r="G128" s="111"/>
      <c r="H128" s="111"/>
      <c r="I128" s="111"/>
      <c r="J128" s="111"/>
      <c r="K128" s="133" t="s">
        <v>268</v>
      </c>
    </row>
    <row r="129" spans="1:11" ht="21.75">
      <c r="A129" s="135"/>
      <c r="B129" s="117" t="s">
        <v>212</v>
      </c>
      <c r="C129" s="111" t="s">
        <v>210</v>
      </c>
      <c r="D129" s="111"/>
      <c r="E129" s="111"/>
      <c r="F129" s="111"/>
      <c r="G129" s="111"/>
      <c r="H129" s="111"/>
      <c r="I129" s="111"/>
      <c r="J129" s="111"/>
      <c r="K129" s="133"/>
    </row>
    <row r="130" spans="1:11" ht="21.75">
      <c r="A130" s="135"/>
      <c r="B130" s="117"/>
      <c r="C130" s="111" t="s">
        <v>213</v>
      </c>
      <c r="D130" s="111"/>
      <c r="E130" s="111"/>
      <c r="F130" s="111"/>
      <c r="G130" s="111"/>
      <c r="H130" s="111"/>
      <c r="I130" s="111"/>
      <c r="J130" s="111"/>
      <c r="K130" s="133" t="s">
        <v>268</v>
      </c>
    </row>
    <row r="131" spans="1:11" ht="21.75">
      <c r="A131" s="135"/>
      <c r="B131" s="117" t="s">
        <v>170</v>
      </c>
      <c r="C131" s="111" t="s">
        <v>142</v>
      </c>
      <c r="D131" s="111"/>
      <c r="E131" s="111"/>
      <c r="F131" s="111"/>
      <c r="G131" s="111"/>
      <c r="H131" s="111"/>
      <c r="I131" s="111"/>
      <c r="J131" s="111"/>
      <c r="K131" s="133" t="s">
        <v>124</v>
      </c>
    </row>
    <row r="132" spans="1:11" ht="21.75">
      <c r="A132" s="135"/>
      <c r="B132" s="117" t="s">
        <v>300</v>
      </c>
      <c r="C132" s="111" t="s">
        <v>143</v>
      </c>
      <c r="D132" s="111"/>
      <c r="E132" s="111"/>
      <c r="F132" s="111"/>
      <c r="G132" s="111"/>
      <c r="H132" s="111"/>
      <c r="I132" s="111"/>
      <c r="J132" s="111"/>
      <c r="K132" s="133" t="s">
        <v>124</v>
      </c>
    </row>
    <row r="133" spans="1:11" ht="21.75">
      <c r="A133" s="135"/>
      <c r="B133" s="117" t="s">
        <v>382</v>
      </c>
      <c r="C133" s="111" t="s">
        <v>368</v>
      </c>
      <c r="D133" s="111"/>
      <c r="E133" s="111"/>
      <c r="F133" s="111"/>
      <c r="G133" s="111"/>
      <c r="H133" s="111"/>
      <c r="I133" s="111"/>
      <c r="J133" s="111"/>
      <c r="K133" s="133" t="s">
        <v>124</v>
      </c>
    </row>
    <row r="134" spans="1:11" ht="21.75">
      <c r="A134" s="135"/>
      <c r="B134" s="117" t="s">
        <v>269</v>
      </c>
      <c r="C134" s="111" t="s">
        <v>428</v>
      </c>
      <c r="D134" s="111"/>
      <c r="E134" s="111"/>
      <c r="F134" s="111"/>
      <c r="G134" s="111"/>
      <c r="H134" s="111"/>
      <c r="I134" s="111"/>
      <c r="J134" s="111"/>
      <c r="K134" s="133"/>
    </row>
    <row r="135" spans="1:11" ht="21.75">
      <c r="A135" s="135"/>
      <c r="B135" s="117"/>
      <c r="C135" s="111" t="s">
        <v>211</v>
      </c>
      <c r="D135" s="111"/>
      <c r="E135" s="111"/>
      <c r="F135" s="111"/>
      <c r="G135" s="111"/>
      <c r="H135" s="111"/>
      <c r="I135" s="111"/>
      <c r="J135" s="111"/>
      <c r="K135" s="133" t="s">
        <v>268</v>
      </c>
    </row>
    <row r="136" spans="1:11" ht="21.75">
      <c r="A136" s="135"/>
      <c r="B136" s="117" t="s">
        <v>427</v>
      </c>
      <c r="C136" s="111" t="s">
        <v>428</v>
      </c>
      <c r="D136" s="111"/>
      <c r="E136" s="111"/>
      <c r="F136" s="111"/>
      <c r="G136" s="111"/>
      <c r="H136" s="111"/>
      <c r="I136" s="111"/>
      <c r="J136" s="111"/>
      <c r="K136" s="133"/>
    </row>
    <row r="137" spans="1:11" ht="21.75">
      <c r="A137" s="135"/>
      <c r="B137" s="117"/>
      <c r="C137" s="111" t="s">
        <v>213</v>
      </c>
      <c r="D137" s="111"/>
      <c r="E137" s="111"/>
      <c r="F137" s="111"/>
      <c r="G137" s="111"/>
      <c r="H137" s="111"/>
      <c r="I137" s="111"/>
      <c r="J137" s="111"/>
      <c r="K137" s="133" t="s">
        <v>268</v>
      </c>
    </row>
    <row r="138" spans="1:11" ht="21.75">
      <c r="A138" s="135"/>
      <c r="B138" s="117" t="s">
        <v>272</v>
      </c>
      <c r="C138" s="111" t="s">
        <v>369</v>
      </c>
      <c r="D138" s="111"/>
      <c r="E138" s="111"/>
      <c r="F138" s="111"/>
      <c r="G138" s="111"/>
      <c r="H138" s="111"/>
      <c r="I138" s="111"/>
      <c r="J138" s="111"/>
      <c r="K138" s="133" t="s">
        <v>124</v>
      </c>
    </row>
    <row r="139" spans="1:11" ht="21.75">
      <c r="A139" s="135"/>
      <c r="B139" s="250" t="s">
        <v>301</v>
      </c>
      <c r="C139" s="111" t="s">
        <v>144</v>
      </c>
      <c r="D139" s="111"/>
      <c r="E139" s="111"/>
      <c r="F139" s="111"/>
      <c r="G139" s="111"/>
      <c r="H139" s="111"/>
      <c r="I139" s="111"/>
      <c r="J139" s="111"/>
      <c r="K139" s="133"/>
    </row>
    <row r="140" spans="1:11" ht="21.75">
      <c r="A140" s="135"/>
      <c r="B140" s="274" t="s">
        <v>405</v>
      </c>
      <c r="C140" s="111" t="s">
        <v>430</v>
      </c>
      <c r="D140" s="111"/>
      <c r="E140" s="111"/>
      <c r="F140" s="111"/>
      <c r="G140" s="111"/>
      <c r="H140" s="111"/>
      <c r="I140" s="111"/>
      <c r="J140" s="111"/>
      <c r="K140" s="133"/>
    </row>
    <row r="141" spans="1:11" ht="21.75">
      <c r="A141" s="135"/>
      <c r="B141" s="274" t="s">
        <v>406</v>
      </c>
      <c r="C141" s="111" t="s">
        <v>429</v>
      </c>
      <c r="D141" s="111"/>
      <c r="E141" s="111"/>
      <c r="F141" s="111"/>
      <c r="G141" s="111"/>
      <c r="H141" s="111"/>
      <c r="I141" s="111"/>
      <c r="J141" s="111"/>
      <c r="K141" s="133"/>
    </row>
    <row r="142" spans="1:11" ht="24.75">
      <c r="A142" s="135"/>
      <c r="B142" s="275"/>
      <c r="C142" s="117" t="s">
        <v>299</v>
      </c>
      <c r="D142" s="117"/>
      <c r="E142" s="111" t="s">
        <v>409</v>
      </c>
      <c r="F142" s="448">
        <v>1</v>
      </c>
      <c r="G142" s="448" t="str">
        <f>M181</f>
        <v>DB.25 mm.</v>
      </c>
      <c r="H142" s="111"/>
      <c r="I142" s="117" t="s">
        <v>329</v>
      </c>
      <c r="J142" s="111">
        <f>F142*N181</f>
        <v>4.91</v>
      </c>
      <c r="K142" s="133" t="s">
        <v>159</v>
      </c>
    </row>
    <row r="143" spans="1:11" ht="24.75">
      <c r="A143" s="135"/>
      <c r="B143" s="275"/>
      <c r="C143" s="117" t="s">
        <v>381</v>
      </c>
      <c r="D143" s="117"/>
      <c r="E143" s="111" t="s">
        <v>409</v>
      </c>
      <c r="F143" s="448">
        <v>1</v>
      </c>
      <c r="G143" s="448" t="str">
        <f>M181</f>
        <v>DB.25 mm.</v>
      </c>
      <c r="H143" s="111"/>
      <c r="I143" s="117" t="s">
        <v>329</v>
      </c>
      <c r="J143" s="111">
        <f>F143*N181</f>
        <v>4.91</v>
      </c>
      <c r="K143" s="133" t="s">
        <v>159</v>
      </c>
    </row>
    <row r="144" spans="1:11" ht="21.75">
      <c r="A144" s="135"/>
      <c r="B144" s="111"/>
      <c r="C144" s="117" t="s">
        <v>254</v>
      </c>
      <c r="D144" s="117" t="s">
        <v>329</v>
      </c>
      <c r="E144" s="118" t="s">
        <v>383</v>
      </c>
      <c r="F144" s="111"/>
      <c r="G144" s="111"/>
      <c r="H144" s="111"/>
      <c r="I144" s="117" t="s">
        <v>329</v>
      </c>
      <c r="J144" s="146">
        <f>1.7*J18</f>
        <v>24310</v>
      </c>
      <c r="K144" s="133" t="s">
        <v>60</v>
      </c>
    </row>
    <row r="145" spans="1:11" ht="21.75">
      <c r="A145" s="135"/>
      <c r="B145" s="111"/>
      <c r="C145" s="117" t="s">
        <v>51</v>
      </c>
      <c r="D145" s="117"/>
      <c r="E145" s="118"/>
      <c r="F145" s="111"/>
      <c r="G145" s="111"/>
      <c r="H145" s="111"/>
      <c r="I145" s="117" t="s">
        <v>329</v>
      </c>
      <c r="J145" s="399">
        <v>9.9634414892429</v>
      </c>
      <c r="K145" s="133" t="s">
        <v>14</v>
      </c>
    </row>
    <row r="146" spans="1:17" ht="27" customHeight="1">
      <c r="A146" s="135"/>
      <c r="B146" s="111"/>
      <c r="C146" s="250" t="s">
        <v>301</v>
      </c>
      <c r="D146" s="117" t="s">
        <v>329</v>
      </c>
      <c r="E146" s="118" t="s">
        <v>302</v>
      </c>
      <c r="F146" s="111"/>
      <c r="G146" s="111"/>
      <c r="H146" s="251"/>
      <c r="I146" s="117" t="s">
        <v>329</v>
      </c>
      <c r="J146" s="146">
        <f>0.85-(0.0008*(J22-300))</f>
        <v>0.77</v>
      </c>
      <c r="K146" s="392"/>
      <c r="M146" s="252"/>
      <c r="N146" s="222"/>
      <c r="O146" s="253" t="s">
        <v>214</v>
      </c>
      <c r="P146" s="254" t="s">
        <v>354</v>
      </c>
      <c r="Q146" s="222"/>
    </row>
    <row r="147" spans="1:17" ht="24.75">
      <c r="A147" s="135"/>
      <c r="B147" s="111"/>
      <c r="C147" s="117" t="s">
        <v>170</v>
      </c>
      <c r="D147" s="117"/>
      <c r="E147" s="111"/>
      <c r="F147" s="111"/>
      <c r="G147" s="111"/>
      <c r="H147" s="111"/>
      <c r="I147" s="117" t="s">
        <v>329</v>
      </c>
      <c r="J147" s="148">
        <f>J31</f>
        <v>1978256.8</v>
      </c>
      <c r="K147" s="133" t="s">
        <v>83</v>
      </c>
      <c r="M147" s="255" t="s">
        <v>316</v>
      </c>
      <c r="N147" s="219"/>
      <c r="O147" s="255" t="s">
        <v>215</v>
      </c>
      <c r="P147" s="256" t="s">
        <v>232</v>
      </c>
      <c r="Q147" s="162" t="s">
        <v>300</v>
      </c>
    </row>
    <row r="148" spans="1:17" ht="21.75">
      <c r="A148" s="135"/>
      <c r="B148" s="111"/>
      <c r="C148" s="117" t="s">
        <v>50</v>
      </c>
      <c r="D148" s="117" t="s">
        <v>329</v>
      </c>
      <c r="E148" s="257" t="s">
        <v>303</v>
      </c>
      <c r="F148" s="111"/>
      <c r="G148" s="111"/>
      <c r="H148" s="111"/>
      <c r="I148" s="111"/>
      <c r="J148" s="111"/>
      <c r="K148" s="133"/>
      <c r="M148" s="297"/>
      <c r="N148" s="298">
        <v>4</v>
      </c>
      <c r="O148" s="298">
        <v>20.5</v>
      </c>
      <c r="P148" s="299">
        <f aca="true" t="shared" si="9" ref="P148:P153">+C35</f>
        <v>0.126</v>
      </c>
      <c r="Q148" s="240">
        <f aca="true" t="shared" si="10" ref="Q148:Q156">+O148/P148*100</f>
        <v>16269.84126984127</v>
      </c>
    </row>
    <row r="149" spans="1:17" ht="21.75">
      <c r="A149" s="135"/>
      <c r="B149" s="111"/>
      <c r="C149" s="117" t="s">
        <v>49</v>
      </c>
      <c r="D149" s="111"/>
      <c r="E149" s="111"/>
      <c r="F149" s="111"/>
      <c r="G149" s="111"/>
      <c r="H149" s="111"/>
      <c r="I149" s="117" t="s">
        <v>329</v>
      </c>
      <c r="J149" s="276">
        <f>+H10-J150</f>
        <v>35</v>
      </c>
      <c r="K149" s="133" t="s">
        <v>14</v>
      </c>
      <c r="M149" s="297"/>
      <c r="N149" s="298">
        <v>5</v>
      </c>
      <c r="O149" s="298">
        <v>32.2</v>
      </c>
      <c r="P149" s="299">
        <f t="shared" si="9"/>
        <v>0.196</v>
      </c>
      <c r="Q149" s="240">
        <f t="shared" si="10"/>
        <v>16428.57142857143</v>
      </c>
    </row>
    <row r="150" spans="1:17" ht="21.75">
      <c r="A150" s="135"/>
      <c r="B150" s="111"/>
      <c r="C150" s="117" t="s">
        <v>212</v>
      </c>
      <c r="D150" s="111"/>
      <c r="E150" s="111"/>
      <c r="F150" s="111"/>
      <c r="G150" s="111"/>
      <c r="H150" s="111"/>
      <c r="I150" s="117" t="s">
        <v>329</v>
      </c>
      <c r="J150" s="276">
        <v>5</v>
      </c>
      <c r="K150" s="133" t="s">
        <v>14</v>
      </c>
      <c r="M150" s="297"/>
      <c r="N150" s="298">
        <v>7</v>
      </c>
      <c r="O150" s="298">
        <v>56.7</v>
      </c>
      <c r="P150" s="299">
        <f t="shared" si="9"/>
        <v>0.385</v>
      </c>
      <c r="Q150" s="240">
        <f t="shared" si="10"/>
        <v>14727.272727272728</v>
      </c>
    </row>
    <row r="151" spans="1:17" ht="21.75">
      <c r="A151" s="241" t="s">
        <v>145</v>
      </c>
      <c r="B151" s="242"/>
      <c r="C151" s="117" t="s">
        <v>300</v>
      </c>
      <c r="D151" s="111"/>
      <c r="E151" s="111"/>
      <c r="F151" s="111"/>
      <c r="G151" s="111"/>
      <c r="H151" s="111"/>
      <c r="I151" s="117" t="s">
        <v>329</v>
      </c>
      <c r="J151" s="276">
        <f>Q152</f>
        <v>17609.48905109489</v>
      </c>
      <c r="K151" s="133" t="s">
        <v>14</v>
      </c>
      <c r="M151" s="297" t="s">
        <v>187</v>
      </c>
      <c r="N151" s="298">
        <v>9.3</v>
      </c>
      <c r="O151" s="298">
        <v>87.5</v>
      </c>
      <c r="P151" s="299">
        <f t="shared" si="9"/>
        <v>0.516</v>
      </c>
      <c r="Q151" s="240">
        <f t="shared" si="10"/>
        <v>16957.36434108527</v>
      </c>
    </row>
    <row r="152" spans="1:17" ht="21.75">
      <c r="A152" s="241"/>
      <c r="B152" s="242"/>
      <c r="C152" s="117" t="s">
        <v>272</v>
      </c>
      <c r="D152" s="111"/>
      <c r="E152" s="111"/>
      <c r="F152" s="111"/>
      <c r="G152" s="111"/>
      <c r="H152" s="111"/>
      <c r="I152" s="117" t="s">
        <v>329</v>
      </c>
      <c r="J152" s="276">
        <v>4000</v>
      </c>
      <c r="K152" s="133" t="s">
        <v>83</v>
      </c>
      <c r="M152" s="297" t="s">
        <v>188</v>
      </c>
      <c r="N152" s="298">
        <v>9.5</v>
      </c>
      <c r="O152" s="298">
        <v>96.5</v>
      </c>
      <c r="P152" s="299">
        <f t="shared" si="9"/>
        <v>0.548</v>
      </c>
      <c r="Q152" s="240">
        <f t="shared" si="10"/>
        <v>17609.48905109489</v>
      </c>
    </row>
    <row r="153" spans="1:17" ht="21.75">
      <c r="A153" s="241"/>
      <c r="B153" s="242"/>
      <c r="C153" s="117" t="s">
        <v>382</v>
      </c>
      <c r="D153" s="111"/>
      <c r="E153" s="111"/>
      <c r="F153" s="111"/>
      <c r="G153" s="111"/>
      <c r="H153" s="111"/>
      <c r="I153" s="117" t="s">
        <v>329</v>
      </c>
      <c r="J153" s="276">
        <v>2040000</v>
      </c>
      <c r="K153" s="133" t="s">
        <v>83</v>
      </c>
      <c r="M153" s="297" t="s">
        <v>190</v>
      </c>
      <c r="N153" s="298">
        <v>12.7</v>
      </c>
      <c r="O153" s="298">
        <v>167</v>
      </c>
      <c r="P153" s="299">
        <f t="shared" si="9"/>
        <v>0.929</v>
      </c>
      <c r="Q153" s="240">
        <f t="shared" si="10"/>
        <v>17976.31862217438</v>
      </c>
    </row>
    <row r="154" spans="1:17" ht="21.75">
      <c r="A154" s="241"/>
      <c r="B154" s="242"/>
      <c r="C154" s="274" t="s">
        <v>405</v>
      </c>
      <c r="D154" s="117" t="s">
        <v>329</v>
      </c>
      <c r="E154" s="111" t="s">
        <v>407</v>
      </c>
      <c r="F154" s="111"/>
      <c r="G154" s="111"/>
      <c r="H154" s="111"/>
      <c r="I154" s="117" t="s">
        <v>329</v>
      </c>
      <c r="J154" s="393">
        <f>J66/J47/J31</f>
        <v>0.0057449794807506605</v>
      </c>
      <c r="K154" s="133"/>
      <c r="M154" s="297"/>
      <c r="N154" s="298"/>
      <c r="O154" s="298"/>
      <c r="P154" s="299"/>
      <c r="Q154" s="240"/>
    </row>
    <row r="155" spans="1:17" ht="21.75">
      <c r="A155" s="241"/>
      <c r="B155" s="242"/>
      <c r="C155" s="274" t="s">
        <v>406</v>
      </c>
      <c r="D155" s="117" t="s">
        <v>329</v>
      </c>
      <c r="E155" s="111" t="s">
        <v>408</v>
      </c>
      <c r="F155" s="111"/>
      <c r="G155" s="111"/>
      <c r="H155" s="111"/>
      <c r="I155" s="117" t="s">
        <v>329</v>
      </c>
      <c r="J155" s="393">
        <f>J66/((J153/J24-1)*(J142+J143)+J12)/J24</f>
        <v>0.00022267128220856278</v>
      </c>
      <c r="K155" s="133"/>
      <c r="M155" s="297"/>
      <c r="N155" s="298"/>
      <c r="O155" s="298"/>
      <c r="P155" s="299"/>
      <c r="Q155" s="240"/>
    </row>
    <row r="156" spans="1:17" ht="27" customHeight="1">
      <c r="A156" s="241" t="s">
        <v>391</v>
      </c>
      <c r="B156" s="242"/>
      <c r="C156" s="117" t="s">
        <v>402</v>
      </c>
      <c r="D156" s="117" t="s">
        <v>329</v>
      </c>
      <c r="E156" s="257" t="s">
        <v>403</v>
      </c>
      <c r="F156" s="111"/>
      <c r="G156" s="118"/>
      <c r="H156" s="116"/>
      <c r="I156" s="117" t="s">
        <v>329</v>
      </c>
      <c r="J156" s="401">
        <f>0.85*J22*J146*J145*E10</f>
        <v>104337.15927535166</v>
      </c>
      <c r="K156" s="133" t="s">
        <v>33</v>
      </c>
      <c r="M156" s="297" t="s">
        <v>192</v>
      </c>
      <c r="N156" s="298">
        <v>15.2</v>
      </c>
      <c r="O156" s="298">
        <v>234</v>
      </c>
      <c r="P156" s="299">
        <f>+C41</f>
        <v>0.987</v>
      </c>
      <c r="Q156" s="240">
        <f t="shared" si="10"/>
        <v>23708.20668693009</v>
      </c>
    </row>
    <row r="157" spans="1:18" ht="21.75">
      <c r="A157" s="135"/>
      <c r="B157" s="111"/>
      <c r="C157" s="117" t="s">
        <v>404</v>
      </c>
      <c r="D157" s="117" t="s">
        <v>329</v>
      </c>
      <c r="E157" s="118" t="s">
        <v>410</v>
      </c>
      <c r="F157" s="111"/>
      <c r="G157" s="111"/>
      <c r="H157" s="111"/>
      <c r="I157" s="117" t="s">
        <v>329</v>
      </c>
      <c r="J157" s="400">
        <f>J45*J147*(J154-0.003*(J145-G43)/J145+J155)</f>
        <v>27137.159343231197</v>
      </c>
      <c r="K157" s="133" t="s">
        <v>33</v>
      </c>
      <c r="M157" s="300"/>
      <c r="N157" s="300"/>
      <c r="O157" s="300"/>
      <c r="P157" s="301"/>
      <c r="Q157" s="302"/>
      <c r="R157" s="302"/>
    </row>
    <row r="158" spans="1:18" ht="21.75">
      <c r="A158" s="135"/>
      <c r="B158" s="111"/>
      <c r="C158" s="117" t="s">
        <v>411</v>
      </c>
      <c r="D158" s="117" t="s">
        <v>329</v>
      </c>
      <c r="E158" s="118" t="s">
        <v>412</v>
      </c>
      <c r="F158" s="111"/>
      <c r="G158" s="111"/>
      <c r="H158" s="111"/>
      <c r="I158" s="117" t="s">
        <v>329</v>
      </c>
      <c r="J158" s="402">
        <f>J143*J152</f>
        <v>19640</v>
      </c>
      <c r="K158" s="133" t="s">
        <v>33</v>
      </c>
      <c r="M158" s="300"/>
      <c r="N158" s="300"/>
      <c r="O158" s="300"/>
      <c r="P158" s="301"/>
      <c r="Q158" s="302"/>
      <c r="R158" s="302"/>
    </row>
    <row r="159" spans="1:18" ht="22.5" thickBot="1">
      <c r="A159" s="139"/>
      <c r="B159" s="140"/>
      <c r="C159" s="264" t="s">
        <v>413</v>
      </c>
      <c r="D159" s="264" t="s">
        <v>329</v>
      </c>
      <c r="E159" s="449" t="s">
        <v>414</v>
      </c>
      <c r="F159" s="140"/>
      <c r="G159" s="140"/>
      <c r="H159" s="140"/>
      <c r="I159" s="264" t="s">
        <v>329</v>
      </c>
      <c r="J159" s="450">
        <f>J46*J151</f>
        <v>77200</v>
      </c>
      <c r="K159" s="141" t="s">
        <v>33</v>
      </c>
      <c r="L159" s="135"/>
      <c r="M159" s="302"/>
      <c r="N159" s="302"/>
      <c r="O159" s="302"/>
      <c r="P159" s="302"/>
      <c r="Q159" s="302"/>
      <c r="R159" s="302"/>
    </row>
    <row r="160" spans="1:11" ht="21.75">
      <c r="A160" s="126"/>
      <c r="B160" s="277"/>
      <c r="C160" s="278" t="s">
        <v>415</v>
      </c>
      <c r="D160" s="279" t="s">
        <v>329</v>
      </c>
      <c r="E160" s="181" t="s">
        <v>416</v>
      </c>
      <c r="F160" s="127"/>
      <c r="G160" s="127"/>
      <c r="H160" s="127"/>
      <c r="I160" s="182" t="s">
        <v>329</v>
      </c>
      <c r="J160" s="403">
        <f>J142*J152</f>
        <v>19640</v>
      </c>
      <c r="K160" s="134" t="s">
        <v>33</v>
      </c>
    </row>
    <row r="161" spans="1:11" ht="21.75">
      <c r="A161" s="135"/>
      <c r="B161" s="111"/>
      <c r="C161" s="249" t="s">
        <v>417</v>
      </c>
      <c r="D161" s="117" t="s">
        <v>329</v>
      </c>
      <c r="E161" s="118" t="s">
        <v>418</v>
      </c>
      <c r="F161" s="111"/>
      <c r="G161" s="111"/>
      <c r="H161" s="111"/>
      <c r="I161" s="117" t="s">
        <v>329</v>
      </c>
      <c r="J161" s="398">
        <f>J156+J158-J157-J159-J160</f>
        <v>-6.787953316234052E-05</v>
      </c>
      <c r="K161" s="133" t="s">
        <v>33</v>
      </c>
    </row>
    <row r="162" spans="1:11" ht="21.75">
      <c r="A162" s="135"/>
      <c r="B162" s="111"/>
      <c r="C162" s="249" t="s">
        <v>419</v>
      </c>
      <c r="D162" s="117" t="s">
        <v>329</v>
      </c>
      <c r="E162" s="111" t="s">
        <v>420</v>
      </c>
      <c r="F162" s="111"/>
      <c r="G162" s="111"/>
      <c r="H162" s="111"/>
      <c r="I162" s="117"/>
      <c r="J162" s="280"/>
      <c r="K162" s="133"/>
    </row>
    <row r="163" spans="1:11" ht="21.75">
      <c r="A163" s="135"/>
      <c r="B163" s="111"/>
      <c r="C163" s="117"/>
      <c r="D163" s="117"/>
      <c r="E163" s="118"/>
      <c r="F163" s="111"/>
      <c r="G163" s="111"/>
      <c r="H163" s="111"/>
      <c r="I163" s="117" t="s">
        <v>329</v>
      </c>
      <c r="J163" s="400">
        <f>(J156*(H10/2-J146*J145/2)+J158*(H10/2-J150)-J157*(H10/2-G43)+J159*(G44-H10/2)+J160*(J149-H10/2))/100</f>
        <v>30767.191211017278</v>
      </c>
      <c r="K163" s="133" t="s">
        <v>60</v>
      </c>
    </row>
    <row r="164" spans="1:12" ht="21.75">
      <c r="A164" s="135"/>
      <c r="B164" s="111"/>
      <c r="C164" s="117" t="s">
        <v>421</v>
      </c>
      <c r="D164" s="117" t="s">
        <v>329</v>
      </c>
      <c r="E164" s="404">
        <f>0.9*J163</f>
        <v>27690.47208991555</v>
      </c>
      <c r="F164" s="111" t="s">
        <v>60</v>
      </c>
      <c r="G164" s="117" t="str">
        <f>IF($E$164&gt;$J$144,$A$108,IF($E$164&lt;$J$144,$A$109))</f>
        <v>&gt;</v>
      </c>
      <c r="H164" s="117" t="s">
        <v>254</v>
      </c>
      <c r="I164" s="117"/>
      <c r="J164" s="404"/>
      <c r="K164" s="451" t="str">
        <f>IF($E$164&gt;$J$144,$M$82,IF($E$164&lt;$J$144,$M$83))</f>
        <v>OK.</v>
      </c>
      <c r="L164" s="135"/>
    </row>
    <row r="165" spans="1:11" ht="23.25">
      <c r="A165" s="131" t="s">
        <v>146</v>
      </c>
      <c r="B165" s="132"/>
      <c r="C165" s="111"/>
      <c r="D165" s="111"/>
      <c r="E165" s="111"/>
      <c r="F165" s="111"/>
      <c r="G165" s="111"/>
      <c r="H165" s="111"/>
      <c r="I165" s="111"/>
      <c r="J165" s="111"/>
      <c r="K165" s="133"/>
    </row>
    <row r="166" spans="1:11" ht="21.75">
      <c r="A166" s="135"/>
      <c r="B166" s="117" t="s">
        <v>331</v>
      </c>
      <c r="C166" s="111" t="s">
        <v>71</v>
      </c>
      <c r="D166" s="111"/>
      <c r="E166" s="111"/>
      <c r="F166" s="111"/>
      <c r="G166" s="111"/>
      <c r="H166" s="111"/>
      <c r="I166" s="111"/>
      <c r="J166" s="111"/>
      <c r="K166" s="133"/>
    </row>
    <row r="167" spans="1:13" ht="21.75">
      <c r="A167" s="135"/>
      <c r="B167" s="117" t="s">
        <v>305</v>
      </c>
      <c r="C167" s="111" t="s">
        <v>147</v>
      </c>
      <c r="D167" s="111"/>
      <c r="E167" s="111"/>
      <c r="F167" s="111"/>
      <c r="G167" s="147" t="s">
        <v>306</v>
      </c>
      <c r="H167" s="111"/>
      <c r="I167" s="117" t="s">
        <v>329</v>
      </c>
      <c r="J167" s="116">
        <f>(H10/2)-J50</f>
        <v>17.714285714285715</v>
      </c>
      <c r="K167" s="133" t="s">
        <v>14</v>
      </c>
      <c r="M167" s="115"/>
    </row>
    <row r="168" spans="1:11" ht="21.75">
      <c r="A168" s="135"/>
      <c r="B168" s="117" t="s">
        <v>148</v>
      </c>
      <c r="C168" s="111" t="s">
        <v>149</v>
      </c>
      <c r="D168" s="111"/>
      <c r="E168" s="117" t="s">
        <v>329</v>
      </c>
      <c r="F168" s="111" t="s">
        <v>150</v>
      </c>
      <c r="G168" s="147"/>
      <c r="H168" s="111"/>
      <c r="I168" s="117" t="s">
        <v>329</v>
      </c>
      <c r="J168" s="116">
        <f>SQRT(J14/J12)</f>
        <v>12.940715533018006</v>
      </c>
      <c r="K168" s="133" t="s">
        <v>14</v>
      </c>
    </row>
    <row r="169" spans="1:11" ht="21.75">
      <c r="A169" s="135"/>
      <c r="B169" s="111" t="s">
        <v>151</v>
      </c>
      <c r="C169" s="111"/>
      <c r="D169" s="111"/>
      <c r="E169" s="117" t="s">
        <v>307</v>
      </c>
      <c r="F169" s="117" t="s">
        <v>329</v>
      </c>
      <c r="G169" s="111" t="s">
        <v>308</v>
      </c>
      <c r="H169" s="111"/>
      <c r="I169" s="117" t="s">
        <v>329</v>
      </c>
      <c r="J169" s="146">
        <f>2*SQRT(J22)</f>
        <v>40</v>
      </c>
      <c r="K169" s="133" t="s">
        <v>83</v>
      </c>
    </row>
    <row r="170" spans="1:11" ht="24.75">
      <c r="A170" s="135"/>
      <c r="B170" s="111" t="s">
        <v>152</v>
      </c>
      <c r="C170" s="111"/>
      <c r="D170" s="117" t="s">
        <v>309</v>
      </c>
      <c r="E170" s="117" t="s">
        <v>329</v>
      </c>
      <c r="F170" s="111" t="s">
        <v>310</v>
      </c>
      <c r="G170" s="111"/>
      <c r="H170" s="111"/>
      <c r="I170" s="117" t="s">
        <v>329</v>
      </c>
      <c r="J170" s="146">
        <f>(J66*(J50+(J168^2)/J167)+J169*J14/J167)/100</f>
        <v>14894.422799236923</v>
      </c>
      <c r="K170" s="133" t="s">
        <v>60</v>
      </c>
    </row>
    <row r="171" spans="1:14" ht="21.75">
      <c r="A171" s="135"/>
      <c r="B171" s="111"/>
      <c r="C171" s="111"/>
      <c r="D171" s="117" t="s">
        <v>311</v>
      </c>
      <c r="E171" s="117"/>
      <c r="F171" s="111"/>
      <c r="G171" s="111"/>
      <c r="H171" s="111"/>
      <c r="I171" s="117" t="s">
        <v>329</v>
      </c>
      <c r="J171" s="148">
        <f>1.2*J170</f>
        <v>17873.30735908431</v>
      </c>
      <c r="K171" s="133" t="s">
        <v>60</v>
      </c>
      <c r="M171" s="97"/>
      <c r="N171" s="98" t="s">
        <v>325</v>
      </c>
    </row>
    <row r="172" spans="1:14" ht="23.25">
      <c r="A172" s="135"/>
      <c r="B172" s="111"/>
      <c r="C172" s="111"/>
      <c r="D172" s="111"/>
      <c r="E172" s="111"/>
      <c r="F172" s="111"/>
      <c r="G172" s="117" t="s">
        <v>311</v>
      </c>
      <c r="H172" s="117" t="str">
        <f>IF(J171&gt;E164,A108,IF(J171&lt;E164,A109))</f>
        <v>&lt;</v>
      </c>
      <c r="I172" s="117" t="s">
        <v>304</v>
      </c>
      <c r="J172" s="111"/>
      <c r="K172" s="392" t="str">
        <f>IF(J171&lt;E164,M82,IF(J171&gt;E164,M83))</f>
        <v>OK.</v>
      </c>
      <c r="M172" s="97"/>
      <c r="N172" s="98" t="s">
        <v>356</v>
      </c>
    </row>
    <row r="173" spans="1:14" ht="21.75">
      <c r="A173" s="135"/>
      <c r="B173" s="282"/>
      <c r="C173" s="283"/>
      <c r="D173" s="117"/>
      <c r="E173" s="111"/>
      <c r="F173" s="111"/>
      <c r="G173" s="117"/>
      <c r="H173" s="117"/>
      <c r="I173" s="117"/>
      <c r="J173" s="281"/>
      <c r="K173" s="133"/>
      <c r="M173" s="99" t="s">
        <v>16</v>
      </c>
      <c r="N173" s="98">
        <v>0.07</v>
      </c>
    </row>
    <row r="174" spans="1:14" ht="23.25">
      <c r="A174" s="131" t="s">
        <v>153</v>
      </c>
      <c r="B174" s="132"/>
      <c r="C174" s="111"/>
      <c r="D174" s="111"/>
      <c r="E174" s="111"/>
      <c r="F174" s="111"/>
      <c r="G174" s="111"/>
      <c r="H174" s="111"/>
      <c r="I174" s="111"/>
      <c r="J174" s="111"/>
      <c r="K174" s="133"/>
      <c r="M174" s="99" t="s">
        <v>17</v>
      </c>
      <c r="N174" s="98">
        <v>0.13</v>
      </c>
    </row>
    <row r="175" spans="1:14" ht="21.75">
      <c r="A175" s="135"/>
      <c r="B175" s="111"/>
      <c r="C175" s="111" t="s">
        <v>154</v>
      </c>
      <c r="D175" s="111"/>
      <c r="E175" s="117" t="s">
        <v>329</v>
      </c>
      <c r="F175" s="111" t="s">
        <v>155</v>
      </c>
      <c r="G175" s="111"/>
      <c r="H175" s="111"/>
      <c r="I175" s="117" t="s">
        <v>329</v>
      </c>
      <c r="J175" s="148">
        <f>J11*100/360</f>
        <v>5</v>
      </c>
      <c r="K175" s="133" t="s">
        <v>14</v>
      </c>
      <c r="M175" s="99" t="s">
        <v>18</v>
      </c>
      <c r="N175" s="98">
        <v>0.28</v>
      </c>
    </row>
    <row r="176" spans="1:14" ht="21.75">
      <c r="A176" s="135"/>
      <c r="B176" s="111"/>
      <c r="C176" s="117" t="s">
        <v>249</v>
      </c>
      <c r="D176" s="117" t="s">
        <v>329</v>
      </c>
      <c r="E176" s="111" t="s">
        <v>156</v>
      </c>
      <c r="F176" s="111"/>
      <c r="G176" s="111"/>
      <c r="H176" s="111"/>
      <c r="I176" s="117" t="s">
        <v>329</v>
      </c>
      <c r="J176" s="148">
        <f>J65</f>
        <v>104411.65098569986</v>
      </c>
      <c r="K176" s="133" t="s">
        <v>33</v>
      </c>
      <c r="M176" s="99" t="s">
        <v>19</v>
      </c>
      <c r="N176" s="98">
        <v>0.64</v>
      </c>
    </row>
    <row r="177" spans="1:14" ht="21.75">
      <c r="A177" s="135"/>
      <c r="B177" s="111"/>
      <c r="C177" s="117" t="s">
        <v>331</v>
      </c>
      <c r="D177" s="117" t="s">
        <v>329</v>
      </c>
      <c r="E177" s="111" t="s">
        <v>71</v>
      </c>
      <c r="F177" s="111"/>
      <c r="G177" s="111"/>
      <c r="H177" s="111"/>
      <c r="I177" s="117" t="s">
        <v>329</v>
      </c>
      <c r="J177" s="258">
        <f>J50</f>
        <v>2.2857142857142847</v>
      </c>
      <c r="K177" s="133" t="s">
        <v>14</v>
      </c>
      <c r="M177" s="99" t="s">
        <v>20</v>
      </c>
      <c r="N177" s="98">
        <v>0.79</v>
      </c>
    </row>
    <row r="178" spans="1:16" ht="24.75">
      <c r="A178" s="135"/>
      <c r="B178" s="111" t="s">
        <v>431</v>
      </c>
      <c r="C178" s="111"/>
      <c r="D178" s="111"/>
      <c r="E178" s="111"/>
      <c r="F178" s="147" t="s">
        <v>312</v>
      </c>
      <c r="G178" s="111"/>
      <c r="H178" s="111"/>
      <c r="I178" s="117" t="s">
        <v>329</v>
      </c>
      <c r="J178" s="258">
        <f>(J176*J177*(J11*100)^2)/(8*J25*J14)</f>
        <v>1.8419423630530078</v>
      </c>
      <c r="K178" s="133" t="s">
        <v>14</v>
      </c>
      <c r="M178" s="99" t="s">
        <v>21</v>
      </c>
      <c r="N178" s="98">
        <v>1.13</v>
      </c>
      <c r="O178" s="240" t="s">
        <v>330</v>
      </c>
      <c r="P178" s="240" t="s">
        <v>116</v>
      </c>
    </row>
    <row r="179" spans="1:14" ht="21.75">
      <c r="A179" s="135"/>
      <c r="B179" s="111" t="s">
        <v>432</v>
      </c>
      <c r="C179" s="111"/>
      <c r="D179" s="111"/>
      <c r="E179" s="111"/>
      <c r="F179" s="147" t="s">
        <v>433</v>
      </c>
      <c r="G179" s="111"/>
      <c r="H179" s="111"/>
      <c r="I179" s="117" t="s">
        <v>329</v>
      </c>
      <c r="J179" s="258">
        <f>1.8*J178</f>
        <v>3.315496253495414</v>
      </c>
      <c r="K179" s="133" t="s">
        <v>14</v>
      </c>
      <c r="M179" s="99" t="s">
        <v>22</v>
      </c>
      <c r="N179" s="98">
        <v>2.01</v>
      </c>
    </row>
    <row r="180" spans="1:14" ht="21.75">
      <c r="A180" s="135"/>
      <c r="B180" s="111"/>
      <c r="C180" s="111"/>
      <c r="D180" s="111"/>
      <c r="E180" s="111"/>
      <c r="F180" s="111"/>
      <c r="G180" s="111"/>
      <c r="H180" s="137" t="s">
        <v>432</v>
      </c>
      <c r="I180" s="117" t="str">
        <f>IF(J179&lt;J175,A109,IF(J179&gt;J175,A108))</f>
        <v>&lt;</v>
      </c>
      <c r="J180" s="111" t="s">
        <v>155</v>
      </c>
      <c r="K180" s="392" t="str">
        <f>IF(J179&lt;J175,M82,IF(J179&gt;J175,M83))</f>
        <v>OK.</v>
      </c>
      <c r="M180" s="99" t="s">
        <v>23</v>
      </c>
      <c r="N180" s="98">
        <v>3.14</v>
      </c>
    </row>
    <row r="181" spans="1:14" ht="21.75">
      <c r="A181" s="135"/>
      <c r="B181" s="111"/>
      <c r="C181" s="259" t="s">
        <v>157</v>
      </c>
      <c r="D181" s="111"/>
      <c r="E181" s="111"/>
      <c r="F181" s="111"/>
      <c r="G181" s="111"/>
      <c r="H181" s="111"/>
      <c r="I181" s="111"/>
      <c r="J181" s="111"/>
      <c r="K181" s="246"/>
      <c r="M181" s="99" t="s">
        <v>24</v>
      </c>
      <c r="N181" s="98">
        <v>4.91</v>
      </c>
    </row>
    <row r="182" spans="1:14" ht="24.75">
      <c r="A182" s="135"/>
      <c r="B182" s="111" t="s">
        <v>434</v>
      </c>
      <c r="C182" s="111"/>
      <c r="D182" s="111"/>
      <c r="E182" s="111" t="s">
        <v>313</v>
      </c>
      <c r="F182" s="111"/>
      <c r="G182" s="111"/>
      <c r="H182" s="111"/>
      <c r="I182" s="117" t="s">
        <v>329</v>
      </c>
      <c r="J182" s="146">
        <f>(5/100)*(5*(J13/100)*(J11*100)^4)/(384*J25*J14)</f>
        <v>0.3850976441295101</v>
      </c>
      <c r="K182" s="133" t="s">
        <v>14</v>
      </c>
      <c r="M182" s="105" t="s">
        <v>25</v>
      </c>
      <c r="N182" s="103">
        <v>6.16</v>
      </c>
    </row>
    <row r="183" spans="1:11" ht="21.75">
      <c r="A183" s="135"/>
      <c r="B183" s="111" t="s">
        <v>435</v>
      </c>
      <c r="C183" s="111"/>
      <c r="D183" s="111"/>
      <c r="E183" s="111" t="s">
        <v>436</v>
      </c>
      <c r="F183" s="111"/>
      <c r="G183" s="111"/>
      <c r="H183" s="111"/>
      <c r="I183" s="117" t="s">
        <v>329</v>
      </c>
      <c r="J183" s="146">
        <f>1.85*J182</f>
        <v>0.7124306416395937</v>
      </c>
      <c r="K183" s="133" t="s">
        <v>14</v>
      </c>
    </row>
    <row r="184" spans="1:11" ht="21.75">
      <c r="A184" s="135"/>
      <c r="B184" s="111" t="s">
        <v>437</v>
      </c>
      <c r="C184" s="111"/>
      <c r="D184" s="111"/>
      <c r="E184" s="111"/>
      <c r="F184" s="111"/>
      <c r="G184" s="111"/>
      <c r="H184" s="111"/>
      <c r="I184" s="117" t="s">
        <v>329</v>
      </c>
      <c r="J184" s="148">
        <f>J183-J179</f>
        <v>-2.60306561185582</v>
      </c>
      <c r="K184" s="133" t="s">
        <v>14</v>
      </c>
    </row>
    <row r="185" spans="1:11" ht="22.5" thickBot="1">
      <c r="A185" s="139"/>
      <c r="B185" s="140"/>
      <c r="C185" s="140"/>
      <c r="D185" s="140"/>
      <c r="E185" s="140"/>
      <c r="F185" s="140"/>
      <c r="G185" s="140"/>
      <c r="H185" s="142" t="s">
        <v>158</v>
      </c>
      <c r="I185" s="264" t="str">
        <f>IF(J184&lt;J175,A109,IF(J184&gt;J175,A108))</f>
        <v>&lt;</v>
      </c>
      <c r="J185" s="140" t="s">
        <v>155</v>
      </c>
      <c r="K185" s="452" t="str">
        <f>IF(J184&lt;J175,M82,IF(J184&gt;J175,M83))</f>
        <v>OK.</v>
      </c>
    </row>
  </sheetData>
  <mergeCells count="14">
    <mergeCell ref="E109:F109"/>
    <mergeCell ref="E119:F119"/>
    <mergeCell ref="A4:K4"/>
    <mergeCell ref="E32:F32"/>
    <mergeCell ref="J32:K32"/>
    <mergeCell ref="C32:C33"/>
    <mergeCell ref="E8:K8"/>
    <mergeCell ref="A32:B34"/>
    <mergeCell ref="B72:D73"/>
    <mergeCell ref="B59:D59"/>
    <mergeCell ref="I59:K59"/>
    <mergeCell ref="I72:K72"/>
    <mergeCell ref="E72:F72"/>
    <mergeCell ref="G72:H72"/>
  </mergeCells>
  <printOptions/>
  <pageMargins left="0.42" right="0.26" top="0.45" bottom="0.34" header="0.27" footer="0.21"/>
  <pageSetup horizontalDpi="300" verticalDpi="300" orientation="portrait" paperSize="9" scale="90" r:id="rId2"/>
  <rowBreaks count="4" manualBreakCount="4">
    <brk id="41" max="10" man="1"/>
    <brk id="84" max="10" man="1"/>
    <brk id="119" max="10" man="1"/>
    <brk id="159" max="10" man="1"/>
  </rowBreaks>
  <colBreaks count="1" manualBreakCount="1">
    <brk id="11" max="251" man="1"/>
  </colBreaks>
  <drawing r:id="rId1"/>
</worksheet>
</file>

<file path=xl/worksheets/sheet3.xml><?xml version="1.0" encoding="utf-8"?>
<worksheet xmlns="http://schemas.openxmlformats.org/spreadsheetml/2006/main" xmlns:r="http://schemas.openxmlformats.org/officeDocument/2006/relationships">
  <dimension ref="A2:AY54"/>
  <sheetViews>
    <sheetView workbookViewId="0" topLeftCell="A40">
      <selection activeCell="AI42" sqref="AI42"/>
    </sheetView>
  </sheetViews>
  <sheetFormatPr defaultColWidth="9.33203125" defaultRowHeight="21"/>
  <cols>
    <col min="1" max="1" width="8.83203125" style="0" customWidth="1"/>
    <col min="2" max="2" width="3.5" style="0" customWidth="1"/>
    <col min="3" max="3" width="2" style="0" customWidth="1"/>
    <col min="4" max="8" width="3.33203125" style="0" customWidth="1"/>
    <col min="9" max="13" width="5.83203125" style="0" customWidth="1"/>
    <col min="14" max="14" width="3.33203125" style="0" customWidth="1"/>
    <col min="15" max="15" width="1.83203125" style="0" customWidth="1"/>
    <col min="16" max="16" width="2.16015625" style="0" customWidth="1"/>
    <col min="17" max="17" width="4.83203125" style="0" customWidth="1"/>
    <col min="18" max="21" width="9.83203125" style="0" customWidth="1"/>
    <col min="22" max="22" width="4.83203125" style="0" customWidth="1"/>
    <col min="23" max="23" width="2.16015625" style="0" customWidth="1"/>
    <col min="24" max="24" width="4.66015625" style="0" customWidth="1"/>
    <col min="25" max="28" width="9.83203125" style="0" customWidth="1"/>
    <col min="29" max="29" width="4.83203125" style="0" customWidth="1"/>
    <col min="30" max="30" width="2.16015625" style="0" customWidth="1"/>
    <col min="31" max="31" width="1.83203125" style="0" customWidth="1"/>
    <col min="32" max="32" width="3.33203125" style="0" customWidth="1"/>
    <col min="33" max="37" width="5.83203125" style="0" customWidth="1"/>
    <col min="38" max="42" width="3.33203125" style="0" customWidth="1"/>
    <col min="43" max="43" width="2" style="0" customWidth="1"/>
    <col min="44" max="44" width="11.33203125" style="0" customWidth="1"/>
    <col min="45" max="45" width="2.16015625" style="0" customWidth="1"/>
    <col min="46" max="46" width="2.5" style="0" customWidth="1"/>
    <col min="47" max="47" width="0.82421875" style="0" customWidth="1"/>
    <col min="49" max="49" width="9.66015625" style="0" customWidth="1"/>
    <col min="50" max="50" width="6.16015625" style="0" customWidth="1"/>
    <col min="52" max="62" width="9.5" style="0" customWidth="1"/>
  </cols>
  <sheetData>
    <row r="1" ht="3.75" customHeight="1" thickBot="1"/>
    <row r="2" spans="1:48" ht="39.75" customHeight="1">
      <c r="A2" s="306"/>
      <c r="B2" s="21"/>
      <c r="C2" s="307" t="s">
        <v>35</v>
      </c>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22"/>
      <c r="AS2" s="6"/>
      <c r="AT2" s="6"/>
      <c r="AU2" s="6"/>
      <c r="AV2" s="6"/>
    </row>
    <row r="3" spans="1:48" ht="25.5" customHeight="1">
      <c r="A3" s="13"/>
      <c r="B3" s="6"/>
      <c r="C3" s="446" t="s">
        <v>36</v>
      </c>
      <c r="D3" s="446"/>
      <c r="E3" s="446"/>
      <c r="F3" s="446"/>
      <c r="G3" s="446"/>
      <c r="H3" s="446"/>
      <c r="I3" s="446"/>
      <c r="J3" s="446"/>
      <c r="K3" s="446"/>
      <c r="L3" s="446"/>
      <c r="M3" s="446"/>
      <c r="N3" s="308"/>
      <c r="O3" s="308"/>
      <c r="P3" s="308"/>
      <c r="Q3" s="308"/>
      <c r="R3" s="6"/>
      <c r="S3" s="6"/>
      <c r="T3" s="6"/>
      <c r="U3" s="6"/>
      <c r="V3" s="6"/>
      <c r="W3" s="6"/>
      <c r="X3" s="6"/>
      <c r="Y3" s="6"/>
      <c r="Z3" s="6"/>
      <c r="AA3" s="6"/>
      <c r="AB3" s="6"/>
      <c r="AC3" s="308"/>
      <c r="AD3" s="308"/>
      <c r="AE3" s="308"/>
      <c r="AF3" s="308"/>
      <c r="AG3" s="308"/>
      <c r="AH3" s="446" t="s">
        <v>37</v>
      </c>
      <c r="AI3" s="446"/>
      <c r="AJ3" s="446"/>
      <c r="AK3" s="446"/>
      <c r="AL3" s="446"/>
      <c r="AM3" s="446"/>
      <c r="AN3" s="446"/>
      <c r="AO3" s="446"/>
      <c r="AP3" s="446"/>
      <c r="AQ3" s="446"/>
      <c r="AR3" s="15"/>
      <c r="AS3" s="6"/>
      <c r="AT3" s="6"/>
      <c r="AU3" s="6"/>
      <c r="AV3" s="6"/>
    </row>
    <row r="4" spans="1:48" ht="25.5" customHeight="1">
      <c r="A4" s="13"/>
      <c r="B4" s="6"/>
      <c r="C4" s="309">
        <v>100</v>
      </c>
      <c r="D4" s="10"/>
      <c r="E4" s="10"/>
      <c r="F4" s="10"/>
      <c r="G4" s="10"/>
      <c r="H4" s="308"/>
      <c r="I4" s="446">
        <v>100</v>
      </c>
      <c r="J4" s="446"/>
      <c r="K4" s="446"/>
      <c r="L4" s="308"/>
      <c r="M4" s="446">
        <v>455</v>
      </c>
      <c r="N4" s="446"/>
      <c r="O4" s="446"/>
      <c r="P4" s="446"/>
      <c r="Q4" s="308"/>
      <c r="R4" s="308">
        <v>30</v>
      </c>
      <c r="S4" s="308"/>
      <c r="T4" s="310"/>
      <c r="U4" s="6"/>
      <c r="V4" s="6"/>
      <c r="W4" s="6"/>
      <c r="X4" s="6"/>
      <c r="Y4" s="6"/>
      <c r="Z4" s="6"/>
      <c r="AA4" s="26"/>
      <c r="AB4" s="6"/>
      <c r="AC4" s="6"/>
      <c r="AD4" s="6"/>
      <c r="AE4" s="6"/>
      <c r="AF4" s="6"/>
      <c r="AG4" s="308"/>
      <c r="AH4" s="308"/>
      <c r="AI4" s="446">
        <v>100</v>
      </c>
      <c r="AJ4" s="446"/>
      <c r="AK4" s="308"/>
      <c r="AL4" s="308"/>
      <c r="AM4" s="308"/>
      <c r="AN4" s="446">
        <v>100</v>
      </c>
      <c r="AO4" s="446"/>
      <c r="AP4" s="308"/>
      <c r="AQ4" s="308"/>
      <c r="AR4" s="15"/>
      <c r="AS4" s="6"/>
      <c r="AT4" s="6"/>
      <c r="AU4" s="6"/>
      <c r="AV4" s="6"/>
    </row>
    <row r="5" spans="1:48" ht="21" customHeight="1">
      <c r="A5" s="13"/>
      <c r="B5" s="6"/>
      <c r="C5" s="447">
        <v>655</v>
      </c>
      <c r="D5" s="447"/>
      <c r="E5" s="447"/>
      <c r="F5" s="447"/>
      <c r="G5" s="447"/>
      <c r="H5" s="447"/>
      <c r="I5" s="447"/>
      <c r="J5" s="447"/>
      <c r="K5" s="447"/>
      <c r="L5" s="447"/>
      <c r="M5" s="447"/>
      <c r="N5" s="447"/>
      <c r="O5" s="447"/>
      <c r="P5" s="447"/>
      <c r="Q5" s="447"/>
      <c r="R5" s="311">
        <v>30</v>
      </c>
      <c r="S5" s="312">
        <v>20</v>
      </c>
      <c r="T5" s="6"/>
      <c r="U5" s="6"/>
      <c r="V5" s="6"/>
      <c r="W5" s="6"/>
      <c r="X5" s="6"/>
      <c r="Y5" s="6"/>
      <c r="Z5" s="6"/>
      <c r="AA5" s="6"/>
      <c r="AB5" s="6"/>
      <c r="AC5" s="6"/>
      <c r="AD5" s="6"/>
      <c r="AE5" s="6"/>
      <c r="AF5" s="6"/>
      <c r="AG5" s="6"/>
      <c r="AH5" s="6"/>
      <c r="AI5" s="6"/>
      <c r="AJ5" s="6"/>
      <c r="AK5" s="6"/>
      <c r="AL5" s="6"/>
      <c r="AM5" s="6"/>
      <c r="AN5" s="6"/>
      <c r="AO5" s="6"/>
      <c r="AP5" s="6"/>
      <c r="AQ5" s="6"/>
      <c r="AR5" s="15"/>
      <c r="AS5" s="6"/>
      <c r="AT5" s="6"/>
      <c r="AU5" s="6"/>
      <c r="AV5" s="6"/>
    </row>
    <row r="6" spans="1:48" ht="21.75" customHeight="1">
      <c r="A6" s="13"/>
      <c r="B6" s="6"/>
      <c r="C6" s="313"/>
      <c r="D6" s="313"/>
      <c r="E6" s="313"/>
      <c r="F6" s="313"/>
      <c r="G6" s="313"/>
      <c r="H6" s="313"/>
      <c r="I6" s="313"/>
      <c r="J6" s="313"/>
      <c r="K6" s="313"/>
      <c r="L6" s="313"/>
      <c r="M6" s="313"/>
      <c r="N6" s="313"/>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15"/>
      <c r="AS6" s="6"/>
      <c r="AT6" s="6"/>
      <c r="AU6" s="6"/>
      <c r="AV6" s="6"/>
    </row>
    <row r="7" spans="1:48" ht="25.5" customHeight="1">
      <c r="A7" s="13"/>
      <c r="B7" s="6"/>
      <c r="C7" s="6"/>
      <c r="D7" s="6"/>
      <c r="E7" s="6"/>
      <c r="F7" s="6"/>
      <c r="G7" s="6"/>
      <c r="H7" s="29" t="s">
        <v>373</v>
      </c>
      <c r="I7" s="6"/>
      <c r="J7" s="6"/>
      <c r="K7" s="6"/>
      <c r="L7" s="6"/>
      <c r="M7" s="6"/>
      <c r="N7" s="6"/>
      <c r="O7" s="6"/>
      <c r="P7" s="6"/>
      <c r="Q7" s="6"/>
      <c r="R7" s="6"/>
      <c r="S7" s="6"/>
      <c r="T7" s="6"/>
      <c r="U7" s="6"/>
      <c r="V7" s="6"/>
      <c r="W7" s="6"/>
      <c r="X7" s="8"/>
      <c r="Y7" s="8"/>
      <c r="Z7" s="8"/>
      <c r="AA7" s="8"/>
      <c r="AB7" s="8"/>
      <c r="AC7" s="8"/>
      <c r="AD7" s="6"/>
      <c r="AE7" s="6"/>
      <c r="AF7" s="6"/>
      <c r="AG7" s="6"/>
      <c r="AH7" s="6"/>
      <c r="AI7" s="6"/>
      <c r="AJ7" s="6"/>
      <c r="AK7" s="6"/>
      <c r="AL7" s="6"/>
      <c r="AM7" s="6"/>
      <c r="AN7" s="6"/>
      <c r="AO7" s="6"/>
      <c r="AP7" s="6"/>
      <c r="AQ7" s="6"/>
      <c r="AR7" s="15"/>
      <c r="AS7" s="6"/>
      <c r="AT7" s="6"/>
      <c r="AU7" s="6"/>
      <c r="AV7" s="6"/>
    </row>
    <row r="8" spans="1:48" ht="7.5" customHeight="1">
      <c r="A8" s="13"/>
      <c r="B8" s="12"/>
      <c r="C8" s="8"/>
      <c r="D8" s="8"/>
      <c r="E8" s="8"/>
      <c r="F8" s="8"/>
      <c r="G8" s="8"/>
      <c r="H8" s="8"/>
      <c r="I8" s="8"/>
      <c r="J8" s="8"/>
      <c r="K8" s="8"/>
      <c r="L8" s="8"/>
      <c r="M8" s="8"/>
      <c r="N8" s="8"/>
      <c r="O8" s="8"/>
      <c r="P8" s="8"/>
      <c r="Q8" s="8"/>
      <c r="R8" s="8"/>
      <c r="S8" s="8"/>
      <c r="T8" s="8"/>
      <c r="U8" s="8"/>
      <c r="V8" s="8"/>
      <c r="W8" s="6"/>
      <c r="X8" s="8"/>
      <c r="Y8" s="8"/>
      <c r="Z8" s="8"/>
      <c r="AA8" s="8"/>
      <c r="AB8" s="8"/>
      <c r="AC8" s="8"/>
      <c r="AD8" s="6"/>
      <c r="AE8" s="6"/>
      <c r="AF8" s="6"/>
      <c r="AG8" s="6"/>
      <c r="AH8" s="6"/>
      <c r="AI8" s="6"/>
      <c r="AJ8" s="27"/>
      <c r="AK8" s="27"/>
      <c r="AL8" s="27"/>
      <c r="AM8" s="27"/>
      <c r="AN8" s="27"/>
      <c r="AO8" s="27"/>
      <c r="AP8" s="27"/>
      <c r="AQ8" s="27"/>
      <c r="AR8" s="15"/>
      <c r="AS8" s="6"/>
      <c r="AT8" s="6"/>
      <c r="AU8" s="6"/>
      <c r="AV8" s="6"/>
    </row>
    <row r="9" spans="1:48" ht="1.5" customHeight="1">
      <c r="A9" s="13"/>
      <c r="B9" s="12"/>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27"/>
      <c r="AK9" s="27"/>
      <c r="AL9" s="27"/>
      <c r="AM9" s="27"/>
      <c r="AN9" s="27"/>
      <c r="AO9" s="27"/>
      <c r="AP9" s="27"/>
      <c r="AQ9" s="27"/>
      <c r="AR9" s="15"/>
      <c r="AS9" s="6"/>
      <c r="AT9" s="6"/>
      <c r="AU9" s="6"/>
      <c r="AV9" s="6"/>
    </row>
    <row r="10" spans="1:48" ht="2.25" customHeight="1">
      <c r="A10" s="13"/>
      <c r="B10" s="12"/>
      <c r="C10" s="6"/>
      <c r="D10" s="27"/>
      <c r="E10" s="27"/>
      <c r="F10" s="27"/>
      <c r="G10" s="27"/>
      <c r="H10" s="27"/>
      <c r="I10" s="27"/>
      <c r="J10" s="27"/>
      <c r="K10" s="27"/>
      <c r="L10" s="27"/>
      <c r="M10" s="27"/>
      <c r="N10" s="27"/>
      <c r="O10" s="27"/>
      <c r="P10" s="27"/>
      <c r="Q10" s="6"/>
      <c r="R10" s="6"/>
      <c r="S10" s="6"/>
      <c r="T10" s="6"/>
      <c r="U10" s="6"/>
      <c r="V10" s="6"/>
      <c r="W10" s="6"/>
      <c r="X10" s="6"/>
      <c r="Y10" s="6"/>
      <c r="Z10" s="6"/>
      <c r="AA10" s="6"/>
      <c r="AB10" s="6"/>
      <c r="AC10" s="6"/>
      <c r="AD10" s="6"/>
      <c r="AE10" s="6"/>
      <c r="AF10" s="6"/>
      <c r="AG10" s="6"/>
      <c r="AH10" s="6"/>
      <c r="AI10" s="6"/>
      <c r="AJ10" s="27"/>
      <c r="AK10" s="27"/>
      <c r="AL10" s="27"/>
      <c r="AM10" s="27"/>
      <c r="AN10" s="27"/>
      <c r="AO10" s="27"/>
      <c r="AP10" s="27"/>
      <c r="AQ10" s="27"/>
      <c r="AR10" s="15"/>
      <c r="AS10" s="6"/>
      <c r="AT10" s="6"/>
      <c r="AU10" s="6"/>
      <c r="AV10" s="6"/>
    </row>
    <row r="11" spans="1:48" ht="3" customHeight="1">
      <c r="A11" s="13"/>
      <c r="B11" s="12"/>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27"/>
      <c r="AK11" s="27"/>
      <c r="AL11" s="27"/>
      <c r="AM11" s="27"/>
      <c r="AN11" s="27"/>
      <c r="AO11" s="27"/>
      <c r="AP11" s="27"/>
      <c r="AQ11" s="27"/>
      <c r="AR11" s="15"/>
      <c r="AS11" s="6"/>
      <c r="AT11" s="6"/>
      <c r="AU11" s="6"/>
      <c r="AV11" s="6"/>
    </row>
    <row r="12" spans="1:48" ht="4.5" customHeight="1">
      <c r="A12" s="13"/>
      <c r="B12" s="12"/>
      <c r="C12" s="6"/>
      <c r="D12" s="6"/>
      <c r="E12" s="6"/>
      <c r="F12" s="6"/>
      <c r="G12" s="6"/>
      <c r="H12" s="6"/>
      <c r="I12" s="6"/>
      <c r="J12" s="6"/>
      <c r="K12" s="6"/>
      <c r="L12" s="6"/>
      <c r="M12" s="6"/>
      <c r="N12" s="6"/>
      <c r="O12" s="6"/>
      <c r="P12" s="6"/>
      <c r="Q12" s="6"/>
      <c r="R12" s="6"/>
      <c r="S12" s="6"/>
      <c r="T12" s="6"/>
      <c r="U12" s="6"/>
      <c r="V12" s="6"/>
      <c r="W12" s="6"/>
      <c r="X12" s="314"/>
      <c r="Y12" s="314"/>
      <c r="Z12" s="314"/>
      <c r="AA12" s="314"/>
      <c r="AB12" s="314"/>
      <c r="AC12" s="314"/>
      <c r="AD12" s="6"/>
      <c r="AE12" s="6"/>
      <c r="AF12" s="6"/>
      <c r="AG12" s="6"/>
      <c r="AH12" s="6"/>
      <c r="AI12" s="6"/>
      <c r="AJ12" s="6"/>
      <c r="AK12" s="6"/>
      <c r="AL12" s="6"/>
      <c r="AM12" s="6"/>
      <c r="AN12" s="6"/>
      <c r="AO12" s="6"/>
      <c r="AP12" s="6"/>
      <c r="AQ12" s="6"/>
      <c r="AR12" s="15"/>
      <c r="AS12" s="6"/>
      <c r="AT12" s="6"/>
      <c r="AU12" s="6"/>
      <c r="AV12" s="6"/>
    </row>
    <row r="13" spans="1:48" ht="6.75" customHeight="1">
      <c r="A13" s="13"/>
      <c r="B13" s="12"/>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27"/>
      <c r="AK13" s="27"/>
      <c r="AL13" s="27"/>
      <c r="AM13" s="27"/>
      <c r="AN13" s="27"/>
      <c r="AO13" s="27"/>
      <c r="AP13" s="27"/>
      <c r="AQ13" s="27"/>
      <c r="AR13" s="15"/>
      <c r="AS13" s="6"/>
      <c r="AT13" s="6"/>
      <c r="AU13" s="6"/>
      <c r="AV13" s="6"/>
    </row>
    <row r="14" spans="1:48" ht="12" customHeight="1">
      <c r="A14" s="25"/>
      <c r="B14" s="12"/>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27"/>
      <c r="AK14" s="27"/>
      <c r="AL14" s="27"/>
      <c r="AM14" s="27"/>
      <c r="AN14" s="27"/>
      <c r="AO14" s="27"/>
      <c r="AP14" s="27"/>
      <c r="AQ14" s="27"/>
      <c r="AR14" s="15"/>
      <c r="AS14" s="6"/>
      <c r="AT14" s="6"/>
      <c r="AU14" s="6"/>
      <c r="AV14" s="6"/>
    </row>
    <row r="15" spans="1:48" ht="6.75" customHeight="1">
      <c r="A15" s="13"/>
      <c r="B15" s="12"/>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27"/>
      <c r="AK15" s="27"/>
      <c r="AL15" s="27"/>
      <c r="AM15" s="27"/>
      <c r="AN15" s="27"/>
      <c r="AO15" s="27"/>
      <c r="AP15" s="27"/>
      <c r="AQ15" s="27"/>
      <c r="AR15" s="15"/>
      <c r="AS15" s="6"/>
      <c r="AT15" s="6"/>
      <c r="AU15" s="6"/>
      <c r="AV15" s="6"/>
    </row>
    <row r="16" spans="1:48" ht="4.5" customHeight="1">
      <c r="A16" s="13"/>
      <c r="B16" s="12"/>
      <c r="C16" s="6"/>
      <c r="D16" s="6"/>
      <c r="E16" s="6"/>
      <c r="F16" s="6"/>
      <c r="G16" s="6"/>
      <c r="H16" s="6"/>
      <c r="I16" s="6"/>
      <c r="J16" s="6"/>
      <c r="K16" s="6"/>
      <c r="L16" s="6"/>
      <c r="M16" s="6"/>
      <c r="N16" s="6"/>
      <c r="O16" s="6"/>
      <c r="P16" s="6"/>
      <c r="Q16" s="6"/>
      <c r="R16" s="6"/>
      <c r="S16" s="6"/>
      <c r="T16" s="6"/>
      <c r="U16" s="6"/>
      <c r="V16" s="6"/>
      <c r="W16" s="6"/>
      <c r="X16" s="314"/>
      <c r="Y16" s="314"/>
      <c r="Z16" s="314"/>
      <c r="AA16" s="314"/>
      <c r="AB16" s="314"/>
      <c r="AC16" s="314"/>
      <c r="AD16" s="6"/>
      <c r="AE16" s="6"/>
      <c r="AF16" s="6"/>
      <c r="AG16" s="6"/>
      <c r="AH16" s="6"/>
      <c r="AI16" s="6"/>
      <c r="AJ16" s="6"/>
      <c r="AK16" s="6"/>
      <c r="AL16" s="6"/>
      <c r="AM16" s="6"/>
      <c r="AN16" s="6"/>
      <c r="AO16" s="6"/>
      <c r="AP16" s="6"/>
      <c r="AQ16" s="6"/>
      <c r="AR16" s="15"/>
      <c r="AS16" s="6"/>
      <c r="AT16" s="6"/>
      <c r="AU16" s="6"/>
      <c r="AV16" s="6"/>
    </row>
    <row r="17" spans="1:48" ht="3.75" customHeight="1">
      <c r="A17" s="13"/>
      <c r="B17" s="12"/>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27"/>
      <c r="AK17" s="27"/>
      <c r="AL17" s="27"/>
      <c r="AM17" s="27"/>
      <c r="AN17" s="27"/>
      <c r="AO17" s="27"/>
      <c r="AP17" s="27"/>
      <c r="AQ17" s="27"/>
      <c r="AR17" s="15"/>
      <c r="AS17" s="6"/>
      <c r="AT17" s="6"/>
      <c r="AU17" s="6"/>
      <c r="AV17" s="6"/>
    </row>
    <row r="18" spans="1:48" ht="2.25" customHeight="1">
      <c r="A18" s="13"/>
      <c r="B18" s="12"/>
      <c r="C18" s="6"/>
      <c r="D18" s="27"/>
      <c r="E18" s="27"/>
      <c r="F18" s="27"/>
      <c r="G18" s="27"/>
      <c r="H18" s="27"/>
      <c r="I18" s="27"/>
      <c r="J18" s="27"/>
      <c r="K18" s="27"/>
      <c r="L18" s="27"/>
      <c r="M18" s="27"/>
      <c r="N18" s="27"/>
      <c r="O18" s="27"/>
      <c r="P18" s="27"/>
      <c r="Q18" s="6"/>
      <c r="R18" s="6"/>
      <c r="S18" s="6"/>
      <c r="T18" s="6"/>
      <c r="U18" s="6"/>
      <c r="V18" s="6"/>
      <c r="W18" s="6"/>
      <c r="X18" s="6"/>
      <c r="Y18" s="6"/>
      <c r="Z18" s="6"/>
      <c r="AA18" s="6"/>
      <c r="AB18" s="6"/>
      <c r="AC18" s="6"/>
      <c r="AD18" s="6"/>
      <c r="AE18" s="6"/>
      <c r="AF18" s="6"/>
      <c r="AG18" s="6"/>
      <c r="AH18" s="6"/>
      <c r="AI18" s="6"/>
      <c r="AJ18" s="27"/>
      <c r="AK18" s="27"/>
      <c r="AL18" s="27"/>
      <c r="AM18" s="27"/>
      <c r="AN18" s="27"/>
      <c r="AO18" s="27"/>
      <c r="AP18" s="27"/>
      <c r="AQ18" s="27"/>
      <c r="AR18" s="15"/>
      <c r="AS18" s="6"/>
      <c r="AT18" s="6"/>
      <c r="AU18" s="6"/>
      <c r="AV18" s="6"/>
    </row>
    <row r="19" spans="1:48" ht="1.5" customHeight="1">
      <c r="A19" s="13"/>
      <c r="B19" s="12"/>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27"/>
      <c r="AK19" s="27"/>
      <c r="AL19" s="27"/>
      <c r="AM19" s="27"/>
      <c r="AN19" s="27"/>
      <c r="AO19" s="27"/>
      <c r="AP19" s="27"/>
      <c r="AQ19" s="27"/>
      <c r="AR19" s="15"/>
      <c r="AS19" s="6"/>
      <c r="AT19" s="6"/>
      <c r="AU19" s="6"/>
      <c r="AV19" s="6"/>
    </row>
    <row r="20" spans="1:48" ht="6.75" customHeight="1">
      <c r="A20" s="13"/>
      <c r="B20" s="12"/>
      <c r="C20" s="30"/>
      <c r="D20" s="30"/>
      <c r="E20" s="30"/>
      <c r="F20" s="30"/>
      <c r="G20" s="30"/>
      <c r="H20" s="30"/>
      <c r="I20" s="30"/>
      <c r="J20" s="30"/>
      <c r="K20" s="30"/>
      <c r="L20" s="30"/>
      <c r="M20" s="30"/>
      <c r="N20" s="30"/>
      <c r="O20" s="30"/>
      <c r="P20" s="30"/>
      <c r="Q20" s="30"/>
      <c r="R20" s="30"/>
      <c r="S20" s="30"/>
      <c r="T20" s="30"/>
      <c r="U20" s="30"/>
      <c r="V20" s="30"/>
      <c r="W20" s="6"/>
      <c r="X20" s="30"/>
      <c r="Y20" s="30"/>
      <c r="Z20" s="30"/>
      <c r="AA20" s="30"/>
      <c r="AB20" s="30"/>
      <c r="AC20" s="30"/>
      <c r="AD20" s="6"/>
      <c r="AE20" s="6"/>
      <c r="AF20" s="6"/>
      <c r="AG20" s="6"/>
      <c r="AH20" s="6"/>
      <c r="AI20" s="6"/>
      <c r="AJ20" s="27"/>
      <c r="AK20" s="27"/>
      <c r="AL20" s="27"/>
      <c r="AM20" s="27"/>
      <c r="AN20" s="27"/>
      <c r="AO20" s="27"/>
      <c r="AP20" s="27"/>
      <c r="AQ20" s="27"/>
      <c r="AR20" s="15"/>
      <c r="AS20" s="6"/>
      <c r="AT20" s="6"/>
      <c r="AU20" s="6"/>
      <c r="AV20" s="6"/>
    </row>
    <row r="21" spans="1:48" ht="6.75" customHeight="1">
      <c r="A21" s="13"/>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27"/>
      <c r="AK21" s="27"/>
      <c r="AL21" s="27"/>
      <c r="AM21" s="27"/>
      <c r="AN21" s="27"/>
      <c r="AO21" s="27"/>
      <c r="AP21" s="27"/>
      <c r="AQ21" s="27"/>
      <c r="AR21" s="15"/>
      <c r="AS21" s="6"/>
      <c r="AT21" s="6"/>
      <c r="AU21" s="6"/>
      <c r="AV21" s="6"/>
    </row>
    <row r="22" spans="1:48" ht="21" customHeight="1">
      <c r="A22" s="13"/>
      <c r="B22" s="6"/>
      <c r="C22" s="315"/>
      <c r="D22" s="315"/>
      <c r="E22" s="315"/>
      <c r="F22" s="315"/>
      <c r="G22" s="315"/>
      <c r="H22" s="29"/>
      <c r="I22" s="316" t="s">
        <v>29</v>
      </c>
      <c r="J22" s="24"/>
      <c r="K22" s="24"/>
      <c r="L22" s="24"/>
      <c r="M22" s="24"/>
      <c r="N22" s="6"/>
      <c r="O22" s="6"/>
      <c r="P22" s="6"/>
      <c r="Q22" s="316" t="s">
        <v>43</v>
      </c>
      <c r="R22" s="6"/>
      <c r="S22" s="6"/>
      <c r="U22" s="317" t="s">
        <v>45</v>
      </c>
      <c r="V22" s="6"/>
      <c r="W22" s="6"/>
      <c r="X22" s="6"/>
      <c r="Y22" s="6"/>
      <c r="Z22" s="6"/>
      <c r="AA22" s="6"/>
      <c r="AB22" s="29" t="s">
        <v>372</v>
      </c>
      <c r="AC22" s="6"/>
      <c r="AD22" s="6"/>
      <c r="AE22" s="6"/>
      <c r="AF22" s="6"/>
      <c r="AG22" s="6"/>
      <c r="AH22" s="316" t="s">
        <v>29</v>
      </c>
      <c r="AI22" s="6"/>
      <c r="AJ22" s="27"/>
      <c r="AK22" s="27"/>
      <c r="AL22" s="27"/>
      <c r="AM22" s="27"/>
      <c r="AN22" s="27"/>
      <c r="AO22" s="27"/>
      <c r="AP22" s="27"/>
      <c r="AQ22" s="27"/>
      <c r="AR22" s="15"/>
      <c r="AS22" s="6"/>
      <c r="AT22" s="6"/>
      <c r="AU22" s="6"/>
      <c r="AV22" s="6"/>
    </row>
    <row r="23" spans="1:48" ht="21.75" customHeight="1">
      <c r="A23" s="13"/>
      <c r="B23" s="320" t="s">
        <v>28</v>
      </c>
      <c r="C23" s="316"/>
      <c r="D23" s="316"/>
      <c r="E23" s="316"/>
      <c r="F23" s="316"/>
      <c r="G23" s="316"/>
      <c r="H23" s="316"/>
      <c r="K23" s="316"/>
      <c r="L23" s="316" t="s">
        <v>30</v>
      </c>
      <c r="M23" s="316"/>
      <c r="N23" s="316"/>
      <c r="O23" s="316"/>
      <c r="P23" s="316"/>
      <c r="R23" s="316"/>
      <c r="S23" s="316"/>
      <c r="T23" s="316"/>
      <c r="V23" s="316"/>
      <c r="W23" s="316"/>
      <c r="X23" s="316"/>
      <c r="Y23" s="316" t="s">
        <v>31</v>
      </c>
      <c r="Z23" s="316"/>
      <c r="AA23" s="316"/>
      <c r="AB23" s="316"/>
      <c r="AC23" s="316"/>
      <c r="AD23" s="316"/>
      <c r="AE23" s="316"/>
      <c r="AF23" s="316"/>
      <c r="AG23" s="316"/>
      <c r="AH23" s="316"/>
      <c r="AI23" s="316"/>
      <c r="AJ23" s="316"/>
      <c r="AL23" s="316" t="s">
        <v>44</v>
      </c>
      <c r="AM23" s="316"/>
      <c r="AN23" s="316"/>
      <c r="AO23" s="316"/>
      <c r="AP23" s="316"/>
      <c r="AQ23" s="316"/>
      <c r="AR23" s="15"/>
      <c r="AS23" s="6"/>
      <c r="AT23" s="6"/>
      <c r="AU23" s="6"/>
      <c r="AV23" s="6"/>
    </row>
    <row r="24" spans="1:48" ht="16.5" customHeight="1">
      <c r="A24" s="13"/>
      <c r="B24" s="6"/>
      <c r="C24" s="10"/>
      <c r="D24" s="10"/>
      <c r="E24" s="10"/>
      <c r="F24" s="10"/>
      <c r="G24" s="10"/>
      <c r="H24" s="10"/>
      <c r="I24" s="10"/>
      <c r="J24" s="10"/>
      <c r="K24" s="10"/>
      <c r="L24" s="10"/>
      <c r="M24" s="10"/>
      <c r="N24" s="318"/>
      <c r="O24" s="318"/>
      <c r="P24" s="100"/>
      <c r="Q24" s="100"/>
      <c r="R24" s="100"/>
      <c r="S24" s="100"/>
      <c r="T24" s="100"/>
      <c r="U24" s="100"/>
      <c r="V24" s="100"/>
      <c r="W24" s="100"/>
      <c r="X24" s="100"/>
      <c r="Y24" s="100"/>
      <c r="Z24" s="100"/>
      <c r="AA24" s="100"/>
      <c r="AB24" s="100"/>
      <c r="AC24" s="100"/>
      <c r="AD24" s="100"/>
      <c r="AE24" s="100"/>
      <c r="AF24" s="100"/>
      <c r="AG24" s="10"/>
      <c r="AH24" s="10"/>
      <c r="AI24" s="10"/>
      <c r="AJ24" s="10"/>
      <c r="AK24" s="10"/>
      <c r="AL24" s="10"/>
      <c r="AM24" s="10"/>
      <c r="AN24" s="10"/>
      <c r="AO24" s="10"/>
      <c r="AP24" s="10"/>
      <c r="AQ24" s="10"/>
      <c r="AR24" s="15"/>
      <c r="AS24" s="6"/>
      <c r="AT24" s="6"/>
      <c r="AU24" s="6"/>
      <c r="AV24" s="6"/>
    </row>
    <row r="25" spans="1:48" ht="19.5" customHeight="1">
      <c r="A25" s="13"/>
      <c r="B25" s="6"/>
      <c r="C25" s="319"/>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5"/>
      <c r="AS25" s="6"/>
      <c r="AT25" s="6"/>
      <c r="AU25" s="6"/>
      <c r="AV25" s="6"/>
    </row>
    <row r="26" spans="1:48" ht="19.5" customHeight="1">
      <c r="A26" s="13"/>
      <c r="B26" s="6"/>
      <c r="C26" s="319"/>
      <c r="D26" s="10"/>
      <c r="E26" s="10"/>
      <c r="F26" s="10"/>
      <c r="G26" s="10"/>
      <c r="H26" s="10"/>
      <c r="I26" s="320"/>
      <c r="J26" s="10"/>
      <c r="K26" s="10"/>
      <c r="L26" s="10"/>
      <c r="M26" s="10"/>
      <c r="N26" s="10"/>
      <c r="O26" s="10"/>
      <c r="P26" s="10"/>
      <c r="Q26" s="10"/>
      <c r="R26" s="16"/>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5"/>
      <c r="AS26" s="6"/>
      <c r="AT26" s="6"/>
      <c r="AU26" s="6"/>
      <c r="AV26" s="6"/>
    </row>
    <row r="27" spans="1:48" ht="21">
      <c r="A27" s="13"/>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15"/>
      <c r="AS27" s="6"/>
      <c r="AT27" s="6"/>
      <c r="AU27" s="6"/>
      <c r="AV27" s="6"/>
    </row>
    <row r="28" spans="1:48" ht="21" customHeight="1">
      <c r="A28" s="13"/>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15"/>
      <c r="AS28" s="6"/>
      <c r="AT28" s="6"/>
      <c r="AU28" s="6"/>
      <c r="AV28" s="6"/>
    </row>
    <row r="29" spans="1:48" ht="21" customHeight="1">
      <c r="A29" s="13"/>
      <c r="B29" s="6"/>
      <c r="C29" s="6"/>
      <c r="D29" s="6"/>
      <c r="E29" s="6"/>
      <c r="F29" s="6"/>
      <c r="G29" s="6"/>
      <c r="H29" s="6"/>
      <c r="I29" s="6"/>
      <c r="J29" s="6"/>
      <c r="K29" s="6"/>
      <c r="L29" s="6"/>
      <c r="M29" s="6"/>
      <c r="N29" s="6"/>
      <c r="O29" s="6"/>
      <c r="P29" s="6"/>
      <c r="Q29" s="6"/>
      <c r="R29" s="6"/>
      <c r="S29" s="6"/>
      <c r="T29" s="6"/>
      <c r="U29" s="6"/>
      <c r="V29" s="6"/>
      <c r="W29" s="6"/>
      <c r="X29" s="6"/>
      <c r="Y29" s="6"/>
      <c r="Z29" s="6"/>
      <c r="AA29" s="27"/>
      <c r="AB29" s="6"/>
      <c r="AC29" s="6"/>
      <c r="AD29" s="6"/>
      <c r="AE29" s="6"/>
      <c r="AF29" s="6"/>
      <c r="AG29" s="6"/>
      <c r="AH29" s="6"/>
      <c r="AI29" s="6"/>
      <c r="AJ29" s="6"/>
      <c r="AK29" s="6"/>
      <c r="AL29" s="6"/>
      <c r="AM29" s="6"/>
      <c r="AN29" s="6"/>
      <c r="AO29" s="6"/>
      <c r="AP29" s="6"/>
      <c r="AQ29" s="6"/>
      <c r="AR29" s="15"/>
      <c r="AS29" s="6"/>
      <c r="AT29" s="6"/>
      <c r="AU29" s="6"/>
      <c r="AV29" s="6"/>
    </row>
    <row r="30" spans="1:48" ht="17.25" customHeight="1">
      <c r="A30" s="13"/>
      <c r="B30" s="6"/>
      <c r="C30" s="6"/>
      <c r="D30" s="6"/>
      <c r="E30" s="6"/>
      <c r="F30" s="6"/>
      <c r="G30" s="6"/>
      <c r="H30" s="6"/>
      <c r="I30" s="6"/>
      <c r="J30" s="6"/>
      <c r="K30" s="6"/>
      <c r="L30" s="6"/>
      <c r="M30" s="6"/>
      <c r="N30" s="6"/>
      <c r="O30" s="6"/>
      <c r="P30" s="6"/>
      <c r="Q30" s="6"/>
      <c r="R30" s="6"/>
      <c r="S30" s="6"/>
      <c r="T30" s="6"/>
      <c r="U30" s="6"/>
      <c r="V30" s="6"/>
      <c r="W30" s="6"/>
      <c r="X30" s="6"/>
      <c r="Y30" s="6"/>
      <c r="Z30" s="6"/>
      <c r="AA30" s="6"/>
      <c r="AB30" s="321"/>
      <c r="AC30" s="322"/>
      <c r="AD30" s="10"/>
      <c r="AE30" s="10"/>
      <c r="AF30" s="322"/>
      <c r="AG30" s="10"/>
      <c r="AH30" s="10"/>
      <c r="AI30" s="322"/>
      <c r="AJ30" s="10"/>
      <c r="AK30" s="10"/>
      <c r="AL30" s="10"/>
      <c r="AM30" s="10"/>
      <c r="AN30" s="10"/>
      <c r="AO30" s="10"/>
      <c r="AP30" s="10"/>
      <c r="AQ30" s="10"/>
      <c r="AR30" s="102"/>
      <c r="AS30" s="6"/>
      <c r="AT30" s="6"/>
      <c r="AU30" s="6"/>
      <c r="AV30" s="6"/>
    </row>
    <row r="31" spans="1:48" ht="4.5" customHeight="1">
      <c r="A31" s="13"/>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15"/>
      <c r="AS31" s="6"/>
      <c r="AT31" s="6"/>
      <c r="AU31" s="6"/>
      <c r="AV31" s="6"/>
    </row>
    <row r="32" spans="1:48" ht="22.5" customHeight="1">
      <c r="A32" s="13"/>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15"/>
      <c r="AS32" s="6"/>
      <c r="AT32" s="6"/>
      <c r="AU32" s="6"/>
      <c r="AV32" s="6"/>
    </row>
    <row r="33" spans="1:48" ht="8.25" customHeight="1">
      <c r="A33" s="13"/>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15"/>
      <c r="AS33" s="6"/>
      <c r="AT33" s="6"/>
      <c r="AU33" s="6"/>
      <c r="AV33" s="6"/>
    </row>
    <row r="34" spans="1:48" ht="18" customHeight="1">
      <c r="A34" s="13"/>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15"/>
      <c r="AS34" s="6"/>
      <c r="AT34" s="6"/>
      <c r="AU34" s="6"/>
      <c r="AV34" s="6"/>
    </row>
    <row r="35" spans="1:48" ht="18" customHeight="1">
      <c r="A35" s="13"/>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15"/>
      <c r="AS35" s="6"/>
      <c r="AT35" s="6"/>
      <c r="AU35" s="6"/>
      <c r="AV35" s="6"/>
    </row>
    <row r="36" spans="1:48" ht="8.25" customHeight="1">
      <c r="A36" s="13"/>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15"/>
      <c r="AS36" s="6"/>
      <c r="AT36" s="6"/>
      <c r="AU36" s="6"/>
      <c r="AV36" s="6"/>
    </row>
    <row r="37" spans="1:48" ht="22.5" customHeight="1">
      <c r="A37" s="13"/>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15"/>
      <c r="AS37" s="6"/>
      <c r="AT37" s="6"/>
      <c r="AU37" s="6"/>
      <c r="AV37" s="6"/>
    </row>
    <row r="38" spans="1:48" ht="4.5" customHeight="1">
      <c r="A38" s="13"/>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15"/>
      <c r="AS38" s="6"/>
      <c r="AT38" s="6"/>
      <c r="AU38" s="6"/>
      <c r="AV38" s="6"/>
    </row>
    <row r="39" spans="1:48" ht="21" customHeight="1">
      <c r="A39" s="13"/>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15"/>
      <c r="AS39" s="6"/>
      <c r="AT39" s="6"/>
      <c r="AU39" s="6"/>
      <c r="AV39" s="6"/>
    </row>
    <row r="40" spans="1:48" ht="21" customHeight="1">
      <c r="A40" s="13"/>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15"/>
      <c r="AS40" s="6"/>
      <c r="AT40" s="6"/>
      <c r="AU40" s="6"/>
      <c r="AV40" s="6"/>
    </row>
    <row r="41" spans="1:48" ht="21" customHeight="1">
      <c r="A41" s="13"/>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15"/>
      <c r="AS41" s="6"/>
      <c r="AT41" s="6"/>
      <c r="AU41" s="6"/>
      <c r="AV41" s="6"/>
    </row>
    <row r="42" spans="1:48" ht="21" customHeight="1">
      <c r="A42" s="13"/>
      <c r="B42" s="6"/>
      <c r="C42" s="6"/>
      <c r="D42" s="6"/>
      <c r="E42" s="6"/>
      <c r="F42" s="6"/>
      <c r="G42" s="6"/>
      <c r="H42" s="6"/>
      <c r="I42" s="6"/>
      <c r="J42" s="6"/>
      <c r="K42" s="6"/>
      <c r="L42" s="6"/>
      <c r="M42" s="6"/>
      <c r="N42" s="6"/>
      <c r="O42" s="6"/>
      <c r="P42" s="6"/>
      <c r="Q42" s="6"/>
      <c r="R42" s="6"/>
      <c r="S42" s="6"/>
      <c r="T42" s="6"/>
      <c r="U42" s="6"/>
      <c r="V42" s="6"/>
      <c r="W42" s="6"/>
      <c r="X42" s="6"/>
      <c r="Y42" s="6"/>
      <c r="Z42" s="6"/>
      <c r="AA42" s="323"/>
      <c r="AB42" s="324"/>
      <c r="AC42" s="6"/>
      <c r="AD42" s="10"/>
      <c r="AE42" s="10"/>
      <c r="AF42" s="322"/>
      <c r="AG42" s="10"/>
      <c r="AH42" s="10"/>
      <c r="AI42" s="322"/>
      <c r="AJ42" s="10"/>
      <c r="AK42" s="10"/>
      <c r="AL42" s="10"/>
      <c r="AM42" s="10"/>
      <c r="AN42" s="10"/>
      <c r="AO42" s="10"/>
      <c r="AP42" s="10"/>
      <c r="AQ42" s="10"/>
      <c r="AR42" s="102"/>
      <c r="AS42" s="6"/>
      <c r="AT42" s="6"/>
      <c r="AU42" s="6"/>
      <c r="AV42" s="6"/>
    </row>
    <row r="43" spans="1:51" ht="21" customHeight="1" thickBot="1">
      <c r="A43" s="13"/>
      <c r="B43" s="6"/>
      <c r="C43" s="6"/>
      <c r="D43" s="6"/>
      <c r="E43" s="6"/>
      <c r="F43" s="6"/>
      <c r="G43" s="6"/>
      <c r="H43" s="6"/>
      <c r="I43" s="6"/>
      <c r="J43" s="6"/>
      <c r="K43" s="6"/>
      <c r="L43" s="6"/>
      <c r="M43" s="6"/>
      <c r="N43" s="6"/>
      <c r="O43" s="6"/>
      <c r="P43" s="325"/>
      <c r="Q43" s="6"/>
      <c r="R43" s="6"/>
      <c r="S43" s="6"/>
      <c r="T43" s="6"/>
      <c r="U43" s="6"/>
      <c r="V43" s="6"/>
      <c r="W43" s="6"/>
      <c r="X43" s="6"/>
      <c r="Y43" s="6"/>
      <c r="Z43" s="6"/>
      <c r="AA43" s="326"/>
      <c r="AB43" s="327"/>
      <c r="AC43" s="326"/>
      <c r="AD43" s="328"/>
      <c r="AE43" s="328"/>
      <c r="AF43" s="329"/>
      <c r="AG43" s="328"/>
      <c r="AH43" s="24"/>
      <c r="AI43" s="6"/>
      <c r="AJ43" s="6"/>
      <c r="AK43" s="6"/>
      <c r="AL43" s="6"/>
      <c r="AM43" s="6"/>
      <c r="AN43" s="6"/>
      <c r="AO43" s="6"/>
      <c r="AP43" s="6"/>
      <c r="AQ43" s="6"/>
      <c r="AR43" s="15"/>
      <c r="AS43" s="6"/>
      <c r="AT43" s="6"/>
      <c r="AU43" s="6"/>
      <c r="AV43" s="6"/>
      <c r="AY43" s="330"/>
    </row>
    <row r="44" spans="1:48" ht="21" customHeight="1">
      <c r="A44" s="13"/>
      <c r="B44" s="6"/>
      <c r="C44" s="6"/>
      <c r="D44" s="6"/>
      <c r="E44" s="6"/>
      <c r="F44" s="6"/>
      <c r="G44" s="6"/>
      <c r="H44" s="6"/>
      <c r="I44" s="6"/>
      <c r="J44" s="6"/>
      <c r="K44" s="6"/>
      <c r="L44" s="6"/>
      <c r="M44" s="6"/>
      <c r="N44" s="6"/>
      <c r="O44" s="6"/>
      <c r="P44" s="6"/>
      <c r="Q44" s="6"/>
      <c r="R44" s="27"/>
      <c r="S44" s="27"/>
      <c r="T44" s="20"/>
      <c r="U44" s="21"/>
      <c r="V44" s="21"/>
      <c r="W44" s="21"/>
      <c r="X44" s="331"/>
      <c r="Y44" s="21"/>
      <c r="Z44" s="331"/>
      <c r="AA44" s="21"/>
      <c r="AB44" s="22"/>
      <c r="AC44" s="332" t="s">
        <v>38</v>
      </c>
      <c r="AD44" s="333"/>
      <c r="AE44" s="23"/>
      <c r="AF44" s="21"/>
      <c r="AG44" s="442">
        <f>+CERTIFICATE!A5</f>
        <v>0</v>
      </c>
      <c r="AH44" s="442"/>
      <c r="AI44" s="442"/>
      <c r="AJ44" s="442"/>
      <c r="AK44" s="442"/>
      <c r="AL44" s="442"/>
      <c r="AM44" s="442"/>
      <c r="AN44" s="442"/>
      <c r="AO44" s="442"/>
      <c r="AP44" s="442"/>
      <c r="AQ44" s="442"/>
      <c r="AR44" s="443"/>
      <c r="AS44" s="6"/>
      <c r="AT44" s="6"/>
      <c r="AU44" s="6"/>
      <c r="AV44" s="6"/>
    </row>
    <row r="45" spans="1:48" ht="21" customHeight="1" thickBot="1">
      <c r="A45" s="13"/>
      <c r="B45" s="6"/>
      <c r="C45" s="6"/>
      <c r="D45" s="6"/>
      <c r="E45" s="6"/>
      <c r="F45" s="6"/>
      <c r="G45" s="6"/>
      <c r="H45" s="6"/>
      <c r="I45" s="6"/>
      <c r="J45" s="6"/>
      <c r="K45" s="6"/>
      <c r="L45" s="6"/>
      <c r="M45" s="6"/>
      <c r="N45" s="6"/>
      <c r="O45" s="6"/>
      <c r="P45" s="6"/>
      <c r="Q45" s="6"/>
      <c r="R45" s="6"/>
      <c r="S45" s="6"/>
      <c r="T45" s="334"/>
      <c r="U45" s="11"/>
      <c r="V45" s="11"/>
      <c r="W45" s="11"/>
      <c r="X45" s="106"/>
      <c r="Y45" s="11"/>
      <c r="Z45" s="106"/>
      <c r="AA45" s="11"/>
      <c r="AB45" s="19"/>
      <c r="AC45" s="18"/>
      <c r="AD45" s="11"/>
      <c r="AE45" s="11"/>
      <c r="AF45" s="11"/>
      <c r="AG45" s="444"/>
      <c r="AH45" s="444"/>
      <c r="AI45" s="444"/>
      <c r="AJ45" s="444"/>
      <c r="AK45" s="444"/>
      <c r="AL45" s="444"/>
      <c r="AM45" s="444"/>
      <c r="AN45" s="444"/>
      <c r="AO45" s="444"/>
      <c r="AP45" s="444"/>
      <c r="AQ45" s="444"/>
      <c r="AR45" s="445"/>
      <c r="AS45" s="6"/>
      <c r="AT45" s="6"/>
      <c r="AU45" s="6"/>
      <c r="AV45" s="6"/>
    </row>
    <row r="46" spans="1:48" ht="21" customHeight="1" thickBot="1">
      <c r="A46" s="13"/>
      <c r="B46" s="6"/>
      <c r="C46" s="6"/>
      <c r="D46" s="6"/>
      <c r="E46" s="6"/>
      <c r="F46" s="6"/>
      <c r="G46" s="6"/>
      <c r="H46" s="6"/>
      <c r="I46" s="6"/>
      <c r="J46" s="6"/>
      <c r="K46" s="6"/>
      <c r="L46" s="6"/>
      <c r="M46" s="6"/>
      <c r="N46" s="6"/>
      <c r="O46" s="6"/>
      <c r="P46" s="6"/>
      <c r="Q46" s="6"/>
      <c r="R46" s="6"/>
      <c r="S46" s="6"/>
      <c r="T46" s="335" t="s">
        <v>39</v>
      </c>
      <c r="U46" s="336"/>
      <c r="V46" s="337"/>
      <c r="W46" s="338" t="s">
        <v>40</v>
      </c>
      <c r="X46" s="339"/>
      <c r="Y46" s="339"/>
      <c r="Z46" s="340"/>
      <c r="AA46" s="340"/>
      <c r="AB46" s="341"/>
      <c r="AC46" s="342" t="s">
        <v>328</v>
      </c>
      <c r="AD46" s="343"/>
      <c r="AE46" s="344"/>
      <c r="AF46" s="389" t="s">
        <v>41</v>
      </c>
      <c r="AG46" s="9"/>
      <c r="AH46" s="8"/>
      <c r="AI46" s="345" t="s">
        <v>42</v>
      </c>
      <c r="AJ46" s="8"/>
      <c r="AK46" s="388" t="s">
        <v>395</v>
      </c>
      <c r="AL46" s="8"/>
      <c r="AM46" s="343"/>
      <c r="AN46" s="346" t="s">
        <v>15</v>
      </c>
      <c r="AO46" s="343"/>
      <c r="AP46" s="9"/>
      <c r="AQ46" s="9"/>
      <c r="AR46" s="347"/>
      <c r="AS46" s="6"/>
      <c r="AT46" s="6"/>
      <c r="AU46" s="6"/>
      <c r="AV46" s="6"/>
    </row>
    <row r="47" spans="1:48" ht="21" customHeight="1">
      <c r="A47" s="13"/>
      <c r="B47" s="6"/>
      <c r="C47" s="6"/>
      <c r="D47" s="6"/>
      <c r="E47" s="6"/>
      <c r="F47" s="348"/>
      <c r="G47" s="6"/>
      <c r="H47" s="6"/>
      <c r="I47" s="6"/>
      <c r="J47" s="6"/>
      <c r="K47" s="6"/>
      <c r="L47" s="6"/>
      <c r="M47" s="6"/>
      <c r="N47" s="6"/>
      <c r="O47" s="6"/>
      <c r="P47" s="6"/>
      <c r="Q47" s="6"/>
      <c r="R47" s="6"/>
      <c r="S47" s="6"/>
      <c r="T47" s="349">
        <v>18</v>
      </c>
      <c r="U47" s="350"/>
      <c r="V47" s="31"/>
      <c r="W47" s="8"/>
      <c r="X47" s="351" t="s">
        <v>394</v>
      </c>
      <c r="Y47" s="352"/>
      <c r="Z47" s="30"/>
      <c r="AA47" s="30"/>
      <c r="AB47" s="107"/>
      <c r="AC47" s="342" t="s">
        <v>326</v>
      </c>
      <c r="AD47" s="343"/>
      <c r="AE47" s="7"/>
      <c r="AF47" s="8"/>
      <c r="AG47" s="8"/>
      <c r="AH47" s="8"/>
      <c r="AI47" s="345" t="s">
        <v>42</v>
      </c>
      <c r="AJ47" s="8"/>
      <c r="AK47" s="8"/>
      <c r="AL47" s="8"/>
      <c r="AM47" s="353"/>
      <c r="AN47" s="5"/>
      <c r="AO47" s="6"/>
      <c r="AP47" s="6"/>
      <c r="AQ47" s="6"/>
      <c r="AR47" s="15"/>
      <c r="AS47" s="6"/>
      <c r="AT47" s="6"/>
      <c r="AU47" s="6"/>
      <c r="AV47" s="6"/>
    </row>
    <row r="48" spans="1:48" ht="21" customHeight="1" thickBot="1">
      <c r="A48" s="13"/>
      <c r="B48" s="6"/>
      <c r="C48" s="6"/>
      <c r="D48" s="6"/>
      <c r="E48" s="6"/>
      <c r="F48" s="6"/>
      <c r="G48" s="6"/>
      <c r="H48" s="6"/>
      <c r="I48" s="6"/>
      <c r="J48" s="6"/>
      <c r="K48" s="6"/>
      <c r="L48" s="6"/>
      <c r="M48" s="6"/>
      <c r="N48" s="6"/>
      <c r="O48" s="6"/>
      <c r="P48" s="6"/>
      <c r="Q48" s="6"/>
      <c r="R48" s="6"/>
      <c r="S48" s="6"/>
      <c r="T48" s="354"/>
      <c r="U48" s="355"/>
      <c r="V48" s="31"/>
      <c r="W48" s="8"/>
      <c r="X48" s="356"/>
      <c r="Y48" s="104" t="s">
        <v>396</v>
      </c>
      <c r="Z48" s="30"/>
      <c r="AA48" s="369" t="s">
        <v>4</v>
      </c>
      <c r="AB48" s="107"/>
      <c r="AC48" s="357" t="s">
        <v>327</v>
      </c>
      <c r="AD48" s="358"/>
      <c r="AE48" s="17"/>
      <c r="AF48" s="11"/>
      <c r="AG48" s="106"/>
      <c r="AH48" s="359"/>
      <c r="AI48" s="345" t="s">
        <v>42</v>
      </c>
      <c r="AJ48" s="11"/>
      <c r="AK48" s="11"/>
      <c r="AL48" s="11"/>
      <c r="AM48" s="359"/>
      <c r="AN48" s="17"/>
      <c r="AO48" s="11"/>
      <c r="AP48" s="11"/>
      <c r="AQ48" s="11"/>
      <c r="AR48" s="19"/>
      <c r="AS48" s="6"/>
      <c r="AT48" s="6"/>
      <c r="AU48" s="6"/>
      <c r="AV48" s="6"/>
    </row>
    <row r="49" spans="1:48" ht="21" customHeight="1">
      <c r="A49" s="13"/>
      <c r="B49" s="6"/>
      <c r="C49" s="6"/>
      <c r="D49" s="6"/>
      <c r="E49" s="6"/>
      <c r="F49" s="6"/>
      <c r="G49" s="6"/>
      <c r="H49" s="6"/>
      <c r="I49" s="6"/>
      <c r="J49" s="6"/>
      <c r="K49" s="6"/>
      <c r="L49" s="6"/>
      <c r="M49" s="6"/>
      <c r="N49" s="6"/>
      <c r="O49" s="6"/>
      <c r="P49" s="6"/>
      <c r="Q49" s="6"/>
      <c r="R49" s="6"/>
      <c r="S49" s="6"/>
      <c r="T49" s="354"/>
      <c r="U49" s="355"/>
      <c r="V49" s="31"/>
      <c r="W49" s="8"/>
      <c r="X49" s="30"/>
      <c r="Y49" s="101" t="s">
        <v>0</v>
      </c>
      <c r="Z49" s="4"/>
      <c r="AA49" s="369" t="s">
        <v>1</v>
      </c>
      <c r="AB49" s="370"/>
      <c r="AC49" s="13"/>
      <c r="AD49" s="328"/>
      <c r="AE49" s="360"/>
      <c r="AF49" s="361"/>
      <c r="AG49" s="362"/>
      <c r="AH49" s="363"/>
      <c r="AI49" s="364"/>
      <c r="AJ49" s="364"/>
      <c r="AK49" s="364"/>
      <c r="AL49" s="364"/>
      <c r="AM49" s="364"/>
      <c r="AN49" s="364"/>
      <c r="AO49" s="364"/>
      <c r="AP49" s="364"/>
      <c r="AQ49" s="364"/>
      <c r="AR49" s="365"/>
      <c r="AS49" s="6"/>
      <c r="AT49" s="6"/>
      <c r="AU49" s="6"/>
      <c r="AV49" s="6"/>
    </row>
    <row r="50" spans="1:48" ht="21" customHeight="1" thickBot="1">
      <c r="A50" s="13"/>
      <c r="B50" s="6"/>
      <c r="C50" s="6"/>
      <c r="D50" s="6"/>
      <c r="E50" s="6"/>
      <c r="F50" s="6"/>
      <c r="G50" s="6"/>
      <c r="H50" s="6"/>
      <c r="I50" s="6"/>
      <c r="J50" s="6"/>
      <c r="K50" s="6"/>
      <c r="L50" s="6"/>
      <c r="M50" s="6"/>
      <c r="N50" s="6"/>
      <c r="O50" s="6"/>
      <c r="P50" s="6"/>
      <c r="Q50" s="6"/>
      <c r="R50" s="6"/>
      <c r="S50" s="6"/>
      <c r="T50" s="371"/>
      <c r="U50" s="28"/>
      <c r="V50" s="14"/>
      <c r="W50" s="6"/>
      <c r="X50" s="4"/>
      <c r="Y50" s="101"/>
      <c r="Z50" s="4"/>
      <c r="AA50" s="372"/>
      <c r="AB50" s="15"/>
      <c r="AC50" s="13"/>
      <c r="AD50" s="6"/>
      <c r="AE50" s="6"/>
      <c r="AF50" s="6"/>
      <c r="AG50" s="108"/>
      <c r="AH50" s="3"/>
      <c r="AI50" s="100"/>
      <c r="AJ50" s="100"/>
      <c r="AK50" s="100"/>
      <c r="AL50" s="100"/>
      <c r="AM50" s="100"/>
      <c r="AN50" s="100"/>
      <c r="AO50" s="100"/>
      <c r="AP50" s="100"/>
      <c r="AQ50" s="100"/>
      <c r="AR50" s="366"/>
      <c r="AS50" s="6"/>
      <c r="AT50" s="6"/>
      <c r="AU50" s="6"/>
      <c r="AV50" s="6"/>
    </row>
    <row r="51" spans="1:48" ht="21" customHeight="1">
      <c r="A51" s="13"/>
      <c r="B51" s="6"/>
      <c r="C51" s="6"/>
      <c r="D51" s="6"/>
      <c r="E51" s="6"/>
      <c r="F51" s="6"/>
      <c r="G51" s="6"/>
      <c r="H51" s="6"/>
      <c r="I51" s="6"/>
      <c r="J51" s="6"/>
      <c r="K51" s="6"/>
      <c r="L51" s="6"/>
      <c r="M51" s="6"/>
      <c r="N51" s="6"/>
      <c r="O51" s="6"/>
      <c r="P51" s="6"/>
      <c r="Q51" s="6"/>
      <c r="R51" s="6"/>
      <c r="S51" s="6"/>
      <c r="T51" s="373" t="s">
        <v>2</v>
      </c>
      <c r="U51" s="374"/>
      <c r="V51" s="375"/>
      <c r="W51" s="376" t="s">
        <v>329</v>
      </c>
      <c r="X51" s="377"/>
      <c r="Y51" s="377">
        <v>14300</v>
      </c>
      <c r="Z51" s="378" t="s">
        <v>242</v>
      </c>
      <c r="AA51" s="21"/>
      <c r="AB51" s="22"/>
      <c r="AC51" s="13"/>
      <c r="AD51" s="6"/>
      <c r="AF51" s="6"/>
      <c r="AG51" s="91"/>
      <c r="AI51" s="6"/>
      <c r="AJ51" s="6"/>
      <c r="AK51" s="6"/>
      <c r="AL51" s="6"/>
      <c r="AM51" s="6"/>
      <c r="AN51" s="6"/>
      <c r="AO51" s="6"/>
      <c r="AP51" s="6"/>
      <c r="AQ51" s="6"/>
      <c r="AR51" s="367"/>
      <c r="AS51" s="6"/>
      <c r="AT51" s="6"/>
      <c r="AU51" s="6"/>
      <c r="AV51" s="6"/>
    </row>
    <row r="52" spans="1:48" ht="21" customHeight="1" thickBot="1">
      <c r="A52" s="18"/>
      <c r="B52" s="11"/>
      <c r="C52" s="11"/>
      <c r="D52" s="11"/>
      <c r="E52" s="11"/>
      <c r="F52" s="11"/>
      <c r="G52" s="11"/>
      <c r="H52" s="11"/>
      <c r="I52" s="11"/>
      <c r="J52" s="11"/>
      <c r="K52" s="11"/>
      <c r="L52" s="11"/>
      <c r="M52" s="11"/>
      <c r="N52" s="11"/>
      <c r="O52" s="11"/>
      <c r="P52" s="11"/>
      <c r="Q52" s="11"/>
      <c r="R52" s="11"/>
      <c r="S52" s="11"/>
      <c r="T52" s="379" t="s">
        <v>3</v>
      </c>
      <c r="U52" s="109"/>
      <c r="V52" s="380"/>
      <c r="W52" s="381" t="s">
        <v>329</v>
      </c>
      <c r="X52" s="382"/>
      <c r="Y52" s="382">
        <v>6600</v>
      </c>
      <c r="Z52" s="109" t="s">
        <v>243</v>
      </c>
      <c r="AA52" s="11"/>
      <c r="AB52" s="19"/>
      <c r="AC52" s="18"/>
      <c r="AD52" s="11"/>
      <c r="AE52" s="368"/>
      <c r="AF52" s="11"/>
      <c r="AG52" s="368"/>
      <c r="AH52" s="368"/>
      <c r="AI52" s="11"/>
      <c r="AJ52" s="11"/>
      <c r="AK52" s="11"/>
      <c r="AL52" s="11"/>
      <c r="AM52" s="11"/>
      <c r="AN52" s="11"/>
      <c r="AO52" s="11"/>
      <c r="AP52" s="11"/>
      <c r="AQ52" s="11"/>
      <c r="AR52" s="19"/>
      <c r="AS52" s="6"/>
      <c r="AT52" s="6"/>
      <c r="AU52" s="6"/>
      <c r="AV52" s="6"/>
    </row>
    <row r="53" spans="20:48" ht="21" customHeight="1">
      <c r="T53" s="6"/>
      <c r="U53" s="6"/>
      <c r="AB53" s="6"/>
      <c r="AC53" s="6"/>
      <c r="AD53" s="6"/>
      <c r="AR53" s="6"/>
      <c r="AS53" s="6"/>
      <c r="AT53" s="6"/>
      <c r="AU53" s="6"/>
      <c r="AV53" s="6"/>
    </row>
    <row r="54" spans="28:48" ht="21" customHeight="1">
      <c r="AB54" s="6"/>
      <c r="AC54" s="6"/>
      <c r="AD54" s="6"/>
      <c r="AR54" s="6"/>
      <c r="AS54" s="6"/>
      <c r="AT54" s="6"/>
      <c r="AU54" s="6"/>
      <c r="AV54" s="6"/>
    </row>
    <row r="55" ht="21" customHeight="1"/>
    <row r="56" ht="21" customHeight="1"/>
    <row r="57" ht="21" customHeight="1"/>
    <row r="58" ht="21" customHeight="1"/>
    <row r="59" ht="21" customHeight="1"/>
    <row r="60" ht="21" customHeight="1"/>
    <row r="61" ht="21" customHeight="1"/>
    <row r="62" ht="21" customHeight="1"/>
    <row r="63" ht="21" customHeight="1"/>
    <row r="64" ht="21" customHeight="1"/>
  </sheetData>
  <mergeCells count="8">
    <mergeCell ref="AG44:AR45"/>
    <mergeCell ref="C3:M3"/>
    <mergeCell ref="AN4:AO4"/>
    <mergeCell ref="AH3:AQ3"/>
    <mergeCell ref="C5:Q5"/>
    <mergeCell ref="AI4:AJ4"/>
    <mergeCell ref="I4:K4"/>
    <mergeCell ref="M4:P4"/>
  </mergeCells>
  <printOptions/>
  <pageMargins left="0.57" right="0.21" top="0.39" bottom="0.11" header="0.22" footer="0.13"/>
  <pageSetup horizontalDpi="180" verticalDpi="18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dc:creator>
  <cp:keywords/>
  <dc:description/>
  <cp:lastModifiedBy>User</cp:lastModifiedBy>
  <cp:lastPrinted>2006-10-27T06:01:02Z</cp:lastPrinted>
  <dcterms:created xsi:type="dcterms:W3CDTF">2000-06-13T22:37:12Z</dcterms:created>
  <dcterms:modified xsi:type="dcterms:W3CDTF">2006-10-27T09:23:53Z</dcterms:modified>
  <cp:category/>
  <cp:version/>
  <cp:contentType/>
  <cp:contentStatus/>
</cp:coreProperties>
</file>