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31" windowWidth="7140" windowHeight="4440" tabRatio="887" activeTab="0"/>
  </bookViews>
  <sheets>
    <sheet name=" Fixed BASE PLATE" sheetId="1" r:id="rId1"/>
  </sheets>
  <definedNames>
    <definedName name="_xlnm.Print_Area" localSheetId="0">' Fixed BASE PLATE'!$A$1:$J$94</definedName>
    <definedName name="_xlnm.Print_Titles" localSheetId="0">' Fixed BASE PLATE'!$1:$4</definedName>
  </definedNames>
  <calcPr fullCalcOnLoad="1"/>
</workbook>
</file>

<file path=xl/sharedStrings.xml><?xml version="1.0" encoding="utf-8"?>
<sst xmlns="http://schemas.openxmlformats.org/spreadsheetml/2006/main" count="224" uniqueCount="107">
  <si>
    <t>N</t>
  </si>
  <si>
    <t>=</t>
  </si>
  <si>
    <t>t</t>
  </si>
  <si>
    <t>mm</t>
  </si>
  <si>
    <t>DESIGN CASE :-</t>
  </si>
  <si>
    <t>1)- APPLIED FORCES :-</t>
  </si>
  <si>
    <t>Q</t>
  </si>
  <si>
    <t>cm</t>
  </si>
  <si>
    <r>
      <t>cm</t>
    </r>
    <r>
      <rPr>
        <vertAlign val="superscript"/>
        <sz val="11"/>
        <rFont val="Times New Roman"/>
        <family val="1"/>
      </rPr>
      <t>2</t>
    </r>
  </si>
  <si>
    <r>
      <t>t/cm</t>
    </r>
    <r>
      <rPr>
        <vertAlign val="superscript"/>
        <sz val="11"/>
        <rFont val="Times New Roman"/>
        <family val="1"/>
      </rPr>
      <t>2</t>
    </r>
  </si>
  <si>
    <t>T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</si>
  <si>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</si>
  <si>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</si>
  <si>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</si>
  <si>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</si>
  <si>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</si>
  <si>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</si>
  <si>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L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</si>
  <si>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2</t>
    </r>
  </si>
  <si>
    <t>2)-DIM. OF STEEL SECTION :-</t>
  </si>
  <si>
    <t>The section is :</t>
  </si>
  <si>
    <t>cm.t</t>
  </si>
  <si>
    <t>(B-1)</t>
  </si>
  <si>
    <t>BASE PLATE ID :-</t>
  </si>
  <si>
    <t>L</t>
  </si>
  <si>
    <t>B</t>
  </si>
  <si>
    <t>3)-DIM. OF BASE PLATE :-</t>
  </si>
  <si>
    <t>7)-THICKNESS OF BASE PLATE :-</t>
  </si>
  <si>
    <r>
      <t>M</t>
    </r>
    <r>
      <rPr>
        <vertAlign val="subscript"/>
        <sz val="11"/>
        <rFont val="Times New Roman"/>
        <family val="1"/>
      </rPr>
      <t>des</t>
    </r>
  </si>
  <si>
    <t>n</t>
  </si>
  <si>
    <t>tp</t>
  </si>
  <si>
    <t>BUS</t>
  </si>
  <si>
    <t>Take strip 1 cm through the base plate</t>
  </si>
  <si>
    <t>to calculate max bending moment in it then</t>
  </si>
  <si>
    <t>calculate base plate thickness.</t>
  </si>
  <si>
    <t>Φ</t>
  </si>
  <si>
    <t>AΦ</t>
  </si>
  <si>
    <t>M</t>
  </si>
  <si>
    <t>m.t</t>
  </si>
  <si>
    <t>d</t>
  </si>
  <si>
    <t>C</t>
  </si>
  <si>
    <t>Fweld</t>
  </si>
  <si>
    <t>Qweld</t>
  </si>
  <si>
    <t>Feq</t>
  </si>
  <si>
    <t>4)-VERTICAL WELD :-</t>
  </si>
  <si>
    <t>5)-HORIZONTAL WELD :-</t>
  </si>
  <si>
    <t>Aw</t>
  </si>
  <si>
    <t>Sw</t>
  </si>
  <si>
    <t>Ix</t>
  </si>
  <si>
    <r>
      <t>cm</t>
    </r>
    <r>
      <rPr>
        <vertAlign val="superscript"/>
        <sz val="11"/>
        <rFont val="Times New Roman"/>
        <family val="1"/>
      </rPr>
      <t>4</t>
    </r>
  </si>
  <si>
    <r>
      <t>Y</t>
    </r>
    <r>
      <rPr>
        <vertAlign val="subscript"/>
        <sz val="11"/>
        <rFont val="Times New Roman"/>
        <family val="1"/>
      </rPr>
      <t>1</t>
    </r>
  </si>
  <si>
    <t>6)-ANCHOR BOLTS :-</t>
  </si>
  <si>
    <t>Fc</t>
  </si>
  <si>
    <r>
      <t>kg/cm</t>
    </r>
    <r>
      <rPr>
        <vertAlign val="superscript"/>
        <sz val="11"/>
        <rFont val="Times New Roman"/>
        <family val="1"/>
      </rPr>
      <t>2</t>
    </r>
  </si>
  <si>
    <t>e</t>
  </si>
  <si>
    <t>f</t>
  </si>
  <si>
    <r>
      <t>M</t>
    </r>
    <r>
      <rPr>
        <vertAlign val="subscript"/>
        <sz val="11"/>
        <rFont val="Times New Roman"/>
        <family val="1"/>
      </rPr>
      <t>1</t>
    </r>
  </si>
  <si>
    <r>
      <t>M</t>
    </r>
    <r>
      <rPr>
        <vertAlign val="subscript"/>
        <sz val="11"/>
        <rFont val="Times New Roman"/>
        <family val="1"/>
      </rPr>
      <t>2</t>
    </r>
  </si>
  <si>
    <t>CONCRETE PEDASTIAL :-</t>
  </si>
  <si>
    <r>
      <t>F</t>
    </r>
    <r>
      <rPr>
        <vertAlign val="subscript"/>
        <sz val="11"/>
        <rFont val="Times New Roman"/>
        <family val="1"/>
      </rPr>
      <t>cu</t>
    </r>
  </si>
  <si>
    <t>ECG</t>
  </si>
  <si>
    <t>Project Name</t>
  </si>
  <si>
    <t>Job Ref.</t>
  </si>
  <si>
    <t>Engineering Consultants Group</t>
  </si>
  <si>
    <t>CHECKING AND PACKING HALL</t>
  </si>
  <si>
    <t>Bldg. 2, Block 10, El Sefarat District</t>
  </si>
  <si>
    <t>Calc. By</t>
  </si>
  <si>
    <t>Date</t>
  </si>
  <si>
    <t>Checked By</t>
  </si>
  <si>
    <t>Rev.</t>
  </si>
  <si>
    <t>P.O.Box No. 1167, Cairo 11511, Egypt.</t>
  </si>
  <si>
    <t>M.Nour</t>
  </si>
  <si>
    <t>Sheet No.</t>
  </si>
  <si>
    <t>I =</t>
  </si>
  <si>
    <t>A =</t>
  </si>
  <si>
    <t>Fc =</t>
  </si>
  <si>
    <t>Ft =</t>
  </si>
  <si>
    <t>C =</t>
  </si>
  <si>
    <t>a1 =</t>
  </si>
  <si>
    <t>No of anchor bolts (one side)</t>
  </si>
  <si>
    <r>
      <t>F</t>
    </r>
    <r>
      <rPr>
        <vertAlign val="subscript"/>
        <sz val="11"/>
        <rFont val="Times New Roman"/>
        <family val="1"/>
      </rPr>
      <t>b</t>
    </r>
  </si>
  <si>
    <r>
      <t>Kg/cm</t>
    </r>
    <r>
      <rPr>
        <vertAlign val="superscript"/>
        <sz val="11"/>
        <rFont val="Times New Roman"/>
        <family val="1"/>
      </rPr>
      <t>2</t>
    </r>
  </si>
  <si>
    <t>Length of Bolts  =</t>
  </si>
  <si>
    <t>If the length of Bolts is too big so use a Bearing Washer Plate</t>
  </si>
  <si>
    <r>
      <t>L</t>
    </r>
    <r>
      <rPr>
        <vertAlign val="subscript"/>
        <sz val="11"/>
        <rFont val="Times New Roman"/>
        <family val="1"/>
      </rPr>
      <t>b</t>
    </r>
  </si>
  <si>
    <r>
      <t>T</t>
    </r>
    <r>
      <rPr>
        <vertAlign val="subscript"/>
        <sz val="11"/>
        <rFont val="Times New Roman"/>
        <family val="1"/>
      </rPr>
      <t>wp</t>
    </r>
  </si>
  <si>
    <t>C = 2.5-3 d</t>
  </si>
  <si>
    <r>
      <t>f</t>
    </r>
    <r>
      <rPr>
        <vertAlign val="subscript"/>
        <sz val="11"/>
        <rFont val="Times New Roman"/>
        <family val="1"/>
      </rPr>
      <t>wp</t>
    </r>
  </si>
  <si>
    <r>
      <t>t</t>
    </r>
    <r>
      <rPr>
        <vertAlign val="subscript"/>
        <sz val="11"/>
        <rFont val="Times New Roman"/>
        <family val="1"/>
      </rPr>
      <t>wp</t>
    </r>
  </si>
  <si>
    <t>t  (Comp.)</t>
  </si>
  <si>
    <t>t   (Tens.)</t>
  </si>
  <si>
    <t>(D.L+L.L)</t>
  </si>
  <si>
    <t>(D+L+W.L)</t>
  </si>
  <si>
    <t>Case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</si>
  <si>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</si>
  <si>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</si>
  <si>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</si>
  <si>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</si>
  <si>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</si>
  <si>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</si>
  <si>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r>
      <t>t</t>
    </r>
    <r>
      <rPr>
        <vertAlign val="subscript"/>
        <sz val="11"/>
        <rFont val="Times New Roman"/>
        <family val="1"/>
      </rPr>
      <t>pedastial</t>
    </r>
  </si>
  <si>
    <r>
      <t>b</t>
    </r>
    <r>
      <rPr>
        <vertAlign val="subscript"/>
        <sz val="11"/>
        <rFont val="Times New Roman"/>
        <family val="1"/>
      </rPr>
      <t>pedastial</t>
    </r>
  </si>
  <si>
    <t>Refrences</t>
  </si>
  <si>
    <t>ECP</t>
  </si>
  <si>
    <t>Eqn.5.3</t>
  </si>
  <si>
    <t>P.84</t>
  </si>
  <si>
    <t>Eqn.5.2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</si>
</sst>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&quot;ل.س.&quot;\ * #,##0.00_-;_-&quot;ل.س.&quot;\ * #,##0.00\-;_-&quot;ل.س.&quot;\ * &quot;-&quot;??_-;_-@_-"/>
    <numFmt numFmtId="184" formatCode="00000"/>
    <numFmt numFmtId="185" formatCode="0.000"/>
    <numFmt numFmtId="186" formatCode="B1mmm\-yy"/>
    <numFmt numFmtId="187" formatCode="mmmm\-yy"/>
    <numFmt numFmtId="188" formatCode="0.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GreekC"/>
      <family val="0"/>
    </font>
    <font>
      <u val="single"/>
      <sz val="11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doub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9">
    <xf numFmtId="185" fontId="0" fillId="0" borderId="0" xfId="0" applyAlignment="1">
      <alignment/>
    </xf>
    <xf numFmtId="185" fontId="7" fillId="0" borderId="0" xfId="0" applyFont="1" applyAlignment="1">
      <alignment/>
    </xf>
    <xf numFmtId="177" fontId="0" fillId="0" borderId="0" xfId="44" applyAlignment="1">
      <alignment/>
    </xf>
    <xf numFmtId="185" fontId="33" fillId="0" borderId="10" xfId="0" applyFont="1" applyFill="1" applyBorder="1" applyAlignment="1" applyProtection="1">
      <alignment horizontal="left"/>
      <protection hidden="1"/>
    </xf>
    <xf numFmtId="185" fontId="0" fillId="0" borderId="11" xfId="0" applyBorder="1" applyAlignment="1" applyProtection="1">
      <alignment/>
      <protection hidden="1"/>
    </xf>
    <xf numFmtId="185" fontId="0" fillId="0" borderId="12" xfId="0" applyBorder="1" applyAlignment="1" applyProtection="1">
      <alignment/>
      <protection locked="0"/>
    </xf>
    <xf numFmtId="185" fontId="34" fillId="0" borderId="13" xfId="0" applyFont="1" applyFill="1" applyBorder="1" applyAlignment="1" applyProtection="1">
      <alignment horizontal="left"/>
      <protection hidden="1"/>
    </xf>
    <xf numFmtId="185" fontId="0" fillId="0" borderId="0" xfId="0" applyBorder="1" applyAlignment="1" applyProtection="1">
      <alignment/>
      <protection hidden="1"/>
    </xf>
    <xf numFmtId="185" fontId="0" fillId="0" borderId="14" xfId="0" applyBorder="1" applyAlignment="1" applyProtection="1">
      <alignment/>
      <protection locked="0"/>
    </xf>
    <xf numFmtId="185" fontId="37" fillId="0" borderId="13" xfId="0" applyFont="1" applyFill="1" applyBorder="1" applyAlignment="1" applyProtection="1">
      <alignment horizontal="left"/>
      <protection hidden="1"/>
    </xf>
    <xf numFmtId="185" fontId="5" fillId="0" borderId="15" xfId="0" applyFont="1" applyBorder="1" applyAlignment="1" applyProtection="1">
      <alignment horizontal="center" vertical="center"/>
      <protection hidden="1"/>
    </xf>
    <xf numFmtId="185" fontId="5" fillId="0" borderId="16" xfId="0" applyFont="1" applyBorder="1" applyAlignment="1" applyProtection="1">
      <alignment horizontal="center" vertical="center"/>
      <protection hidden="1"/>
    </xf>
    <xf numFmtId="185" fontId="36" fillId="0" borderId="16" xfId="0" applyFont="1" applyBorder="1" applyAlignment="1" applyProtection="1">
      <alignment horizontal="center" vertical="center"/>
      <protection hidden="1"/>
    </xf>
    <xf numFmtId="185" fontId="5" fillId="0" borderId="17" xfId="0" applyFont="1" applyBorder="1" applyAlignment="1" applyProtection="1">
      <alignment horizontal="center" vertical="center"/>
      <protection hidden="1"/>
    </xf>
    <xf numFmtId="185" fontId="0" fillId="0" borderId="15" xfId="0" applyFont="1" applyFill="1" applyBorder="1" applyAlignment="1" applyProtection="1">
      <alignment horizontal="center" vertical="center"/>
      <protection hidden="1"/>
    </xf>
    <xf numFmtId="185" fontId="0" fillId="0" borderId="18" xfId="0" applyFont="1" applyFill="1" applyBorder="1" applyAlignment="1" applyProtection="1">
      <alignment horizontal="left" vertical="center"/>
      <protection locked="0"/>
    </xf>
    <xf numFmtId="185" fontId="37" fillId="0" borderId="19" xfId="0" applyFont="1" applyFill="1" applyBorder="1" applyAlignment="1" applyProtection="1">
      <alignment horizontal="left"/>
      <protection hidden="1"/>
    </xf>
    <xf numFmtId="185" fontId="0" fillId="0" borderId="20" xfId="0" applyBorder="1" applyAlignment="1" applyProtection="1">
      <alignment/>
      <protection hidden="1"/>
    </xf>
    <xf numFmtId="185" fontId="7" fillId="0" borderId="21" xfId="0" applyFont="1" applyBorder="1" applyAlignment="1" applyProtection="1">
      <alignment horizontal="center" vertical="center"/>
      <protection locked="0"/>
    </xf>
    <xf numFmtId="185" fontId="0" fillId="0" borderId="22" xfId="0" applyBorder="1" applyAlignment="1" applyProtection="1">
      <alignment/>
      <protection locked="0"/>
    </xf>
    <xf numFmtId="185" fontId="7" fillId="0" borderId="23" xfId="0" applyFont="1" applyBorder="1" applyAlignment="1" applyProtection="1">
      <alignment horizontal="center" vertical="center"/>
      <protection locked="0"/>
    </xf>
    <xf numFmtId="185" fontId="0" fillId="0" borderId="24" xfId="0" applyBorder="1" applyAlignment="1" applyProtection="1">
      <alignment/>
      <protection locked="0"/>
    </xf>
    <xf numFmtId="185" fontId="0" fillId="0" borderId="21" xfId="0" applyFont="1" applyFill="1" applyBorder="1" applyAlignment="1" applyProtection="1">
      <alignment horizontal="center" vertical="center"/>
      <protection hidden="1"/>
    </xf>
    <xf numFmtId="185" fontId="0" fillId="0" borderId="25" xfId="0" applyBorder="1" applyAlignment="1" applyProtection="1">
      <alignment/>
      <protection locked="0"/>
    </xf>
    <xf numFmtId="185" fontId="0" fillId="0" borderId="26" xfId="0" applyBorder="1" applyAlignment="1" applyProtection="1">
      <alignment/>
      <protection locked="0"/>
    </xf>
    <xf numFmtId="185" fontId="7" fillId="0" borderId="0" xfId="0" applyFont="1" applyAlignment="1" applyProtection="1">
      <alignment horizontal="center" vertical="center"/>
      <protection hidden="1"/>
    </xf>
    <xf numFmtId="177" fontId="7" fillId="0" borderId="13" xfId="44" applyFont="1" applyBorder="1" applyAlignment="1" applyProtection="1">
      <alignment horizontal="center" vertical="center"/>
      <protection hidden="1"/>
    </xf>
    <xf numFmtId="185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85" fontId="7" fillId="0" borderId="0" xfId="0" applyFont="1" applyBorder="1" applyAlignment="1" applyProtection="1">
      <alignment horizontal="center" vertical="center"/>
      <protection hidden="1"/>
    </xf>
    <xf numFmtId="177" fontId="7" fillId="0" borderId="13" xfId="44" applyFont="1" applyBorder="1" applyAlignment="1" applyProtection="1">
      <alignment horizontal="left" vertical="center"/>
      <protection hidden="1"/>
    </xf>
    <xf numFmtId="185" fontId="7" fillId="0" borderId="0" xfId="0" applyFont="1" applyBorder="1" applyAlignment="1">
      <alignment/>
    </xf>
    <xf numFmtId="185" fontId="7" fillId="0" borderId="11" xfId="0" applyFont="1" applyBorder="1" applyAlignment="1">
      <alignment/>
    </xf>
    <xf numFmtId="185" fontId="0" fillId="0" borderId="11" xfId="0" applyBorder="1" applyAlignment="1">
      <alignment/>
    </xf>
    <xf numFmtId="185" fontId="0" fillId="0" borderId="0" xfId="0" applyBorder="1" applyAlignment="1">
      <alignment/>
    </xf>
    <xf numFmtId="185" fontId="8" fillId="0" borderId="0" xfId="0" applyFont="1" applyBorder="1" applyAlignment="1" applyProtection="1">
      <alignment vertical="center"/>
      <protection locked="0"/>
    </xf>
    <xf numFmtId="185" fontId="7" fillId="0" borderId="0" xfId="0" applyFont="1" applyBorder="1" applyAlignment="1" applyProtection="1">
      <alignment horizontal="right" vertical="center"/>
      <protection hidden="1"/>
    </xf>
    <xf numFmtId="185" fontId="0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85" fontId="7" fillId="0" borderId="0" xfId="0" applyFont="1" applyBorder="1" applyAlignment="1" applyProtection="1">
      <alignment vertical="center"/>
      <protection hidden="1"/>
    </xf>
    <xf numFmtId="185" fontId="4" fillId="0" borderId="13" xfId="0" applyFont="1" applyBorder="1" applyAlignment="1" applyProtection="1">
      <alignment vertical="center"/>
      <protection hidden="1"/>
    </xf>
    <xf numFmtId="185" fontId="7" fillId="0" borderId="0" xfId="0" applyFont="1" applyAlignment="1" applyProtection="1">
      <alignment vertical="center"/>
      <protection hidden="1"/>
    </xf>
    <xf numFmtId="185" fontId="7" fillId="0" borderId="13" xfId="0" applyFont="1" applyBorder="1" applyAlignment="1" applyProtection="1">
      <alignment vertical="center"/>
      <protection hidden="1"/>
    </xf>
    <xf numFmtId="185" fontId="0" fillId="0" borderId="27" xfId="0" applyBorder="1" applyAlignment="1" applyProtection="1">
      <alignment vertical="center"/>
      <protection hidden="1"/>
    </xf>
    <xf numFmtId="185" fontId="4" fillId="0" borderId="13" xfId="0" applyFont="1" applyBorder="1" applyAlignment="1" applyProtection="1">
      <alignment vertical="center"/>
      <protection hidden="1"/>
    </xf>
    <xf numFmtId="185" fontId="7" fillId="0" borderId="0" xfId="0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185" fontId="4" fillId="0" borderId="13" xfId="0" applyFont="1" applyFill="1" applyBorder="1" applyAlignment="1" applyProtection="1">
      <alignment vertical="center"/>
      <protection hidden="1"/>
    </xf>
    <xf numFmtId="185" fontId="7" fillId="0" borderId="0" xfId="0" applyFont="1" applyFill="1" applyAlignment="1" applyProtection="1">
      <alignment vertical="center"/>
      <protection hidden="1"/>
    </xf>
    <xf numFmtId="185" fontId="7" fillId="0" borderId="13" xfId="0" applyFont="1" applyFill="1" applyBorder="1" applyAlignment="1" applyProtection="1">
      <alignment horizontal="center" vertical="center"/>
      <protection hidden="1"/>
    </xf>
    <xf numFmtId="185" fontId="7" fillId="0" borderId="0" xfId="0" applyFont="1" applyFill="1" applyAlignment="1" applyProtection="1">
      <alignment horizontal="center" vertical="center"/>
      <protection hidden="1"/>
    </xf>
    <xf numFmtId="185" fontId="0" fillId="0" borderId="13" xfId="0" applyBorder="1" applyAlignment="1" applyProtection="1">
      <alignment vertical="center"/>
      <protection hidden="1"/>
    </xf>
    <xf numFmtId="185" fontId="0" fillId="0" borderId="0" xfId="0" applyAlignment="1" applyProtection="1">
      <alignment vertical="center"/>
      <protection hidden="1"/>
    </xf>
    <xf numFmtId="185" fontId="4" fillId="0" borderId="13" xfId="0" applyFont="1" applyBorder="1" applyAlignment="1" applyProtection="1">
      <alignment horizontal="left" vertical="center"/>
      <protection hidden="1"/>
    </xf>
    <xf numFmtId="185" fontId="10" fillId="0" borderId="13" xfId="0" applyFont="1" applyBorder="1" applyAlignment="1" applyProtection="1">
      <alignment horizontal="left" vertical="center"/>
      <protection hidden="1"/>
    </xf>
    <xf numFmtId="185" fontId="7" fillId="0" borderId="13" xfId="0" applyFont="1" applyBorder="1" applyAlignment="1" applyProtection="1">
      <alignment horizontal="center" vertical="center"/>
      <protection hidden="1"/>
    </xf>
    <xf numFmtId="188" fontId="8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89" fontId="0" fillId="0" borderId="0" xfId="0" applyNumberFormat="1" applyAlignment="1" applyProtection="1">
      <alignment horizontal="center" vertical="center"/>
      <protection hidden="1"/>
    </xf>
    <xf numFmtId="185" fontId="12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185" fontId="10" fillId="0" borderId="0" xfId="0" applyFont="1" applyBorder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85" fontId="0" fillId="0" borderId="0" xfId="0" applyAlignment="1" applyProtection="1">
      <alignment horizontal="center" vertical="center"/>
      <protection hidden="1"/>
    </xf>
    <xf numFmtId="185" fontId="12" fillId="0" borderId="0" xfId="0" applyFont="1" applyAlignment="1" applyProtection="1">
      <alignment vertical="center"/>
      <protection hidden="1"/>
    </xf>
    <xf numFmtId="185" fontId="7" fillId="0" borderId="19" xfId="0" applyFont="1" applyBorder="1" applyAlignment="1" applyProtection="1">
      <alignment horizontal="center" vertical="center"/>
      <protection hidden="1"/>
    </xf>
    <xf numFmtId="185" fontId="7" fillId="0" borderId="20" xfId="0" applyFont="1" applyBorder="1" applyAlignment="1" applyProtection="1">
      <alignment horizontal="center" vertical="center"/>
      <protection hidden="1"/>
    </xf>
    <xf numFmtId="185" fontId="7" fillId="0" borderId="20" xfId="0" applyFont="1" applyBorder="1" applyAlignment="1" applyProtection="1">
      <alignment vertical="center"/>
      <protection hidden="1"/>
    </xf>
    <xf numFmtId="185" fontId="0" fillId="0" borderId="28" xfId="0" applyBorder="1" applyAlignment="1" applyProtection="1">
      <alignment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185" fontId="12" fillId="0" borderId="0" xfId="0" applyFont="1" applyAlignment="1" applyProtection="1">
      <alignment horizontal="left" vertical="center"/>
      <protection hidden="1"/>
    </xf>
    <xf numFmtId="185" fontId="7" fillId="0" borderId="0" xfId="0" applyFont="1" applyAlignment="1" applyProtection="1">
      <alignment horizontal="left" vertical="center"/>
      <protection hidden="1"/>
    </xf>
    <xf numFmtId="185" fontId="13" fillId="0" borderId="13" xfId="0" applyFont="1" applyFill="1" applyBorder="1" applyAlignment="1" applyProtection="1">
      <alignment horizontal="center" vertical="center"/>
      <protection hidden="1"/>
    </xf>
    <xf numFmtId="185" fontId="6" fillId="0" borderId="0" xfId="0" applyFont="1" applyAlignment="1" applyProtection="1">
      <alignment horizontal="center" vertical="center"/>
      <protection hidden="1"/>
    </xf>
    <xf numFmtId="185" fontId="13" fillId="5" borderId="29" xfId="0" applyFont="1" applyFill="1" applyBorder="1" applyAlignment="1" applyProtection="1">
      <alignment horizontal="center" vertical="center"/>
      <protection hidden="1"/>
    </xf>
    <xf numFmtId="185" fontId="7" fillId="5" borderId="30" xfId="0" applyFont="1" applyFill="1" applyBorder="1" applyAlignment="1" applyProtection="1">
      <alignment horizontal="center" vertical="center"/>
      <protection hidden="1"/>
    </xf>
    <xf numFmtId="1" fontId="6" fillId="5" borderId="30" xfId="0" applyNumberFormat="1" applyFont="1" applyFill="1" applyBorder="1" applyAlignment="1" applyProtection="1">
      <alignment horizontal="center" vertical="center"/>
      <protection hidden="1"/>
    </xf>
    <xf numFmtId="185" fontId="7" fillId="5" borderId="31" xfId="0" applyFont="1" applyFill="1" applyBorder="1" applyAlignment="1" applyProtection="1">
      <alignment vertical="center"/>
      <protection hidden="1"/>
    </xf>
    <xf numFmtId="185" fontId="7" fillId="0" borderId="0" xfId="0" applyFont="1" applyFill="1" applyBorder="1" applyAlignment="1" applyProtection="1">
      <alignment vertical="center"/>
      <protection hidden="1"/>
    </xf>
    <xf numFmtId="185" fontId="7" fillId="5" borderId="29" xfId="0" applyFont="1" applyFill="1" applyBorder="1" applyAlignment="1" applyProtection="1">
      <alignment horizontal="center" vertical="center"/>
      <protection hidden="1"/>
    </xf>
    <xf numFmtId="1" fontId="5" fillId="5" borderId="30" xfId="0" applyNumberFormat="1" applyFont="1" applyFill="1" applyBorder="1" applyAlignment="1" applyProtection="1">
      <alignment horizontal="center" vertical="center"/>
      <protection hidden="1"/>
    </xf>
    <xf numFmtId="2" fontId="7" fillId="0" borderId="27" xfId="0" applyNumberFormat="1" applyFont="1" applyBorder="1" applyAlignment="1" applyProtection="1">
      <alignment vertical="center"/>
      <protection hidden="1"/>
    </xf>
    <xf numFmtId="185" fontId="7" fillId="0" borderId="27" xfId="0" applyFont="1" applyBorder="1" applyAlignment="1" applyProtection="1">
      <alignment vertical="center"/>
      <protection hidden="1"/>
    </xf>
    <xf numFmtId="185" fontId="10" fillId="0" borderId="13" xfId="0" applyFont="1" applyBorder="1" applyAlignment="1" applyProtection="1">
      <alignment vertical="center"/>
      <protection hidden="1"/>
    </xf>
    <xf numFmtId="188" fontId="7" fillId="0" borderId="0" xfId="0" applyNumberFormat="1" applyFont="1" applyAlignment="1" applyProtection="1">
      <alignment horizontal="center" vertical="center"/>
      <protection hidden="1"/>
    </xf>
    <xf numFmtId="185" fontId="4" fillId="0" borderId="13" xfId="0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85" fontId="7" fillId="0" borderId="13" xfId="0" applyFont="1" applyFill="1" applyBorder="1" applyAlignment="1" applyProtection="1">
      <alignment vertical="center"/>
      <protection hidden="1"/>
    </xf>
    <xf numFmtId="177" fontId="7" fillId="0" borderId="13" xfId="44" applyFont="1" applyFill="1" applyBorder="1" applyAlignment="1" applyProtection="1">
      <alignment horizontal="center" vertical="center"/>
      <protection hidden="1"/>
    </xf>
    <xf numFmtId="185" fontId="7" fillId="0" borderId="0" xfId="0" applyFont="1" applyFill="1" applyBorder="1" applyAlignment="1" applyProtection="1">
      <alignment horizontal="center" vertical="center"/>
      <protection hidden="1"/>
    </xf>
    <xf numFmtId="185" fontId="7" fillId="0" borderId="0" xfId="0" applyFont="1" applyFill="1" applyBorder="1" applyAlignment="1" applyProtection="1">
      <alignment horizontal="left" vertical="center"/>
      <protection hidden="1"/>
    </xf>
    <xf numFmtId="185" fontId="13" fillId="0" borderId="0" xfId="0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85" fontId="7" fillId="0" borderId="19" xfId="0" applyFont="1" applyBorder="1" applyAlignment="1" applyProtection="1">
      <alignment vertical="center"/>
      <protection hidden="1"/>
    </xf>
    <xf numFmtId="185" fontId="8" fillId="0" borderId="0" xfId="0" applyFont="1" applyAlignment="1" applyProtection="1">
      <alignment horizontal="center" vertical="center"/>
      <protection locked="0"/>
    </xf>
    <xf numFmtId="185" fontId="5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185" fontId="14" fillId="0" borderId="0" xfId="0" applyFont="1" applyAlignment="1" applyProtection="1">
      <alignment horizontal="center" vertical="center"/>
      <protection locked="0"/>
    </xf>
    <xf numFmtId="188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85" fontId="38" fillId="0" borderId="32" xfId="0" applyFont="1" applyFill="1" applyBorder="1" applyAlignment="1" applyProtection="1">
      <alignment horizontal="left" vertical="center"/>
      <protection hidden="1"/>
    </xf>
    <xf numFmtId="185" fontId="10" fillId="0" borderId="27" xfId="0" applyFont="1" applyBorder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 applyProtection="1">
      <alignment horizontal="center" vertical="center"/>
      <protection hidden="1"/>
    </xf>
    <xf numFmtId="185" fontId="4" fillId="0" borderId="10" xfId="0" applyFont="1" applyBorder="1" applyAlignment="1" applyProtection="1">
      <alignment horizontal="center"/>
      <protection locked="0"/>
    </xf>
    <xf numFmtId="185" fontId="5" fillId="0" borderId="11" xfId="0" applyFont="1" applyBorder="1" applyAlignment="1" applyProtection="1">
      <alignment horizontal="center"/>
      <protection locked="0"/>
    </xf>
    <xf numFmtId="185" fontId="5" fillId="0" borderId="12" xfId="0" applyFont="1" applyBorder="1" applyAlignment="1" applyProtection="1">
      <alignment horizontal="center"/>
      <protection locked="0"/>
    </xf>
    <xf numFmtId="185" fontId="34" fillId="0" borderId="10" xfId="0" applyFont="1" applyBorder="1" applyAlignment="1" applyProtection="1">
      <alignment horizontal="center" vertical="center"/>
      <protection hidden="1"/>
    </xf>
    <xf numFmtId="185" fontId="34" fillId="0" borderId="12" xfId="0" applyFont="1" applyBorder="1" applyAlignment="1" applyProtection="1">
      <alignment horizontal="center" vertical="center"/>
      <protection hidden="1"/>
    </xf>
    <xf numFmtId="185" fontId="34" fillId="0" borderId="19" xfId="0" applyFont="1" applyBorder="1" applyAlignment="1" applyProtection="1">
      <alignment horizontal="center" vertical="center"/>
      <protection hidden="1"/>
    </xf>
    <xf numFmtId="185" fontId="34" fillId="0" borderId="26" xfId="0" applyFont="1" applyBorder="1" applyAlignment="1" applyProtection="1">
      <alignment horizontal="center" vertical="center"/>
      <protection hidden="1"/>
    </xf>
    <xf numFmtId="0" fontId="35" fillId="0" borderId="19" xfId="57" applyFont="1" applyBorder="1" applyAlignment="1" applyProtection="1">
      <alignment horizontal="center"/>
      <protection locked="0"/>
    </xf>
    <xf numFmtId="0" fontId="36" fillId="0" borderId="20" xfId="57" applyFont="1" applyBorder="1" applyAlignment="1" applyProtection="1">
      <alignment horizontal="center"/>
      <protection locked="0"/>
    </xf>
    <xf numFmtId="0" fontId="36" fillId="0" borderId="26" xfId="57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6</xdr:row>
      <xdr:rowOff>180975</xdr:rowOff>
    </xdr:from>
    <xdr:to>
      <xdr:col>6</xdr:col>
      <xdr:colOff>419100</xdr:colOff>
      <xdr:row>14</xdr:row>
      <xdr:rowOff>9525</xdr:rowOff>
    </xdr:to>
    <xdr:sp>
      <xdr:nvSpPr>
        <xdr:cNvPr id="1" name="Line 6"/>
        <xdr:cNvSpPr>
          <a:spLocks/>
        </xdr:cNvSpPr>
      </xdr:nvSpPr>
      <xdr:spPr>
        <a:xfrm flipV="1">
          <a:off x="4552950" y="1381125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5</xdr:row>
      <xdr:rowOff>47625</xdr:rowOff>
    </xdr:from>
    <xdr:to>
      <xdr:col>6</xdr:col>
      <xdr:colOff>409575</xdr:colOff>
      <xdr:row>11</xdr:row>
      <xdr:rowOff>161925</xdr:rowOff>
    </xdr:to>
    <xdr:sp>
      <xdr:nvSpPr>
        <xdr:cNvPr id="2" name="Line 7"/>
        <xdr:cNvSpPr>
          <a:spLocks/>
        </xdr:cNvSpPr>
      </xdr:nvSpPr>
      <xdr:spPr>
        <a:xfrm flipV="1">
          <a:off x="4543425" y="104775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85725</xdr:rowOff>
    </xdr:from>
    <xdr:to>
      <xdr:col>6</xdr:col>
      <xdr:colOff>352425</xdr:colOff>
      <xdr:row>20</xdr:row>
      <xdr:rowOff>123825</xdr:rowOff>
    </xdr:to>
    <xdr:sp>
      <xdr:nvSpPr>
        <xdr:cNvPr id="3" name="Line 8"/>
        <xdr:cNvSpPr>
          <a:spLocks/>
        </xdr:cNvSpPr>
      </xdr:nvSpPr>
      <xdr:spPr>
        <a:xfrm flipV="1">
          <a:off x="4486275" y="1285875"/>
          <a:ext cx="0" cy="283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114300</xdr:rowOff>
    </xdr:from>
    <xdr:to>
      <xdr:col>4</xdr:col>
      <xdr:colOff>247650</xdr:colOff>
      <xdr:row>20</xdr:row>
      <xdr:rowOff>180975</xdr:rowOff>
    </xdr:to>
    <xdr:sp>
      <xdr:nvSpPr>
        <xdr:cNvPr id="4" name="Line 9"/>
        <xdr:cNvSpPr>
          <a:spLocks/>
        </xdr:cNvSpPr>
      </xdr:nvSpPr>
      <xdr:spPr>
        <a:xfrm flipV="1">
          <a:off x="2952750" y="1314450"/>
          <a:ext cx="0" cy="2867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47625</xdr:rowOff>
    </xdr:from>
    <xdr:to>
      <xdr:col>6</xdr:col>
      <xdr:colOff>457200</xdr:colOff>
      <xdr:row>20</xdr:row>
      <xdr:rowOff>171450</xdr:rowOff>
    </xdr:to>
    <xdr:sp>
      <xdr:nvSpPr>
        <xdr:cNvPr id="5" name="Line 10"/>
        <xdr:cNvSpPr>
          <a:spLocks/>
        </xdr:cNvSpPr>
      </xdr:nvSpPr>
      <xdr:spPr>
        <a:xfrm flipV="1">
          <a:off x="4591050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152400</xdr:rowOff>
    </xdr:from>
    <xdr:to>
      <xdr:col>6</xdr:col>
      <xdr:colOff>352425</xdr:colOff>
      <xdr:row>6</xdr:row>
      <xdr:rowOff>152400</xdr:rowOff>
    </xdr:to>
    <xdr:sp>
      <xdr:nvSpPr>
        <xdr:cNvPr id="6" name="Line 11"/>
        <xdr:cNvSpPr>
          <a:spLocks/>
        </xdr:cNvSpPr>
      </xdr:nvSpPr>
      <xdr:spPr>
        <a:xfrm flipV="1">
          <a:off x="4486275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47625</xdr:rowOff>
    </xdr:from>
    <xdr:to>
      <xdr:col>6</xdr:col>
      <xdr:colOff>47625</xdr:colOff>
      <xdr:row>20</xdr:row>
      <xdr:rowOff>171450</xdr:rowOff>
    </xdr:to>
    <xdr:sp>
      <xdr:nvSpPr>
        <xdr:cNvPr id="7" name="Line 12"/>
        <xdr:cNvSpPr>
          <a:spLocks/>
        </xdr:cNvSpPr>
      </xdr:nvSpPr>
      <xdr:spPr>
        <a:xfrm flipV="1">
          <a:off x="4181475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123825</xdr:rowOff>
    </xdr:from>
    <xdr:to>
      <xdr:col>6</xdr:col>
      <xdr:colOff>504825</xdr:colOff>
      <xdr:row>20</xdr:row>
      <xdr:rowOff>190500</xdr:rowOff>
    </xdr:to>
    <xdr:sp>
      <xdr:nvSpPr>
        <xdr:cNvPr id="8" name="Line 13"/>
        <xdr:cNvSpPr>
          <a:spLocks/>
        </xdr:cNvSpPr>
      </xdr:nvSpPr>
      <xdr:spPr>
        <a:xfrm flipV="1">
          <a:off x="4638675" y="1123950"/>
          <a:ext cx="0" cy="3067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19050</xdr:rowOff>
    </xdr:from>
    <xdr:to>
      <xdr:col>6</xdr:col>
      <xdr:colOff>123825</xdr:colOff>
      <xdr:row>20</xdr:row>
      <xdr:rowOff>19050</xdr:rowOff>
    </xdr:to>
    <xdr:sp>
      <xdr:nvSpPr>
        <xdr:cNvPr id="9" name="Line 14"/>
        <xdr:cNvSpPr>
          <a:spLocks/>
        </xdr:cNvSpPr>
      </xdr:nvSpPr>
      <xdr:spPr>
        <a:xfrm flipV="1">
          <a:off x="4257675" y="819150"/>
          <a:ext cx="0" cy="3200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114300</xdr:rowOff>
    </xdr:from>
    <xdr:to>
      <xdr:col>4</xdr:col>
      <xdr:colOff>285750</xdr:colOff>
      <xdr:row>20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2990850" y="91440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66675</xdr:rowOff>
    </xdr:from>
    <xdr:to>
      <xdr:col>4</xdr:col>
      <xdr:colOff>266700</xdr:colOff>
      <xdr:row>18</xdr:row>
      <xdr:rowOff>200025</xdr:rowOff>
    </xdr:to>
    <xdr:sp>
      <xdr:nvSpPr>
        <xdr:cNvPr id="11" name="Line 16"/>
        <xdr:cNvSpPr>
          <a:spLocks/>
        </xdr:cNvSpPr>
      </xdr:nvSpPr>
      <xdr:spPr>
        <a:xfrm flipV="1">
          <a:off x="2971800" y="1066800"/>
          <a:ext cx="0" cy="2733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47625</xdr:rowOff>
    </xdr:from>
    <xdr:to>
      <xdr:col>4</xdr:col>
      <xdr:colOff>285750</xdr:colOff>
      <xdr:row>17</xdr:row>
      <xdr:rowOff>9525</xdr:rowOff>
    </xdr:to>
    <xdr:sp>
      <xdr:nvSpPr>
        <xdr:cNvPr id="12" name="Line 17"/>
        <xdr:cNvSpPr>
          <a:spLocks/>
        </xdr:cNvSpPr>
      </xdr:nvSpPr>
      <xdr:spPr>
        <a:xfrm flipH="1">
          <a:off x="2990850" y="1847850"/>
          <a:ext cx="0" cy="1562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4381500" y="21240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123825</xdr:rowOff>
    </xdr:from>
    <xdr:to>
      <xdr:col>7</xdr:col>
      <xdr:colOff>0</xdr:colOff>
      <xdr:row>13</xdr:row>
      <xdr:rowOff>123825</xdr:rowOff>
    </xdr:to>
    <xdr:sp>
      <xdr:nvSpPr>
        <xdr:cNvPr id="14" name="Line 36"/>
        <xdr:cNvSpPr>
          <a:spLocks/>
        </xdr:cNvSpPr>
      </xdr:nvSpPr>
      <xdr:spPr>
        <a:xfrm>
          <a:off x="4381500" y="27241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9</xdr:col>
      <xdr:colOff>0</xdr:colOff>
      <xdr:row>6</xdr:row>
      <xdr:rowOff>123825</xdr:rowOff>
    </xdr:to>
    <xdr:sp>
      <xdr:nvSpPr>
        <xdr:cNvPr id="15" name="Line 52"/>
        <xdr:cNvSpPr>
          <a:spLocks/>
        </xdr:cNvSpPr>
      </xdr:nvSpPr>
      <xdr:spPr>
        <a:xfrm>
          <a:off x="5600700" y="1323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57</xdr:row>
      <xdr:rowOff>180975</xdr:rowOff>
    </xdr:from>
    <xdr:to>
      <xdr:col>7</xdr:col>
      <xdr:colOff>419100</xdr:colOff>
      <xdr:row>75</xdr:row>
      <xdr:rowOff>9525</xdr:rowOff>
    </xdr:to>
    <xdr:sp>
      <xdr:nvSpPr>
        <xdr:cNvPr id="16" name="Line 105"/>
        <xdr:cNvSpPr>
          <a:spLocks/>
        </xdr:cNvSpPr>
      </xdr:nvSpPr>
      <xdr:spPr>
        <a:xfrm flipV="1">
          <a:off x="5162550" y="11582400"/>
          <a:ext cx="0" cy="3429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47625</xdr:rowOff>
    </xdr:from>
    <xdr:to>
      <xdr:col>7</xdr:col>
      <xdr:colOff>409575</xdr:colOff>
      <xdr:row>74</xdr:row>
      <xdr:rowOff>161925</xdr:rowOff>
    </xdr:to>
    <xdr:sp>
      <xdr:nvSpPr>
        <xdr:cNvPr id="17" name="Line 106"/>
        <xdr:cNvSpPr>
          <a:spLocks/>
        </xdr:cNvSpPr>
      </xdr:nvSpPr>
      <xdr:spPr>
        <a:xfrm flipV="1">
          <a:off x="5153025" y="11649075"/>
          <a:ext cx="0" cy="3314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69</xdr:row>
      <xdr:rowOff>152400</xdr:rowOff>
    </xdr:from>
    <xdr:to>
      <xdr:col>7</xdr:col>
      <xdr:colOff>352425</xdr:colOff>
      <xdr:row>69</xdr:row>
      <xdr:rowOff>152400</xdr:rowOff>
    </xdr:to>
    <xdr:sp>
      <xdr:nvSpPr>
        <xdr:cNvPr id="18" name="Line 107"/>
        <xdr:cNvSpPr>
          <a:spLocks/>
        </xdr:cNvSpPr>
      </xdr:nvSpPr>
      <xdr:spPr>
        <a:xfrm flipV="1">
          <a:off x="5095875" y="13954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58</xdr:row>
      <xdr:rowOff>66675</xdr:rowOff>
    </xdr:from>
    <xdr:to>
      <xdr:col>5</xdr:col>
      <xdr:colOff>266700</xdr:colOff>
      <xdr:row>77</xdr:row>
      <xdr:rowOff>200025</xdr:rowOff>
    </xdr:to>
    <xdr:sp>
      <xdr:nvSpPr>
        <xdr:cNvPr id="19" name="Line 108"/>
        <xdr:cNvSpPr>
          <a:spLocks/>
        </xdr:cNvSpPr>
      </xdr:nvSpPr>
      <xdr:spPr>
        <a:xfrm flipV="1">
          <a:off x="3686175" y="11668125"/>
          <a:ext cx="0" cy="39338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58</xdr:row>
      <xdr:rowOff>47625</xdr:rowOff>
    </xdr:from>
    <xdr:to>
      <xdr:col>4</xdr:col>
      <xdr:colOff>285750</xdr:colOff>
      <xdr:row>76</xdr:row>
      <xdr:rowOff>9525</xdr:rowOff>
    </xdr:to>
    <xdr:sp>
      <xdr:nvSpPr>
        <xdr:cNvPr id="20" name="Line 109"/>
        <xdr:cNvSpPr>
          <a:spLocks/>
        </xdr:cNvSpPr>
      </xdr:nvSpPr>
      <xdr:spPr>
        <a:xfrm flipH="1">
          <a:off x="2990850" y="11649075"/>
          <a:ext cx="0" cy="356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71</xdr:row>
      <xdr:rowOff>123825</xdr:rowOff>
    </xdr:from>
    <xdr:to>
      <xdr:col>7</xdr:col>
      <xdr:colOff>0</xdr:colOff>
      <xdr:row>71</xdr:row>
      <xdr:rowOff>123825</xdr:rowOff>
    </xdr:to>
    <xdr:sp>
      <xdr:nvSpPr>
        <xdr:cNvPr id="21" name="Line 111"/>
        <xdr:cNvSpPr>
          <a:spLocks/>
        </xdr:cNvSpPr>
      </xdr:nvSpPr>
      <xdr:spPr>
        <a:xfrm>
          <a:off x="4381500" y="1432560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74</xdr:row>
      <xdr:rowOff>123825</xdr:rowOff>
    </xdr:from>
    <xdr:to>
      <xdr:col>7</xdr:col>
      <xdr:colOff>0</xdr:colOff>
      <xdr:row>74</xdr:row>
      <xdr:rowOff>123825</xdr:rowOff>
    </xdr:to>
    <xdr:sp>
      <xdr:nvSpPr>
        <xdr:cNvPr id="22" name="Line 127"/>
        <xdr:cNvSpPr>
          <a:spLocks/>
        </xdr:cNvSpPr>
      </xdr:nvSpPr>
      <xdr:spPr>
        <a:xfrm>
          <a:off x="4381500" y="149256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69</xdr:row>
      <xdr:rowOff>123825</xdr:rowOff>
    </xdr:from>
    <xdr:to>
      <xdr:col>10</xdr:col>
      <xdr:colOff>0</xdr:colOff>
      <xdr:row>69</xdr:row>
      <xdr:rowOff>123825</xdr:rowOff>
    </xdr:to>
    <xdr:sp>
      <xdr:nvSpPr>
        <xdr:cNvPr id="23" name="Line 142"/>
        <xdr:cNvSpPr>
          <a:spLocks/>
        </xdr:cNvSpPr>
      </xdr:nvSpPr>
      <xdr:spPr>
        <a:xfrm>
          <a:off x="6315075" y="139255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70</xdr:row>
      <xdr:rowOff>104775</xdr:rowOff>
    </xdr:from>
    <xdr:to>
      <xdr:col>5</xdr:col>
      <xdr:colOff>238125</xdr:colOff>
      <xdr:row>70</xdr:row>
      <xdr:rowOff>133350</xdr:rowOff>
    </xdr:to>
    <xdr:sp>
      <xdr:nvSpPr>
        <xdr:cNvPr id="24" name="Line 157"/>
        <xdr:cNvSpPr>
          <a:spLocks/>
        </xdr:cNvSpPr>
      </xdr:nvSpPr>
      <xdr:spPr>
        <a:xfrm flipV="1">
          <a:off x="3657600" y="14106525"/>
          <a:ext cx="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72</xdr:row>
      <xdr:rowOff>180975</xdr:rowOff>
    </xdr:from>
    <xdr:to>
      <xdr:col>8</xdr:col>
      <xdr:colOff>28575</xdr:colOff>
      <xdr:row>72</xdr:row>
      <xdr:rowOff>180975</xdr:rowOff>
    </xdr:to>
    <xdr:sp>
      <xdr:nvSpPr>
        <xdr:cNvPr id="25" name="Line 182"/>
        <xdr:cNvSpPr>
          <a:spLocks/>
        </xdr:cNvSpPr>
      </xdr:nvSpPr>
      <xdr:spPr>
        <a:xfrm flipH="1">
          <a:off x="5381625" y="1458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6</xdr:col>
      <xdr:colOff>419100</xdr:colOff>
      <xdr:row>14</xdr:row>
      <xdr:rowOff>9525</xdr:rowOff>
    </xdr:to>
    <xdr:sp>
      <xdr:nvSpPr>
        <xdr:cNvPr id="26" name="Line 195"/>
        <xdr:cNvSpPr>
          <a:spLocks/>
        </xdr:cNvSpPr>
      </xdr:nvSpPr>
      <xdr:spPr>
        <a:xfrm flipV="1">
          <a:off x="4552950" y="1381125"/>
          <a:ext cx="0" cy="1428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5</xdr:row>
      <xdr:rowOff>47625</xdr:rowOff>
    </xdr:from>
    <xdr:to>
      <xdr:col>6</xdr:col>
      <xdr:colOff>409575</xdr:colOff>
      <xdr:row>11</xdr:row>
      <xdr:rowOff>161925</xdr:rowOff>
    </xdr:to>
    <xdr:sp>
      <xdr:nvSpPr>
        <xdr:cNvPr id="27" name="Line 196"/>
        <xdr:cNvSpPr>
          <a:spLocks/>
        </xdr:cNvSpPr>
      </xdr:nvSpPr>
      <xdr:spPr>
        <a:xfrm flipV="1">
          <a:off x="4543425" y="104775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85725</xdr:rowOff>
    </xdr:from>
    <xdr:to>
      <xdr:col>6</xdr:col>
      <xdr:colOff>352425</xdr:colOff>
      <xdr:row>20</xdr:row>
      <xdr:rowOff>123825</xdr:rowOff>
    </xdr:to>
    <xdr:sp>
      <xdr:nvSpPr>
        <xdr:cNvPr id="28" name="Line 197"/>
        <xdr:cNvSpPr>
          <a:spLocks/>
        </xdr:cNvSpPr>
      </xdr:nvSpPr>
      <xdr:spPr>
        <a:xfrm flipV="1">
          <a:off x="4486275" y="1285875"/>
          <a:ext cx="0" cy="283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114300</xdr:rowOff>
    </xdr:from>
    <xdr:to>
      <xdr:col>4</xdr:col>
      <xdr:colOff>247650</xdr:colOff>
      <xdr:row>20</xdr:row>
      <xdr:rowOff>180975</xdr:rowOff>
    </xdr:to>
    <xdr:sp>
      <xdr:nvSpPr>
        <xdr:cNvPr id="29" name="Line 198"/>
        <xdr:cNvSpPr>
          <a:spLocks/>
        </xdr:cNvSpPr>
      </xdr:nvSpPr>
      <xdr:spPr>
        <a:xfrm flipV="1">
          <a:off x="2952750" y="1314450"/>
          <a:ext cx="0" cy="2867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47625</xdr:rowOff>
    </xdr:from>
    <xdr:to>
      <xdr:col>6</xdr:col>
      <xdr:colOff>457200</xdr:colOff>
      <xdr:row>20</xdr:row>
      <xdr:rowOff>171450</xdr:rowOff>
    </xdr:to>
    <xdr:sp>
      <xdr:nvSpPr>
        <xdr:cNvPr id="30" name="Line 199"/>
        <xdr:cNvSpPr>
          <a:spLocks/>
        </xdr:cNvSpPr>
      </xdr:nvSpPr>
      <xdr:spPr>
        <a:xfrm flipV="1">
          <a:off x="4591050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</xdr:row>
      <xdr:rowOff>152400</xdr:rowOff>
    </xdr:from>
    <xdr:to>
      <xdr:col>6</xdr:col>
      <xdr:colOff>352425</xdr:colOff>
      <xdr:row>6</xdr:row>
      <xdr:rowOff>152400</xdr:rowOff>
    </xdr:to>
    <xdr:sp>
      <xdr:nvSpPr>
        <xdr:cNvPr id="31" name="Line 200"/>
        <xdr:cNvSpPr>
          <a:spLocks/>
        </xdr:cNvSpPr>
      </xdr:nvSpPr>
      <xdr:spPr>
        <a:xfrm flipV="1">
          <a:off x="4486275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47625</xdr:rowOff>
    </xdr:from>
    <xdr:to>
      <xdr:col>6</xdr:col>
      <xdr:colOff>47625</xdr:colOff>
      <xdr:row>20</xdr:row>
      <xdr:rowOff>171450</xdr:rowOff>
    </xdr:to>
    <xdr:sp>
      <xdr:nvSpPr>
        <xdr:cNvPr id="32" name="Line 201"/>
        <xdr:cNvSpPr>
          <a:spLocks/>
        </xdr:cNvSpPr>
      </xdr:nvSpPr>
      <xdr:spPr>
        <a:xfrm flipV="1">
          <a:off x="4181475" y="1047750"/>
          <a:ext cx="0" cy="3124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123825</xdr:rowOff>
    </xdr:from>
    <xdr:to>
      <xdr:col>6</xdr:col>
      <xdr:colOff>504825</xdr:colOff>
      <xdr:row>20</xdr:row>
      <xdr:rowOff>190500</xdr:rowOff>
    </xdr:to>
    <xdr:sp>
      <xdr:nvSpPr>
        <xdr:cNvPr id="33" name="Line 202"/>
        <xdr:cNvSpPr>
          <a:spLocks/>
        </xdr:cNvSpPr>
      </xdr:nvSpPr>
      <xdr:spPr>
        <a:xfrm flipV="1">
          <a:off x="4638675" y="1123950"/>
          <a:ext cx="0" cy="3067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66675</xdr:rowOff>
    </xdr:from>
    <xdr:to>
      <xdr:col>4</xdr:col>
      <xdr:colOff>266700</xdr:colOff>
      <xdr:row>18</xdr:row>
      <xdr:rowOff>200025</xdr:rowOff>
    </xdr:to>
    <xdr:sp>
      <xdr:nvSpPr>
        <xdr:cNvPr id="34" name="Line 203"/>
        <xdr:cNvSpPr>
          <a:spLocks/>
        </xdr:cNvSpPr>
      </xdr:nvSpPr>
      <xdr:spPr>
        <a:xfrm flipV="1">
          <a:off x="2971800" y="1066800"/>
          <a:ext cx="0" cy="2733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47625</xdr:rowOff>
    </xdr:from>
    <xdr:to>
      <xdr:col>4</xdr:col>
      <xdr:colOff>285750</xdr:colOff>
      <xdr:row>17</xdr:row>
      <xdr:rowOff>9525</xdr:rowOff>
    </xdr:to>
    <xdr:sp>
      <xdr:nvSpPr>
        <xdr:cNvPr id="35" name="Line 204"/>
        <xdr:cNvSpPr>
          <a:spLocks/>
        </xdr:cNvSpPr>
      </xdr:nvSpPr>
      <xdr:spPr>
        <a:xfrm flipH="1">
          <a:off x="2990850" y="1847850"/>
          <a:ext cx="0" cy="1562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36" name="Line 206"/>
        <xdr:cNvSpPr>
          <a:spLocks/>
        </xdr:cNvSpPr>
      </xdr:nvSpPr>
      <xdr:spPr>
        <a:xfrm>
          <a:off x="4381500" y="21240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123825</xdr:rowOff>
    </xdr:from>
    <xdr:to>
      <xdr:col>7</xdr:col>
      <xdr:colOff>0</xdr:colOff>
      <xdr:row>13</xdr:row>
      <xdr:rowOff>123825</xdr:rowOff>
    </xdr:to>
    <xdr:sp>
      <xdr:nvSpPr>
        <xdr:cNvPr id="37" name="Line 222"/>
        <xdr:cNvSpPr>
          <a:spLocks/>
        </xdr:cNvSpPr>
      </xdr:nvSpPr>
      <xdr:spPr>
        <a:xfrm>
          <a:off x="4381500" y="27241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9</xdr:col>
      <xdr:colOff>0</xdr:colOff>
      <xdr:row>6</xdr:row>
      <xdr:rowOff>123825</xdr:rowOff>
    </xdr:to>
    <xdr:sp>
      <xdr:nvSpPr>
        <xdr:cNvPr id="38" name="Line 237"/>
        <xdr:cNvSpPr>
          <a:spLocks/>
        </xdr:cNvSpPr>
      </xdr:nvSpPr>
      <xdr:spPr>
        <a:xfrm>
          <a:off x="5600700" y="1323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58</xdr:row>
      <xdr:rowOff>180975</xdr:rowOff>
    </xdr:from>
    <xdr:to>
      <xdr:col>7</xdr:col>
      <xdr:colOff>419100</xdr:colOff>
      <xdr:row>76</xdr:row>
      <xdr:rowOff>9525</xdr:rowOff>
    </xdr:to>
    <xdr:sp>
      <xdr:nvSpPr>
        <xdr:cNvPr id="39" name="Line 274"/>
        <xdr:cNvSpPr>
          <a:spLocks/>
        </xdr:cNvSpPr>
      </xdr:nvSpPr>
      <xdr:spPr>
        <a:xfrm flipV="1">
          <a:off x="5162550" y="11782425"/>
          <a:ext cx="0" cy="3429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47625</xdr:rowOff>
    </xdr:from>
    <xdr:to>
      <xdr:col>7</xdr:col>
      <xdr:colOff>409575</xdr:colOff>
      <xdr:row>75</xdr:row>
      <xdr:rowOff>161925</xdr:rowOff>
    </xdr:to>
    <xdr:sp>
      <xdr:nvSpPr>
        <xdr:cNvPr id="40" name="Line 275"/>
        <xdr:cNvSpPr>
          <a:spLocks/>
        </xdr:cNvSpPr>
      </xdr:nvSpPr>
      <xdr:spPr>
        <a:xfrm flipV="1">
          <a:off x="5153025" y="13849350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70</xdr:row>
      <xdr:rowOff>152400</xdr:rowOff>
    </xdr:from>
    <xdr:to>
      <xdr:col>7</xdr:col>
      <xdr:colOff>352425</xdr:colOff>
      <xdr:row>70</xdr:row>
      <xdr:rowOff>152400</xdr:rowOff>
    </xdr:to>
    <xdr:sp>
      <xdr:nvSpPr>
        <xdr:cNvPr id="41" name="Line 276"/>
        <xdr:cNvSpPr>
          <a:spLocks/>
        </xdr:cNvSpPr>
      </xdr:nvSpPr>
      <xdr:spPr>
        <a:xfrm flipV="1">
          <a:off x="5095875" y="14154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69</xdr:row>
      <xdr:rowOff>66675</xdr:rowOff>
    </xdr:from>
    <xdr:to>
      <xdr:col>5</xdr:col>
      <xdr:colOff>266700</xdr:colOff>
      <xdr:row>78</xdr:row>
      <xdr:rowOff>200025</xdr:rowOff>
    </xdr:to>
    <xdr:sp>
      <xdr:nvSpPr>
        <xdr:cNvPr id="42" name="Line 277"/>
        <xdr:cNvSpPr>
          <a:spLocks/>
        </xdr:cNvSpPr>
      </xdr:nvSpPr>
      <xdr:spPr>
        <a:xfrm flipV="1">
          <a:off x="3686175" y="13868400"/>
          <a:ext cx="0" cy="1933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69</xdr:row>
      <xdr:rowOff>47625</xdr:rowOff>
    </xdr:from>
    <xdr:to>
      <xdr:col>4</xdr:col>
      <xdr:colOff>285750</xdr:colOff>
      <xdr:row>77</xdr:row>
      <xdr:rowOff>0</xdr:rowOff>
    </xdr:to>
    <xdr:sp>
      <xdr:nvSpPr>
        <xdr:cNvPr id="43" name="Line 278"/>
        <xdr:cNvSpPr>
          <a:spLocks/>
        </xdr:cNvSpPr>
      </xdr:nvSpPr>
      <xdr:spPr>
        <a:xfrm flipH="1">
          <a:off x="2990850" y="13849350"/>
          <a:ext cx="0" cy="1552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72</xdr:row>
      <xdr:rowOff>123825</xdr:rowOff>
    </xdr:from>
    <xdr:to>
      <xdr:col>7</xdr:col>
      <xdr:colOff>0</xdr:colOff>
      <xdr:row>72</xdr:row>
      <xdr:rowOff>123825</xdr:rowOff>
    </xdr:to>
    <xdr:sp>
      <xdr:nvSpPr>
        <xdr:cNvPr id="44" name="Line 279"/>
        <xdr:cNvSpPr>
          <a:spLocks/>
        </xdr:cNvSpPr>
      </xdr:nvSpPr>
      <xdr:spPr>
        <a:xfrm>
          <a:off x="4381500" y="1452562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75</xdr:row>
      <xdr:rowOff>123825</xdr:rowOff>
    </xdr:from>
    <xdr:to>
      <xdr:col>7</xdr:col>
      <xdr:colOff>0</xdr:colOff>
      <xdr:row>75</xdr:row>
      <xdr:rowOff>123825</xdr:rowOff>
    </xdr:to>
    <xdr:sp>
      <xdr:nvSpPr>
        <xdr:cNvPr id="45" name="Line 280"/>
        <xdr:cNvSpPr>
          <a:spLocks/>
        </xdr:cNvSpPr>
      </xdr:nvSpPr>
      <xdr:spPr>
        <a:xfrm>
          <a:off x="4381500" y="1512570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69</xdr:row>
      <xdr:rowOff>123825</xdr:rowOff>
    </xdr:from>
    <xdr:to>
      <xdr:col>10</xdr:col>
      <xdr:colOff>0</xdr:colOff>
      <xdr:row>69</xdr:row>
      <xdr:rowOff>123825</xdr:rowOff>
    </xdr:to>
    <xdr:sp>
      <xdr:nvSpPr>
        <xdr:cNvPr id="46" name="Line 281"/>
        <xdr:cNvSpPr>
          <a:spLocks/>
        </xdr:cNvSpPr>
      </xdr:nvSpPr>
      <xdr:spPr>
        <a:xfrm>
          <a:off x="6315075" y="1392555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71</xdr:row>
      <xdr:rowOff>104775</xdr:rowOff>
    </xdr:from>
    <xdr:to>
      <xdr:col>5</xdr:col>
      <xdr:colOff>238125</xdr:colOff>
      <xdr:row>71</xdr:row>
      <xdr:rowOff>133350</xdr:rowOff>
    </xdr:to>
    <xdr:sp>
      <xdr:nvSpPr>
        <xdr:cNvPr id="47" name="Line 291"/>
        <xdr:cNvSpPr>
          <a:spLocks/>
        </xdr:cNvSpPr>
      </xdr:nvSpPr>
      <xdr:spPr>
        <a:xfrm flipV="1">
          <a:off x="3657600" y="14306550"/>
          <a:ext cx="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73</xdr:row>
      <xdr:rowOff>180975</xdr:rowOff>
    </xdr:from>
    <xdr:to>
      <xdr:col>8</xdr:col>
      <xdr:colOff>28575</xdr:colOff>
      <xdr:row>73</xdr:row>
      <xdr:rowOff>180975</xdr:rowOff>
    </xdr:to>
    <xdr:sp>
      <xdr:nvSpPr>
        <xdr:cNvPr id="48" name="Line 316"/>
        <xdr:cNvSpPr>
          <a:spLocks/>
        </xdr:cNvSpPr>
      </xdr:nvSpPr>
      <xdr:spPr>
        <a:xfrm flipH="1">
          <a:off x="5381625" y="147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6"/>
  <sheetViews>
    <sheetView showGridLines="0" tabSelected="1" view="pageBreakPreview" zoomScaleSheetLayoutView="100" workbookViewId="0" topLeftCell="A1">
      <selection activeCell="F87" sqref="F87"/>
    </sheetView>
  </sheetViews>
  <sheetFormatPr defaultColWidth="9.140625" defaultRowHeight="12.75"/>
  <cols>
    <col min="2" max="2" width="9.57421875" style="0" customWidth="1"/>
    <col min="3" max="3" width="12.7109375" style="0" customWidth="1"/>
    <col min="5" max="6" width="10.7109375" style="0" customWidth="1"/>
    <col min="9" max="9" width="10.7109375" style="0" customWidth="1"/>
    <col min="12" max="12" width="9.57421875" style="0" bestFit="1" customWidth="1"/>
    <col min="14" max="14" width="12.57421875" style="0" bestFit="1" customWidth="1"/>
  </cols>
  <sheetData>
    <row r="1" spans="1:14" ht="15.75" customHeight="1">
      <c r="A1" s="3" t="s">
        <v>60</v>
      </c>
      <c r="B1" s="4"/>
      <c r="C1" s="4"/>
      <c r="D1" s="109" t="s">
        <v>61</v>
      </c>
      <c r="E1" s="110"/>
      <c r="F1" s="110"/>
      <c r="G1" s="111"/>
      <c r="H1" s="112" t="s">
        <v>62</v>
      </c>
      <c r="I1" s="113"/>
      <c r="J1" s="5"/>
      <c r="M1" t="s">
        <v>91</v>
      </c>
      <c r="N1">
        <f>(3.14*D59*C60*C63)/10000</f>
        <v>2.696796350938924</v>
      </c>
    </row>
    <row r="2" spans="1:14" ht="15.75" customHeight="1" thickBot="1">
      <c r="A2" s="6" t="s">
        <v>63</v>
      </c>
      <c r="B2" s="7"/>
      <c r="C2" s="7"/>
      <c r="D2" s="116" t="s">
        <v>64</v>
      </c>
      <c r="E2" s="117"/>
      <c r="F2" s="117"/>
      <c r="G2" s="118"/>
      <c r="H2" s="114"/>
      <c r="I2" s="115"/>
      <c r="J2" s="8"/>
      <c r="M2" t="s">
        <v>92</v>
      </c>
      <c r="N2">
        <f>(C66*C65*(C65/2)^2)/2</f>
        <v>0.40843721955442747</v>
      </c>
    </row>
    <row r="3" spans="1:10" ht="15.75" customHeight="1">
      <c r="A3" s="9" t="s">
        <v>65</v>
      </c>
      <c r="B3" s="7"/>
      <c r="C3" s="7"/>
      <c r="D3" s="10" t="s">
        <v>66</v>
      </c>
      <c r="E3" s="11" t="s">
        <v>67</v>
      </c>
      <c r="F3" s="12" t="s">
        <v>68</v>
      </c>
      <c r="G3" s="13" t="s">
        <v>67</v>
      </c>
      <c r="H3" s="14" t="s">
        <v>69</v>
      </c>
      <c r="I3" s="15"/>
      <c r="J3" s="8"/>
    </row>
    <row r="4" spans="1:15" ht="15.75" customHeight="1" thickBot="1">
      <c r="A4" s="16" t="s">
        <v>70</v>
      </c>
      <c r="B4" s="17"/>
      <c r="C4" s="17"/>
      <c r="D4" s="18" t="s">
        <v>71</v>
      </c>
      <c r="E4" s="19"/>
      <c r="F4" s="20"/>
      <c r="G4" s="21"/>
      <c r="H4" s="22" t="s">
        <v>72</v>
      </c>
      <c r="I4" s="23"/>
      <c r="J4" s="24"/>
      <c r="M4" t="s">
        <v>94</v>
      </c>
      <c r="N4">
        <v>2.4</v>
      </c>
      <c r="O4">
        <v>3.6</v>
      </c>
    </row>
    <row r="5" spans="1:15" ht="15.75" customHeight="1">
      <c r="A5" s="42" t="s">
        <v>23</v>
      </c>
      <c r="B5" s="43"/>
      <c r="C5" s="98" t="s">
        <v>22</v>
      </c>
      <c r="D5" s="43"/>
      <c r="E5" s="43"/>
      <c r="F5" s="43"/>
      <c r="G5" s="43"/>
      <c r="H5" s="43"/>
      <c r="I5" s="43"/>
      <c r="J5" s="105" t="s">
        <v>102</v>
      </c>
      <c r="M5" t="s">
        <v>95</v>
      </c>
      <c r="N5">
        <v>2.8</v>
      </c>
      <c r="O5">
        <v>4.4</v>
      </c>
    </row>
    <row r="6" spans="1:15" ht="15.75" customHeight="1">
      <c r="A6" s="44"/>
      <c r="B6" s="43"/>
      <c r="C6" s="43"/>
      <c r="D6" s="43"/>
      <c r="E6" s="43"/>
      <c r="F6" s="43"/>
      <c r="G6" s="43"/>
      <c r="H6" s="43"/>
      <c r="I6" s="43"/>
      <c r="J6" s="106" t="s">
        <v>103</v>
      </c>
      <c r="M6" t="s">
        <v>96</v>
      </c>
      <c r="N6">
        <v>3.6</v>
      </c>
      <c r="O6">
        <v>5.2</v>
      </c>
    </row>
    <row r="7" spans="1:10" ht="15.75" customHeight="1">
      <c r="A7" s="46" t="s">
        <v>4</v>
      </c>
      <c r="B7" s="43"/>
      <c r="C7" s="97" t="s">
        <v>91</v>
      </c>
      <c r="D7" s="47" t="s">
        <v>93</v>
      </c>
      <c r="E7" s="43" t="str">
        <f>IF(C7="(D.L+L.L)","a","b")</f>
        <v>a</v>
      </c>
      <c r="F7" s="31" t="s">
        <v>97</v>
      </c>
      <c r="G7" s="37" t="s">
        <v>94</v>
      </c>
      <c r="H7" s="43"/>
      <c r="I7" s="48"/>
      <c r="J7" s="45"/>
    </row>
    <row r="8" spans="1:13" ht="15.75" customHeight="1">
      <c r="A8" s="44"/>
      <c r="B8" s="43"/>
      <c r="C8" s="43"/>
      <c r="D8" s="43"/>
      <c r="E8" s="43"/>
      <c r="F8" s="38" t="s">
        <v>98</v>
      </c>
      <c r="G8" s="39" t="s">
        <v>1</v>
      </c>
      <c r="H8" s="40">
        <f>VLOOKUP(G7,M4:O6,2,FALSE)</f>
        <v>2.4</v>
      </c>
      <c r="I8" s="41" t="s">
        <v>9</v>
      </c>
      <c r="J8" s="45"/>
      <c r="M8" s="107">
        <v>12</v>
      </c>
    </row>
    <row r="9" spans="1:13" ht="15.75" customHeight="1">
      <c r="A9" s="49" t="s">
        <v>5</v>
      </c>
      <c r="B9" s="50"/>
      <c r="C9" s="50"/>
      <c r="D9" s="50"/>
      <c r="E9" s="43"/>
      <c r="F9" s="38" t="s">
        <v>99</v>
      </c>
      <c r="G9" s="39" t="s">
        <v>1</v>
      </c>
      <c r="H9" s="40">
        <f>VLOOKUP(G7,M4:O6,3,FALSE)</f>
        <v>3.6</v>
      </c>
      <c r="I9" s="41" t="s">
        <v>9</v>
      </c>
      <c r="J9" s="45"/>
      <c r="M9" s="107">
        <v>16</v>
      </c>
    </row>
    <row r="10" spans="1:13" ht="15.75" customHeight="1">
      <c r="A10" s="51" t="s">
        <v>37</v>
      </c>
      <c r="B10" s="52" t="s">
        <v>1</v>
      </c>
      <c r="C10" s="99">
        <v>22</v>
      </c>
      <c r="D10" s="50" t="s">
        <v>38</v>
      </c>
      <c r="E10" s="43"/>
      <c r="F10" s="43"/>
      <c r="G10" s="43"/>
      <c r="H10" s="43"/>
      <c r="I10" s="43"/>
      <c r="J10" s="45"/>
      <c r="M10" s="107">
        <v>18</v>
      </c>
    </row>
    <row r="11" spans="1:13" ht="15.75" customHeight="1">
      <c r="A11" s="51" t="s">
        <v>0</v>
      </c>
      <c r="B11" s="52" t="s">
        <v>1</v>
      </c>
      <c r="C11" s="99">
        <v>12</v>
      </c>
      <c r="D11" s="50" t="s">
        <v>2</v>
      </c>
      <c r="E11" s="43"/>
      <c r="F11" s="43"/>
      <c r="G11" s="48"/>
      <c r="H11" s="43"/>
      <c r="I11" s="43"/>
      <c r="J11" s="45"/>
      <c r="M11" s="107">
        <v>20</v>
      </c>
    </row>
    <row r="12" spans="1:13" ht="15.75" customHeight="1">
      <c r="A12" s="51" t="s">
        <v>6</v>
      </c>
      <c r="B12" s="52" t="s">
        <v>1</v>
      </c>
      <c r="C12" s="99">
        <v>4</v>
      </c>
      <c r="D12" s="50" t="s">
        <v>2</v>
      </c>
      <c r="E12" s="43"/>
      <c r="F12" s="43"/>
      <c r="G12" s="43"/>
      <c r="H12" s="43"/>
      <c r="I12" s="43"/>
      <c r="J12" s="45"/>
      <c r="M12" s="107">
        <v>22</v>
      </c>
    </row>
    <row r="13" spans="1:13" ht="15.75" customHeight="1">
      <c r="A13" s="53"/>
      <c r="B13" s="54"/>
      <c r="C13" s="54"/>
      <c r="D13" s="54"/>
      <c r="E13" s="43"/>
      <c r="F13" s="43"/>
      <c r="G13" s="43"/>
      <c r="H13" s="43"/>
      <c r="I13" s="43"/>
      <c r="J13" s="45"/>
      <c r="M13" s="107">
        <v>25</v>
      </c>
    </row>
    <row r="14" spans="1:13" ht="15.75" customHeight="1">
      <c r="A14" s="55" t="s">
        <v>19</v>
      </c>
      <c r="B14" s="40"/>
      <c r="C14" s="41"/>
      <c r="D14" s="41"/>
      <c r="E14" s="43"/>
      <c r="F14" s="43"/>
      <c r="G14" s="48"/>
      <c r="H14" s="43"/>
      <c r="I14" s="43"/>
      <c r="J14" s="45"/>
      <c r="M14" s="107">
        <v>28</v>
      </c>
    </row>
    <row r="15" spans="1:13" ht="15.75" customHeight="1">
      <c r="A15" s="56" t="s">
        <v>20</v>
      </c>
      <c r="B15" s="43"/>
      <c r="C15" s="100" t="s">
        <v>31</v>
      </c>
      <c r="D15" s="54"/>
      <c r="E15" s="43"/>
      <c r="F15" s="43"/>
      <c r="G15" s="43"/>
      <c r="H15" s="43"/>
      <c r="I15" s="43"/>
      <c r="J15" s="45"/>
      <c r="M15" s="107">
        <v>30</v>
      </c>
    </row>
    <row r="16" spans="1:13" ht="15.75" customHeight="1">
      <c r="A16" s="57" t="s">
        <v>11</v>
      </c>
      <c r="B16" s="25" t="s">
        <v>1</v>
      </c>
      <c r="C16" s="101">
        <v>200</v>
      </c>
      <c r="D16" s="41" t="s">
        <v>3</v>
      </c>
      <c r="E16" s="43"/>
      <c r="F16" s="43"/>
      <c r="G16" s="43"/>
      <c r="H16" s="43"/>
      <c r="I16" s="43"/>
      <c r="J16" s="45"/>
      <c r="M16" s="107">
        <v>33</v>
      </c>
    </row>
    <row r="17" spans="1:13" ht="15.75" customHeight="1">
      <c r="A17" s="57" t="s">
        <v>12</v>
      </c>
      <c r="B17" s="25" t="s">
        <v>1</v>
      </c>
      <c r="C17" s="101">
        <v>16</v>
      </c>
      <c r="D17" s="41" t="s">
        <v>3</v>
      </c>
      <c r="E17" s="43"/>
      <c r="F17" s="43"/>
      <c r="G17" s="43"/>
      <c r="H17" s="43"/>
      <c r="I17" s="43"/>
      <c r="J17" s="45"/>
      <c r="M17" s="107">
        <v>36</v>
      </c>
    </row>
    <row r="18" spans="1:10" ht="15.75" customHeight="1">
      <c r="A18" s="57" t="s">
        <v>13</v>
      </c>
      <c r="B18" s="25" t="s">
        <v>1</v>
      </c>
      <c r="C18" s="101">
        <v>500</v>
      </c>
      <c r="D18" s="41" t="s">
        <v>3</v>
      </c>
      <c r="E18" s="43"/>
      <c r="F18" s="43"/>
      <c r="G18" s="43"/>
      <c r="H18" s="43"/>
      <c r="I18" s="43"/>
      <c r="J18" s="45"/>
    </row>
    <row r="19" spans="1:10" ht="15.75" customHeight="1">
      <c r="A19" s="57" t="s">
        <v>14</v>
      </c>
      <c r="B19" s="25" t="s">
        <v>1</v>
      </c>
      <c r="C19" s="101">
        <v>10.2</v>
      </c>
      <c r="D19" s="41" t="s">
        <v>3</v>
      </c>
      <c r="E19" s="43"/>
      <c r="F19" s="43"/>
      <c r="G19" s="43"/>
      <c r="H19" s="43"/>
      <c r="I19" s="43"/>
      <c r="J19" s="45"/>
    </row>
    <row r="20" spans="1:10" ht="15.75" customHeight="1">
      <c r="A20" s="57" t="s">
        <v>15</v>
      </c>
      <c r="B20" s="25" t="s">
        <v>1</v>
      </c>
      <c r="C20" s="101">
        <v>200</v>
      </c>
      <c r="D20" s="41" t="s">
        <v>3</v>
      </c>
      <c r="E20" s="43"/>
      <c r="F20" s="43"/>
      <c r="G20" s="43"/>
      <c r="H20" s="43"/>
      <c r="I20" s="43"/>
      <c r="J20" s="45"/>
    </row>
    <row r="21" spans="1:10" ht="15.75" customHeight="1">
      <c r="A21" s="57" t="s">
        <v>16</v>
      </c>
      <c r="B21" s="25" t="s">
        <v>1</v>
      </c>
      <c r="C21" s="101">
        <v>16</v>
      </c>
      <c r="D21" s="41" t="s">
        <v>3</v>
      </c>
      <c r="E21" s="43"/>
      <c r="F21" s="43"/>
      <c r="G21" s="43"/>
      <c r="H21" s="43"/>
      <c r="I21" s="43"/>
      <c r="J21" s="45"/>
    </row>
    <row r="22" spans="1:10" ht="15.75" customHeight="1">
      <c r="A22" s="57"/>
      <c r="B22" s="25"/>
      <c r="C22" s="58"/>
      <c r="D22" s="41"/>
      <c r="E22" s="43"/>
      <c r="F22" s="43"/>
      <c r="G22" s="43"/>
      <c r="H22" s="43"/>
      <c r="I22" s="43"/>
      <c r="J22" s="45"/>
    </row>
    <row r="23" spans="1:10" ht="15.75" customHeight="1">
      <c r="A23" s="55" t="s">
        <v>26</v>
      </c>
      <c r="B23" s="40"/>
      <c r="C23" s="41"/>
      <c r="D23" s="41"/>
      <c r="E23" s="43"/>
      <c r="F23" s="43"/>
      <c r="G23" s="43"/>
      <c r="H23" s="43"/>
      <c r="I23" s="43"/>
      <c r="J23" s="45"/>
    </row>
    <row r="24" spans="1:10" ht="15.75" customHeight="1">
      <c r="A24" s="57" t="s">
        <v>24</v>
      </c>
      <c r="B24" s="25" t="s">
        <v>1</v>
      </c>
      <c r="C24" s="102">
        <v>130</v>
      </c>
      <c r="D24" s="41" t="s">
        <v>7</v>
      </c>
      <c r="E24" s="43"/>
      <c r="F24" s="43"/>
      <c r="G24" s="43"/>
      <c r="H24" s="43"/>
      <c r="I24" s="43"/>
      <c r="J24" s="45"/>
    </row>
    <row r="25" spans="1:10" ht="15.75" customHeight="1">
      <c r="A25" s="57" t="s">
        <v>25</v>
      </c>
      <c r="B25" s="25" t="s">
        <v>1</v>
      </c>
      <c r="C25" s="102">
        <v>42</v>
      </c>
      <c r="D25" s="41" t="s">
        <v>7</v>
      </c>
      <c r="E25" s="43"/>
      <c r="F25" s="43"/>
      <c r="G25" s="43"/>
      <c r="H25" s="43"/>
      <c r="I25" s="43"/>
      <c r="J25" s="45"/>
    </row>
    <row r="26" spans="1:10" ht="15.75" customHeight="1">
      <c r="A26" s="57"/>
      <c r="B26" s="25"/>
      <c r="C26" s="58"/>
      <c r="D26" s="41"/>
      <c r="E26" s="43"/>
      <c r="F26" s="43"/>
      <c r="G26" s="43"/>
      <c r="H26" s="43"/>
      <c r="I26" s="43"/>
      <c r="J26" s="45"/>
    </row>
    <row r="27" spans="1:10" ht="15.75" customHeight="1">
      <c r="A27" s="55" t="s">
        <v>44</v>
      </c>
      <c r="B27" s="25"/>
      <c r="C27" s="58"/>
      <c r="D27" s="41"/>
      <c r="E27" s="43"/>
      <c r="F27" s="43"/>
      <c r="G27" s="43"/>
      <c r="H27" s="43"/>
      <c r="I27" s="43"/>
      <c r="J27" s="45"/>
    </row>
    <row r="28" spans="1:10" ht="15.75" customHeight="1">
      <c r="A28" s="57" t="s">
        <v>39</v>
      </c>
      <c r="B28" s="25" t="s">
        <v>1</v>
      </c>
      <c r="C28" s="102">
        <v>500</v>
      </c>
      <c r="D28" s="41" t="s">
        <v>3</v>
      </c>
      <c r="E28" s="43"/>
      <c r="F28" s="43"/>
      <c r="G28" s="43"/>
      <c r="H28" s="43"/>
      <c r="I28" s="43"/>
      <c r="J28" s="45"/>
    </row>
    <row r="29" spans="1:10" ht="15.75" customHeight="1">
      <c r="A29" s="57" t="s">
        <v>40</v>
      </c>
      <c r="B29" s="25" t="s">
        <v>1</v>
      </c>
      <c r="C29" s="59">
        <f>-((-C10*1000/C28)-(C11/2))</f>
        <v>50</v>
      </c>
      <c r="D29" s="41" t="s">
        <v>89</v>
      </c>
      <c r="E29" s="25"/>
      <c r="F29" s="43"/>
      <c r="G29" s="43"/>
      <c r="H29" s="43"/>
      <c r="I29" s="43"/>
      <c r="J29" s="45"/>
    </row>
    <row r="30" spans="1:10" ht="15.75" customHeight="1">
      <c r="A30" s="57" t="s">
        <v>10</v>
      </c>
      <c r="B30" s="25" t="s">
        <v>1</v>
      </c>
      <c r="C30" s="59">
        <f>(C10*1000/C28)-(C11/2)</f>
        <v>38</v>
      </c>
      <c r="D30" s="41" t="s">
        <v>90</v>
      </c>
      <c r="E30" s="25"/>
      <c r="F30" s="43"/>
      <c r="G30" s="43"/>
      <c r="H30" s="43"/>
      <c r="I30" s="43"/>
      <c r="J30" s="45"/>
    </row>
    <row r="31" spans="1:10" ht="15.75" customHeight="1">
      <c r="A31" s="57" t="s">
        <v>47</v>
      </c>
      <c r="B31" s="25" t="s">
        <v>1</v>
      </c>
      <c r="C31" s="102">
        <v>6</v>
      </c>
      <c r="D31" s="41" t="s">
        <v>3</v>
      </c>
      <c r="E31" s="43"/>
      <c r="F31" s="43"/>
      <c r="G31" s="43"/>
      <c r="H31" s="43"/>
      <c r="I31" s="43"/>
      <c r="J31" s="45"/>
    </row>
    <row r="32" spans="1:10" ht="15.75" customHeight="1">
      <c r="A32" s="51" t="s">
        <v>41</v>
      </c>
      <c r="B32" s="25" t="s">
        <v>1</v>
      </c>
      <c r="C32" s="60">
        <f>MAX(C30,0.6*C29)*100/(2*C28*C31)</f>
        <v>0.6333333333333333</v>
      </c>
      <c r="D32" s="41" t="s">
        <v>9</v>
      </c>
      <c r="E32" s="25" t="str">
        <f>IF(C32&lt;F32,"&lt;","&gt;")</f>
        <v>&lt;</v>
      </c>
      <c r="F32" s="25">
        <f>IF(E7="a",0.2*H9,0.2*H9*1.2)</f>
        <v>0.7200000000000001</v>
      </c>
      <c r="G32" s="41" t="s">
        <v>9</v>
      </c>
      <c r="H32" s="43"/>
      <c r="I32" s="61" t="str">
        <f>IF(AND(C32&lt;F32),"SAFE","UNSAFE")</f>
        <v>SAFE</v>
      </c>
      <c r="J32" s="106" t="s">
        <v>106</v>
      </c>
    </row>
    <row r="33" spans="1:10" ht="15.75" customHeight="1">
      <c r="A33" s="51" t="s">
        <v>42</v>
      </c>
      <c r="B33" s="25" t="s">
        <v>1</v>
      </c>
      <c r="C33" s="60">
        <f>C12*100/(4*C28*C31)</f>
        <v>0.03333333333333333</v>
      </c>
      <c r="D33" s="41" t="s">
        <v>9</v>
      </c>
      <c r="E33" s="25" t="str">
        <f>IF(C33&lt;F33,"&lt;","&gt;")</f>
        <v>&lt;</v>
      </c>
      <c r="F33" s="25">
        <f>IF(E7="a",0.2*H9,0.2*H9*1.2)</f>
        <v>0.7200000000000001</v>
      </c>
      <c r="G33" s="41" t="s">
        <v>9</v>
      </c>
      <c r="H33" s="43"/>
      <c r="I33" s="61" t="str">
        <f>IF(AND(C33&lt;F33),"SAFE","UNSAFE")</f>
        <v>SAFE</v>
      </c>
      <c r="J33" s="106" t="s">
        <v>106</v>
      </c>
    </row>
    <row r="34" spans="1:10" ht="15.75" customHeight="1">
      <c r="A34" s="51" t="s">
        <v>43</v>
      </c>
      <c r="B34" s="25" t="s">
        <v>1</v>
      </c>
      <c r="C34" s="60">
        <f>(C32^2+3*(C33)^2)^0.5</f>
        <v>0.6359594676112971</v>
      </c>
      <c r="D34" s="41" t="s">
        <v>9</v>
      </c>
      <c r="E34" s="25" t="str">
        <f>IF(C34&lt;F34,"&lt;","&gt;")</f>
        <v>&lt;</v>
      </c>
      <c r="F34" s="25">
        <f>IF(E7="a",0.2*H9*1.1,0.2*H9*1.1*1.2)</f>
        <v>0.7920000000000001</v>
      </c>
      <c r="G34" s="41" t="s">
        <v>9</v>
      </c>
      <c r="H34" s="43"/>
      <c r="I34" s="61" t="str">
        <f>IF(AND(C34&lt;F34),"SAFE","UNSAFE")</f>
        <v>SAFE</v>
      </c>
      <c r="J34" s="106" t="s">
        <v>104</v>
      </c>
    </row>
    <row r="35" spans="1:10" ht="15.75" customHeight="1">
      <c r="A35" s="53"/>
      <c r="B35" s="54"/>
      <c r="C35" s="54"/>
      <c r="D35" s="54"/>
      <c r="E35" s="54"/>
      <c r="F35" s="54"/>
      <c r="G35" s="54"/>
      <c r="H35" s="54"/>
      <c r="I35" s="54"/>
      <c r="J35" s="106" t="s">
        <v>105</v>
      </c>
    </row>
    <row r="36" spans="1:10" ht="15.75" customHeight="1">
      <c r="A36" s="55" t="s">
        <v>45</v>
      </c>
      <c r="B36" s="40"/>
      <c r="C36" s="41"/>
      <c r="D36" s="41"/>
      <c r="E36" s="54"/>
      <c r="F36" s="54"/>
      <c r="G36" s="54"/>
      <c r="H36" s="54"/>
      <c r="I36" s="54"/>
      <c r="J36" s="45"/>
    </row>
    <row r="37" spans="1:10" ht="15.75" customHeight="1">
      <c r="A37" s="57" t="s">
        <v>50</v>
      </c>
      <c r="B37" s="40" t="s">
        <v>1</v>
      </c>
      <c r="C37" s="40">
        <f>C24*10/2</f>
        <v>650</v>
      </c>
      <c r="D37" s="41" t="s">
        <v>3</v>
      </c>
      <c r="E37" s="54"/>
      <c r="F37" s="54"/>
      <c r="G37" s="54"/>
      <c r="H37" s="54"/>
      <c r="I37" s="54"/>
      <c r="J37" s="45"/>
    </row>
    <row r="38" spans="1:10" ht="15.75" customHeight="1">
      <c r="A38" s="57" t="s">
        <v>17</v>
      </c>
      <c r="B38" s="25" t="s">
        <v>1</v>
      </c>
      <c r="C38" s="59">
        <f>C24*10</f>
        <v>1300</v>
      </c>
      <c r="D38" s="41" t="s">
        <v>3</v>
      </c>
      <c r="E38" s="25"/>
      <c r="F38" s="25"/>
      <c r="G38" s="62"/>
      <c r="H38" s="41"/>
      <c r="I38" s="43"/>
      <c r="J38" s="45"/>
    </row>
    <row r="39" spans="1:10" ht="15.75" customHeight="1">
      <c r="A39" s="57" t="s">
        <v>18</v>
      </c>
      <c r="B39" s="25" t="s">
        <v>1</v>
      </c>
      <c r="C39" s="59">
        <f>(C24*10-(C18+C17+C21))/2</f>
        <v>384</v>
      </c>
      <c r="D39" s="41" t="s">
        <v>3</v>
      </c>
      <c r="E39" s="25"/>
      <c r="F39" s="25"/>
      <c r="G39" s="62"/>
      <c r="H39" s="41"/>
      <c r="I39" s="63"/>
      <c r="J39" s="45"/>
    </row>
    <row r="40" spans="1:10" ht="15.75" customHeight="1">
      <c r="A40" s="57" t="s">
        <v>47</v>
      </c>
      <c r="B40" s="25" t="s">
        <v>1</v>
      </c>
      <c r="C40" s="102">
        <v>4</v>
      </c>
      <c r="D40" s="41" t="s">
        <v>3</v>
      </c>
      <c r="E40" s="25"/>
      <c r="F40" s="25"/>
      <c r="G40" s="62"/>
      <c r="H40" s="41"/>
      <c r="I40" s="43"/>
      <c r="J40" s="45"/>
    </row>
    <row r="41" spans="1:10" ht="15.75" customHeight="1">
      <c r="A41" s="57" t="s">
        <v>46</v>
      </c>
      <c r="B41" s="25" t="s">
        <v>1</v>
      </c>
      <c r="C41" s="64">
        <f>((2*C38*C40)+(4*C39*C40))/100+(2*0.9*C18*C40)/100+(2*C16*C40)/100+(4*0.4*C16*C40)/100</f>
        <v>230.24</v>
      </c>
      <c r="D41" s="41" t="s">
        <v>8</v>
      </c>
      <c r="E41" s="54"/>
      <c r="F41" s="54"/>
      <c r="G41" s="54"/>
      <c r="H41" s="54"/>
      <c r="I41" s="43"/>
      <c r="J41" s="45"/>
    </row>
    <row r="42" spans="1:10" ht="15.75" customHeight="1">
      <c r="A42" s="57" t="s">
        <v>48</v>
      </c>
      <c r="B42" s="25" t="s">
        <v>1</v>
      </c>
      <c r="C42" s="65">
        <f>((2*C40*C38^3/12)+(4*C40*C39^3/12)+(4*C40*C39*(C38/2-C39/2)^2))/10000+(2*C16*C40*((C18+C17+C21+2*C40)/2)^2+C16*C40^3/12)/10000+2*0.9*C18^3*C40/120000</f>
        <v>302059.5221333334</v>
      </c>
      <c r="D42" s="41" t="s">
        <v>49</v>
      </c>
      <c r="E42" s="54"/>
      <c r="F42" s="54"/>
      <c r="G42" s="54"/>
      <c r="H42" s="54"/>
      <c r="I42" s="43"/>
      <c r="J42" s="45"/>
    </row>
    <row r="43" spans="1:10" ht="15.75" customHeight="1">
      <c r="A43" s="57" t="s">
        <v>41</v>
      </c>
      <c r="B43" s="25" t="s">
        <v>1</v>
      </c>
      <c r="C43" s="64">
        <f>(C11/C41)+(C10*10*C37/C42)</f>
        <v>0.5255361540470662</v>
      </c>
      <c r="D43" s="41" t="s">
        <v>9</v>
      </c>
      <c r="E43" s="25" t="str">
        <f>IF(C43&lt;F43,"&lt;","&gt;")</f>
        <v>&lt;</v>
      </c>
      <c r="F43" s="66">
        <f>IF(E7="a",0.2*H9,0.2*H9*1.2)</f>
        <v>0.7200000000000001</v>
      </c>
      <c r="G43" s="41" t="s">
        <v>9</v>
      </c>
      <c r="H43" s="54"/>
      <c r="I43" s="61" t="str">
        <f>IF(AND(C43&lt;F43),"SAFE","UNSAFE")</f>
        <v>SAFE</v>
      </c>
      <c r="J43" s="106" t="s">
        <v>106</v>
      </c>
    </row>
    <row r="44" spans="1:10" ht="15.75" customHeight="1">
      <c r="A44" s="57" t="s">
        <v>42</v>
      </c>
      <c r="B44" s="25" t="s">
        <v>1</v>
      </c>
      <c r="C44" s="64">
        <f>C12/C41</f>
        <v>0.017373175816539264</v>
      </c>
      <c r="D44" s="41" t="s">
        <v>9</v>
      </c>
      <c r="E44" s="25" t="str">
        <f>IF(C44&lt;F44,"&lt;","&gt;")</f>
        <v>&lt;</v>
      </c>
      <c r="F44" s="66">
        <f>IF(E7="a",0.2*H9,0.2*H9*1.2)</f>
        <v>0.7200000000000001</v>
      </c>
      <c r="G44" s="41" t="s">
        <v>9</v>
      </c>
      <c r="H44" s="54"/>
      <c r="I44" s="61" t="str">
        <f>IF(AND(C44&lt;F44),"SAFE","UNSAFE")</f>
        <v>SAFE</v>
      </c>
      <c r="J44" s="106" t="s">
        <v>106</v>
      </c>
    </row>
    <row r="45" spans="1:10" ht="15.75" customHeight="1">
      <c r="A45" s="57" t="s">
        <v>43</v>
      </c>
      <c r="B45" s="25" t="s">
        <v>1</v>
      </c>
      <c r="C45" s="64">
        <f>(C43^2+3*C44^2)^0.5</f>
        <v>0.5263969328600223</v>
      </c>
      <c r="D45" s="41" t="s">
        <v>9</v>
      </c>
      <c r="E45" s="25" t="str">
        <f>IF(C45&lt;F45,"&lt;","&gt;")</f>
        <v>&lt;</v>
      </c>
      <c r="F45" s="66">
        <f>IF(E7="a",0.2*H9*1.1,0.2*H9*1.1*1.2)</f>
        <v>0.7920000000000001</v>
      </c>
      <c r="G45" s="41" t="s">
        <v>9</v>
      </c>
      <c r="H45" s="54"/>
      <c r="I45" s="61" t="str">
        <f>IF(AND(C45&lt;F45),"SAFE","UNSAFE")</f>
        <v>SAFE</v>
      </c>
      <c r="J45" s="106" t="s">
        <v>104</v>
      </c>
    </row>
    <row r="46" spans="1:10" ht="15.75" customHeight="1">
      <c r="A46" s="57"/>
      <c r="B46" s="25"/>
      <c r="C46" s="64"/>
      <c r="D46" s="41"/>
      <c r="E46" s="43"/>
      <c r="F46" s="54"/>
      <c r="G46" s="67"/>
      <c r="H46" s="54"/>
      <c r="I46" s="43"/>
      <c r="J46" s="106" t="s">
        <v>105</v>
      </c>
    </row>
    <row r="47" spans="1:10" ht="15.75" customHeight="1">
      <c r="A47" s="55" t="s">
        <v>51</v>
      </c>
      <c r="B47" s="40"/>
      <c r="C47" s="41"/>
      <c r="D47" s="43"/>
      <c r="E47" s="43"/>
      <c r="F47" s="43"/>
      <c r="G47" s="43"/>
      <c r="H47" s="43"/>
      <c r="I47" s="43"/>
      <c r="J47" s="45"/>
    </row>
    <row r="48" spans="1:17" ht="15.75" customHeight="1">
      <c r="A48" s="56" t="s">
        <v>58</v>
      </c>
      <c r="B48" s="40"/>
      <c r="C48" s="41"/>
      <c r="D48" s="43"/>
      <c r="E48" s="43"/>
      <c r="F48" s="43"/>
      <c r="G48" s="43"/>
      <c r="H48" s="43"/>
      <c r="I48" s="43"/>
      <c r="J48" s="45"/>
      <c r="M48" s="27" t="s">
        <v>73</v>
      </c>
      <c r="N48" s="28">
        <f>C50^3*C51/12</f>
        <v>7689500</v>
      </c>
      <c r="O48" s="27"/>
      <c r="P48" s="27" t="s">
        <v>74</v>
      </c>
      <c r="Q48" s="27">
        <f>C50*C51</f>
        <v>5460</v>
      </c>
    </row>
    <row r="49" spans="1:17" ht="15.75" customHeight="1" thickBot="1">
      <c r="A49" s="68" t="s">
        <v>59</v>
      </c>
      <c r="B49" s="69" t="s">
        <v>1</v>
      </c>
      <c r="C49" s="103">
        <v>250</v>
      </c>
      <c r="D49" s="70" t="s">
        <v>53</v>
      </c>
      <c r="E49" s="70"/>
      <c r="F49" s="70"/>
      <c r="G49" s="70"/>
      <c r="H49" s="70"/>
      <c r="I49" s="70"/>
      <c r="J49" s="71"/>
      <c r="M49" s="27" t="s">
        <v>75</v>
      </c>
      <c r="N49" s="30">
        <f>(C10*100*C24)/(2*N48)+C11/Q48</f>
        <v>0.020794590025359255</v>
      </c>
      <c r="O49" s="27"/>
      <c r="P49" s="27" t="s">
        <v>76</v>
      </c>
      <c r="Q49" s="29">
        <f>(C10*100*C24)/(2*N48)-C11/Q48</f>
        <v>0.01639898562975486</v>
      </c>
    </row>
    <row r="50" spans="1:17" ht="15.75" customHeight="1">
      <c r="A50" s="57" t="s">
        <v>100</v>
      </c>
      <c r="B50" s="25" t="s">
        <v>1</v>
      </c>
      <c r="C50" s="102">
        <v>130</v>
      </c>
      <c r="D50" s="43" t="s">
        <v>7</v>
      </c>
      <c r="E50" s="43"/>
      <c r="F50" s="43"/>
      <c r="G50" s="43"/>
      <c r="H50" s="43"/>
      <c r="I50" s="43"/>
      <c r="J50" s="45"/>
      <c r="M50" s="27" t="s">
        <v>78</v>
      </c>
      <c r="N50" s="27">
        <f>C24-((Q49*C24)/(N49+Q49))</f>
        <v>72.68181818181819</v>
      </c>
      <c r="O50" s="27"/>
      <c r="P50" s="27" t="s">
        <v>77</v>
      </c>
      <c r="Q50" s="27">
        <f>N49*N50*C25/2</f>
        <v>31.739160839160842</v>
      </c>
    </row>
    <row r="51" spans="1:17" ht="15.75" customHeight="1">
      <c r="A51" s="57" t="s">
        <v>101</v>
      </c>
      <c r="B51" s="25" t="s">
        <v>1</v>
      </c>
      <c r="C51" s="102">
        <v>42</v>
      </c>
      <c r="D51" s="43" t="s">
        <v>7</v>
      </c>
      <c r="E51" s="43"/>
      <c r="F51" s="43"/>
      <c r="G51" s="43"/>
      <c r="H51" s="43"/>
      <c r="I51" s="43"/>
      <c r="J51" s="45"/>
      <c r="M51" s="27"/>
      <c r="N51" s="27"/>
      <c r="O51" s="27"/>
      <c r="P51" s="27"/>
      <c r="Q51" s="27"/>
    </row>
    <row r="52" spans="1:17" ht="15.75" customHeight="1">
      <c r="A52" s="57" t="s">
        <v>52</v>
      </c>
      <c r="B52" s="25" t="s">
        <v>1</v>
      </c>
      <c r="C52" s="59">
        <f>N49*1000</f>
        <v>20.794590025359255</v>
      </c>
      <c r="D52" s="41" t="s">
        <v>53</v>
      </c>
      <c r="E52" s="38" t="str">
        <f>IF(C52&gt;0.3*C49,"&gt;","&lt;")</f>
        <v>&lt;</v>
      </c>
      <c r="F52" s="72">
        <f>0.3*C49</f>
        <v>75</v>
      </c>
      <c r="G52" s="41" t="s">
        <v>53</v>
      </c>
      <c r="H52" s="73" t="str">
        <f>IF(AND(C52&lt;F52),"SAFE","UNSAFE")</f>
        <v>SAFE</v>
      </c>
      <c r="I52" s="43"/>
      <c r="J52" s="45"/>
      <c r="M52" s="27"/>
      <c r="N52" s="27"/>
      <c r="O52" s="27"/>
      <c r="P52" s="27"/>
      <c r="Q52" s="27"/>
    </row>
    <row r="53" spans="1:17" ht="15.75" customHeight="1">
      <c r="A53" s="57" t="s">
        <v>54</v>
      </c>
      <c r="B53" s="25" t="s">
        <v>1</v>
      </c>
      <c r="C53" s="102">
        <v>7</v>
      </c>
      <c r="D53" s="43" t="s">
        <v>7</v>
      </c>
      <c r="E53" s="43"/>
      <c r="F53" s="43"/>
      <c r="G53" s="43"/>
      <c r="H53" s="43"/>
      <c r="I53" s="43"/>
      <c r="J53" s="45"/>
      <c r="M53" s="27"/>
      <c r="N53" s="27"/>
      <c r="O53" s="27"/>
      <c r="P53" s="27"/>
      <c r="Q53" s="27"/>
    </row>
    <row r="54" spans="1:17" ht="15.75" customHeight="1">
      <c r="A54" s="57" t="s">
        <v>40</v>
      </c>
      <c r="B54" s="25" t="s">
        <v>1</v>
      </c>
      <c r="C54" s="25">
        <f>Q50</f>
        <v>31.739160839160842</v>
      </c>
      <c r="D54" s="74" t="s">
        <v>2</v>
      </c>
      <c r="E54" s="43"/>
      <c r="F54" s="43"/>
      <c r="G54" s="43"/>
      <c r="H54" s="43"/>
      <c r="I54" s="43"/>
      <c r="J54" s="45"/>
      <c r="M54" s="27"/>
      <c r="N54" s="27"/>
      <c r="O54" s="27"/>
      <c r="P54" s="27"/>
      <c r="Q54" s="27"/>
    </row>
    <row r="55" spans="1:17" ht="15.75" customHeight="1">
      <c r="A55" s="57" t="s">
        <v>10</v>
      </c>
      <c r="B55" s="25" t="s">
        <v>1</v>
      </c>
      <c r="C55" s="25">
        <f>C10*100/(C24-2*C53)-C11/2</f>
        <v>12.96551724137931</v>
      </c>
      <c r="D55" s="74" t="s">
        <v>2</v>
      </c>
      <c r="E55" s="43"/>
      <c r="F55" s="43"/>
      <c r="G55" s="43"/>
      <c r="H55" s="43"/>
      <c r="I55" s="43"/>
      <c r="J55" s="45"/>
      <c r="M55" s="27"/>
      <c r="N55" s="27"/>
      <c r="O55" s="27"/>
      <c r="P55" s="27"/>
      <c r="Q55" s="27"/>
    </row>
    <row r="56" spans="1:17" ht="15.75" customHeight="1">
      <c r="A56" s="75" t="s">
        <v>35</v>
      </c>
      <c r="B56" s="25" t="s">
        <v>1</v>
      </c>
      <c r="C56" s="104">
        <v>22</v>
      </c>
      <c r="D56" s="41" t="s">
        <v>3</v>
      </c>
      <c r="E56" s="54"/>
      <c r="F56" s="54"/>
      <c r="G56" s="43"/>
      <c r="H56" s="43"/>
      <c r="I56" s="43"/>
      <c r="J56" s="45"/>
      <c r="M56" s="27"/>
      <c r="N56" s="27"/>
      <c r="O56" s="27"/>
      <c r="P56" s="27"/>
      <c r="Q56" s="27"/>
    </row>
    <row r="57" spans="1:17" ht="15.75" customHeight="1">
      <c r="A57" s="26" t="s">
        <v>36</v>
      </c>
      <c r="B57" s="25" t="s">
        <v>1</v>
      </c>
      <c r="C57" s="72">
        <f>0.7*(3.14*(C56)^2)/400</f>
        <v>2.6595799999999996</v>
      </c>
      <c r="D57" s="41" t="s">
        <v>8</v>
      </c>
      <c r="E57" s="54"/>
      <c r="F57" s="54"/>
      <c r="G57" s="43"/>
      <c r="H57" s="43"/>
      <c r="I57" s="43"/>
      <c r="J57" s="45"/>
      <c r="M57" s="27"/>
      <c r="N57" s="27"/>
      <c r="O57" s="27"/>
      <c r="P57" s="27"/>
      <c r="Q57" s="27"/>
    </row>
    <row r="58" spans="1:17" ht="15.75" customHeight="1" thickBot="1">
      <c r="A58" s="57" t="s">
        <v>29</v>
      </c>
      <c r="B58" s="25" t="s">
        <v>1</v>
      </c>
      <c r="C58" s="108">
        <f>CEILING(MAX(C12/(0.85*0.25*5.2*C57),ABS(C55/(0.85*0.33*5.2*C57))),1)</f>
        <v>4</v>
      </c>
      <c r="D58" s="41" t="s">
        <v>79</v>
      </c>
      <c r="E58" s="76"/>
      <c r="F58" s="41"/>
      <c r="G58" s="43"/>
      <c r="H58" s="43"/>
      <c r="I58" s="67"/>
      <c r="J58" s="45"/>
      <c r="M58" s="27"/>
      <c r="N58" s="27"/>
      <c r="O58" s="27"/>
      <c r="P58" s="27"/>
      <c r="Q58" s="27"/>
    </row>
    <row r="59" spans="1:10" ht="15.75" customHeight="1" thickBot="1">
      <c r="A59" s="44"/>
      <c r="B59" s="77" t="s">
        <v>35</v>
      </c>
      <c r="C59" s="78" t="s">
        <v>1</v>
      </c>
      <c r="D59" s="79">
        <f>C56</f>
        <v>22</v>
      </c>
      <c r="E59" s="80" t="s">
        <v>3</v>
      </c>
      <c r="F59" s="54"/>
      <c r="G59" s="54"/>
      <c r="H59" s="54"/>
      <c r="I59" s="54"/>
      <c r="J59" s="45"/>
    </row>
    <row r="60" spans="1:10" ht="15.75" customHeight="1">
      <c r="A60" s="57" t="s">
        <v>80</v>
      </c>
      <c r="B60" s="31" t="s">
        <v>1</v>
      </c>
      <c r="C60" s="59">
        <f>(((0.3*((C49/10)/1.5)^0.5)/1.6)*10)*0.85</f>
        <v>6.506457129267816</v>
      </c>
      <c r="D60" s="41" t="s">
        <v>81</v>
      </c>
      <c r="E60" s="81"/>
      <c r="F60" s="54"/>
      <c r="G60" s="54"/>
      <c r="H60" s="54"/>
      <c r="I60" s="54"/>
      <c r="J60" s="45"/>
    </row>
    <row r="61" spans="1:13" ht="15.75" customHeight="1">
      <c r="A61" s="32" t="s">
        <v>82</v>
      </c>
      <c r="B61" s="41"/>
      <c r="C61" s="31">
        <f>(C55*10000)/(C58*3.14*D59*C60)</f>
        <v>72.1162198817786</v>
      </c>
      <c r="D61" s="41" t="s">
        <v>7</v>
      </c>
      <c r="E61" s="81"/>
      <c r="F61" s="54"/>
      <c r="G61" s="54"/>
      <c r="H61" s="54"/>
      <c r="I61" s="54"/>
      <c r="J61" s="45"/>
      <c r="M61" s="41"/>
    </row>
    <row r="62" spans="1:10" ht="15.75" customHeight="1">
      <c r="A62" s="44" t="s">
        <v>83</v>
      </c>
      <c r="B62" s="41"/>
      <c r="C62" s="31"/>
      <c r="D62" s="41"/>
      <c r="E62" s="81"/>
      <c r="F62" s="54"/>
      <c r="G62" s="54"/>
      <c r="H62" s="54"/>
      <c r="I62" s="54"/>
      <c r="J62" s="45"/>
    </row>
    <row r="63" spans="1:10" ht="15.75" customHeight="1">
      <c r="A63" s="57" t="s">
        <v>84</v>
      </c>
      <c r="B63" s="31" t="s">
        <v>1</v>
      </c>
      <c r="C63" s="104">
        <v>60</v>
      </c>
      <c r="D63" s="41" t="s">
        <v>7</v>
      </c>
      <c r="E63" s="81"/>
      <c r="F63" s="54"/>
      <c r="G63" s="54"/>
      <c r="H63" s="54"/>
      <c r="I63" s="54"/>
      <c r="J63" s="45"/>
    </row>
    <row r="64" spans="1:10" ht="15.75" customHeight="1">
      <c r="A64" s="57" t="s">
        <v>85</v>
      </c>
      <c r="B64" s="31" t="s">
        <v>1</v>
      </c>
      <c r="C64" s="31">
        <f>MAX(C55/C58-N1,0)</f>
        <v>0.5445829594059033</v>
      </c>
      <c r="D64" s="81" t="s">
        <v>2</v>
      </c>
      <c r="E64" s="81"/>
      <c r="F64" s="54"/>
      <c r="G64" s="54"/>
      <c r="H64" s="54"/>
      <c r="I64" s="54"/>
      <c r="J64" s="45"/>
    </row>
    <row r="65" spans="1:10" ht="15.75" customHeight="1">
      <c r="A65" s="57" t="s">
        <v>40</v>
      </c>
      <c r="B65" s="31" t="s">
        <v>1</v>
      </c>
      <c r="C65" s="104">
        <v>6</v>
      </c>
      <c r="D65" s="41" t="s">
        <v>7</v>
      </c>
      <c r="E65" s="41" t="s">
        <v>86</v>
      </c>
      <c r="F65" s="54"/>
      <c r="G65" s="54"/>
      <c r="H65" s="54"/>
      <c r="I65" s="54"/>
      <c r="J65" s="45"/>
    </row>
    <row r="66" spans="1:10" ht="15.75" customHeight="1">
      <c r="A66" s="57" t="s">
        <v>87</v>
      </c>
      <c r="B66" s="31" t="s">
        <v>1</v>
      </c>
      <c r="C66" s="31">
        <f>C64/(C65*C65)</f>
        <v>0.015127304427941758</v>
      </c>
      <c r="D66" s="41" t="s">
        <v>9</v>
      </c>
      <c r="E66" s="41"/>
      <c r="F66" s="54"/>
      <c r="G66" s="54"/>
      <c r="H66" s="54"/>
      <c r="I66" s="54"/>
      <c r="J66" s="45"/>
    </row>
    <row r="67" spans="1:10" ht="15.75" customHeight="1" thickBot="1">
      <c r="A67" s="57" t="s">
        <v>88</v>
      </c>
      <c r="B67" s="31" t="s">
        <v>1</v>
      </c>
      <c r="C67" s="31">
        <f>(((6*N2)/(C65*0.58*H8))^0.5)*10</f>
        <v>5.416802957311195</v>
      </c>
      <c r="D67" s="41" t="s">
        <v>3</v>
      </c>
      <c r="E67" s="41"/>
      <c r="F67" s="54"/>
      <c r="G67" s="54"/>
      <c r="H67" s="54"/>
      <c r="I67" s="54"/>
      <c r="J67" s="45"/>
    </row>
    <row r="68" spans="1:10" ht="15.75" customHeight="1" thickBot="1">
      <c r="A68" s="57"/>
      <c r="B68" s="82" t="s">
        <v>88</v>
      </c>
      <c r="C68" s="78" t="s">
        <v>1</v>
      </c>
      <c r="D68" s="83">
        <f>MAX(CEILING(C67,2),8)</f>
        <v>8</v>
      </c>
      <c r="E68" s="80" t="s">
        <v>3</v>
      </c>
      <c r="F68" s="54"/>
      <c r="G68" s="54"/>
      <c r="H68" s="54"/>
      <c r="I68" s="54"/>
      <c r="J68" s="45"/>
    </row>
    <row r="69" spans="1:10" ht="15.75" customHeight="1">
      <c r="A69" s="57"/>
      <c r="B69" s="31"/>
      <c r="C69" s="31"/>
      <c r="D69" s="41"/>
      <c r="E69" s="41"/>
      <c r="F69" s="54"/>
      <c r="G69" s="54"/>
      <c r="H69" s="54"/>
      <c r="I69" s="54"/>
      <c r="J69" s="45"/>
    </row>
    <row r="70" spans="1:10" ht="15.75" customHeight="1">
      <c r="A70" s="55" t="s">
        <v>27</v>
      </c>
      <c r="B70" s="40"/>
      <c r="C70" s="41"/>
      <c r="D70" s="43"/>
      <c r="E70" s="43"/>
      <c r="F70" s="43"/>
      <c r="G70" s="43"/>
      <c r="H70" s="43"/>
      <c r="I70" s="43"/>
      <c r="J70" s="84"/>
    </row>
    <row r="71" spans="1:13" ht="15.75" customHeight="1">
      <c r="A71" s="44" t="s">
        <v>32</v>
      </c>
      <c r="B71" s="43"/>
      <c r="C71" s="43"/>
      <c r="D71" s="43"/>
      <c r="E71" s="43"/>
      <c r="F71" s="43"/>
      <c r="G71" s="43"/>
      <c r="H71" s="43"/>
      <c r="I71" s="43"/>
      <c r="J71" s="85"/>
      <c r="M71" s="2"/>
    </row>
    <row r="72" spans="1:10" ht="15.75" customHeight="1">
      <c r="A72" s="44" t="s">
        <v>33</v>
      </c>
      <c r="B72" s="43"/>
      <c r="C72" s="43"/>
      <c r="D72" s="43"/>
      <c r="E72" s="43"/>
      <c r="F72" s="43"/>
      <c r="G72" s="43"/>
      <c r="H72" s="43"/>
      <c r="I72" s="43"/>
      <c r="J72" s="45"/>
    </row>
    <row r="73" spans="1:10" ht="15.75" customHeight="1">
      <c r="A73" s="44" t="s">
        <v>34</v>
      </c>
      <c r="B73" s="43"/>
      <c r="C73" s="43"/>
      <c r="D73" s="43"/>
      <c r="E73" s="43"/>
      <c r="F73" s="43"/>
      <c r="G73" s="48"/>
      <c r="H73" s="43"/>
      <c r="I73" s="43"/>
      <c r="J73" s="45"/>
    </row>
    <row r="74" spans="1:10" ht="15.75" customHeight="1">
      <c r="A74" s="86"/>
      <c r="B74" s="54"/>
      <c r="C74" s="54"/>
      <c r="D74" s="54"/>
      <c r="E74" s="43"/>
      <c r="F74" s="43"/>
      <c r="G74" s="43"/>
      <c r="H74" s="43"/>
      <c r="I74" s="43"/>
      <c r="J74" s="45"/>
    </row>
    <row r="75" spans="1:10" ht="15.75" customHeight="1">
      <c r="A75" s="75" t="s">
        <v>55</v>
      </c>
      <c r="B75" s="25" t="s">
        <v>1</v>
      </c>
      <c r="C75" s="102">
        <v>1</v>
      </c>
      <c r="D75" s="43"/>
      <c r="E75" s="43"/>
      <c r="F75" s="43"/>
      <c r="G75" s="43"/>
      <c r="H75" s="43"/>
      <c r="I75" s="43"/>
      <c r="J75" s="45"/>
    </row>
    <row r="76" spans="1:10" ht="15.75" customHeight="1">
      <c r="A76" s="57" t="s">
        <v>56</v>
      </c>
      <c r="B76" s="25" t="s">
        <v>1</v>
      </c>
      <c r="C76" s="72">
        <f>C52*(C25-C20/10)^2/16000</f>
        <v>0.6290363482671174</v>
      </c>
      <c r="D76" s="43" t="s">
        <v>21</v>
      </c>
      <c r="E76" s="43"/>
      <c r="F76" s="43"/>
      <c r="G76" s="48"/>
      <c r="H76" s="43"/>
      <c r="I76" s="43"/>
      <c r="J76" s="45"/>
    </row>
    <row r="77" spans="1:10" ht="15.75" customHeight="1">
      <c r="A77" s="57" t="s">
        <v>57</v>
      </c>
      <c r="B77" s="25" t="s">
        <v>1</v>
      </c>
      <c r="C77" s="72">
        <f>(C52/2000)*((C25-20)^2/8)-C76</f>
        <v>0</v>
      </c>
      <c r="D77" s="43" t="s">
        <v>21</v>
      </c>
      <c r="E77" s="43"/>
      <c r="F77" s="43"/>
      <c r="G77" s="43"/>
      <c r="H77" s="43"/>
      <c r="I77" s="43"/>
      <c r="J77" s="45"/>
    </row>
    <row r="78" spans="1:10" ht="15.75" customHeight="1">
      <c r="A78" s="57" t="s">
        <v>28</v>
      </c>
      <c r="B78" s="25" t="s">
        <v>1</v>
      </c>
      <c r="C78" s="72">
        <f>MAX(C76:C77)</f>
        <v>0.6290363482671174</v>
      </c>
      <c r="D78" s="43" t="s">
        <v>21</v>
      </c>
      <c r="E78" s="54"/>
      <c r="F78" s="54"/>
      <c r="G78" s="54"/>
      <c r="H78" s="54"/>
      <c r="I78" s="54"/>
      <c r="J78" s="45"/>
    </row>
    <row r="79" spans="1:10" ht="15.75" customHeight="1" thickBot="1">
      <c r="A79" s="57" t="s">
        <v>30</v>
      </c>
      <c r="B79" s="25" t="s">
        <v>1</v>
      </c>
      <c r="C79" s="87">
        <f>IF(E7="a",((6*C78)/(0.58*H8))^0.5*10,((6*C78)/(1.2*0.58*H8))^0.5*10)</f>
        <v>16.466218661601957</v>
      </c>
      <c r="D79" s="43" t="s">
        <v>3</v>
      </c>
      <c r="E79" s="87"/>
      <c r="F79" s="54"/>
      <c r="G79" s="43"/>
      <c r="H79" s="43"/>
      <c r="I79" s="43"/>
      <c r="J79" s="45"/>
    </row>
    <row r="80" spans="1:10" ht="15.75" customHeight="1" thickBot="1">
      <c r="A80" s="44"/>
      <c r="B80" s="82" t="s">
        <v>2</v>
      </c>
      <c r="C80" s="78" t="s">
        <v>1</v>
      </c>
      <c r="D80" s="79">
        <f>MAX(CEILING((C79+0.5),2),20)</f>
        <v>20</v>
      </c>
      <c r="E80" s="80" t="s">
        <v>3</v>
      </c>
      <c r="F80" s="43"/>
      <c r="G80" s="43"/>
      <c r="H80" s="43"/>
      <c r="I80" s="43"/>
      <c r="J80" s="45"/>
    </row>
    <row r="81" spans="1:10" ht="15.75" customHeight="1">
      <c r="A81" s="44"/>
      <c r="B81" s="43"/>
      <c r="C81" s="43"/>
      <c r="D81" s="54"/>
      <c r="E81" s="54"/>
      <c r="F81" s="54"/>
      <c r="G81" s="54"/>
      <c r="H81" s="43"/>
      <c r="I81" s="43"/>
      <c r="J81" s="45"/>
    </row>
    <row r="82" spans="1:10" ht="15.75" customHeight="1">
      <c r="A82" s="44"/>
      <c r="B82" s="41"/>
      <c r="C82" s="41"/>
      <c r="D82" s="41"/>
      <c r="E82" s="41"/>
      <c r="F82" s="41"/>
      <c r="G82" s="41"/>
      <c r="H82" s="41"/>
      <c r="I82" s="41"/>
      <c r="J82" s="45"/>
    </row>
    <row r="83" spans="1:10" ht="15.75" customHeight="1">
      <c r="A83" s="88"/>
      <c r="B83" s="89"/>
      <c r="C83" s="81"/>
      <c r="D83" s="81"/>
      <c r="E83" s="81"/>
      <c r="F83" s="81"/>
      <c r="G83" s="81"/>
      <c r="H83" s="41"/>
      <c r="I83" s="41"/>
      <c r="J83" s="45"/>
    </row>
    <row r="84" spans="1:10" ht="15.75" customHeight="1">
      <c r="A84" s="90"/>
      <c r="B84" s="81"/>
      <c r="C84" s="81"/>
      <c r="D84" s="81"/>
      <c r="E84" s="81"/>
      <c r="F84" s="81"/>
      <c r="G84" s="81"/>
      <c r="H84" s="41"/>
      <c r="I84" s="41"/>
      <c r="J84" s="45"/>
    </row>
    <row r="85" spans="1:10" ht="15.75" customHeight="1">
      <c r="A85" s="91"/>
      <c r="B85" s="92"/>
      <c r="C85" s="81"/>
      <c r="D85" s="81"/>
      <c r="E85" s="81"/>
      <c r="F85" s="81"/>
      <c r="G85" s="93"/>
      <c r="H85" s="41"/>
      <c r="I85" s="41"/>
      <c r="J85" s="45"/>
    </row>
    <row r="86" spans="1:10" ht="15.75" customHeight="1">
      <c r="A86" s="75"/>
      <c r="B86" s="92"/>
      <c r="C86" s="81"/>
      <c r="D86" s="81"/>
      <c r="E86" s="81"/>
      <c r="F86" s="81"/>
      <c r="G86" s="93"/>
      <c r="H86" s="41"/>
      <c r="I86" s="41"/>
      <c r="J86" s="45"/>
    </row>
    <row r="87" spans="1:10" ht="15.75" customHeight="1">
      <c r="A87" s="90"/>
      <c r="B87" s="81"/>
      <c r="C87" s="81"/>
      <c r="D87" s="81"/>
      <c r="E87" s="81"/>
      <c r="F87" s="81"/>
      <c r="G87" s="81"/>
      <c r="H87" s="41"/>
      <c r="I87" s="41"/>
      <c r="J87" s="45"/>
    </row>
    <row r="88" spans="1:10" ht="15.75" customHeight="1">
      <c r="A88" s="90"/>
      <c r="B88" s="81"/>
      <c r="C88" s="94"/>
      <c r="D88" s="92"/>
      <c r="E88" s="95"/>
      <c r="F88" s="81"/>
      <c r="G88" s="81"/>
      <c r="H88" s="41"/>
      <c r="I88" s="41"/>
      <c r="J88" s="45"/>
    </row>
    <row r="89" spans="1:10" ht="15.75" customHeight="1">
      <c r="A89" s="44"/>
      <c r="B89" s="41"/>
      <c r="C89" s="41"/>
      <c r="D89" s="41"/>
      <c r="E89" s="41"/>
      <c r="F89" s="41"/>
      <c r="G89" s="41"/>
      <c r="H89" s="41"/>
      <c r="I89" s="41"/>
      <c r="J89" s="45"/>
    </row>
    <row r="90" spans="1:10" ht="15.75" customHeight="1">
      <c r="A90" s="44"/>
      <c r="B90" s="41"/>
      <c r="C90" s="41"/>
      <c r="D90" s="41"/>
      <c r="E90" s="41"/>
      <c r="F90" s="41"/>
      <c r="G90" s="41"/>
      <c r="H90" s="41"/>
      <c r="I90" s="41"/>
      <c r="J90" s="45"/>
    </row>
    <row r="91" spans="1:10" ht="15.75" customHeight="1">
      <c r="A91" s="44"/>
      <c r="B91" s="41"/>
      <c r="C91" s="41"/>
      <c r="D91" s="41"/>
      <c r="E91" s="41"/>
      <c r="F91" s="41"/>
      <c r="G91" s="41"/>
      <c r="H91" s="41"/>
      <c r="I91" s="41"/>
      <c r="J91" s="45"/>
    </row>
    <row r="92" spans="1:10" ht="15.75" customHeight="1">
      <c r="A92" s="44"/>
      <c r="B92" s="41"/>
      <c r="C92" s="41"/>
      <c r="D92" s="41"/>
      <c r="E92" s="41"/>
      <c r="F92" s="41"/>
      <c r="G92" s="41"/>
      <c r="H92" s="41"/>
      <c r="I92" s="41"/>
      <c r="J92" s="45"/>
    </row>
    <row r="93" spans="1:10" ht="15.75" customHeight="1">
      <c r="A93" s="44"/>
      <c r="B93" s="41"/>
      <c r="C93" s="41"/>
      <c r="D93" s="41"/>
      <c r="E93" s="41"/>
      <c r="F93" s="41"/>
      <c r="G93" s="41"/>
      <c r="H93" s="41"/>
      <c r="I93" s="41"/>
      <c r="J93" s="45"/>
    </row>
    <row r="94" spans="1:10" ht="15.75" customHeight="1" thickBot="1">
      <c r="A94" s="96"/>
      <c r="B94" s="70"/>
      <c r="C94" s="70"/>
      <c r="D94" s="70"/>
      <c r="E94" s="70"/>
      <c r="F94" s="70"/>
      <c r="G94" s="70"/>
      <c r="H94" s="70"/>
      <c r="I94" s="70"/>
      <c r="J94" s="71"/>
    </row>
    <row r="95" spans="1:10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5"/>
    </row>
    <row r="96" spans="1:10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6"/>
    </row>
    <row r="97" spans="1:10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6"/>
    </row>
    <row r="98" spans="1:10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6"/>
    </row>
    <row r="99" spans="1:9" ht="15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</sheetData>
  <sheetProtection password="D98F" sheet="1" objects="1" scenarios="1"/>
  <mergeCells count="3">
    <mergeCell ref="D1:G1"/>
    <mergeCell ref="H1:I2"/>
    <mergeCell ref="D2:G2"/>
  </mergeCells>
  <conditionalFormatting sqref="I32:I34 I43:I45 H52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3">
    <dataValidation type="list" allowBlank="1" showInputMessage="1" showErrorMessage="1" sqref="C7">
      <formula1>$M$1:$M$2</formula1>
    </dataValidation>
    <dataValidation type="list" allowBlank="1" showInputMessage="1" showErrorMessage="1" sqref="G7">
      <formula1>$M$4:$M$6</formula1>
    </dataValidation>
    <dataValidation type="list" allowBlank="1" showInputMessage="1" showErrorMessage="1" sqref="C56">
      <formula1>$M$8:$M$17</formula1>
    </dataValidation>
  </dataValidations>
  <printOptions horizontalCentered="1" verticalCentered="1"/>
  <pageMargins left="0" right="0" top="0.958661417" bottom="0.984251969" header="0.511811023622047" footer="0.511811023622047"/>
  <pageSetup horizontalDpi="300" verticalDpi="300" orientation="portrait" paperSize="9" scale="90" r:id="rId6"/>
  <drawing r:id="rId5"/>
  <legacyDrawing r:id="rId4"/>
  <oleObjects>
    <oleObject progId="AutoCAD.Drawing.17" shapeId="1706446" r:id="rId1"/>
    <oleObject progId="AutoCAD.Drawing.17" shapeId="1708177" r:id="rId2"/>
    <oleObject progId="AutoCAD.Drawing.17" shapeId="873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2009-02-26T10:26:06Z</cp:lastPrinted>
  <dcterms:created xsi:type="dcterms:W3CDTF">1997-10-17T07:03:38Z</dcterms:created>
  <dcterms:modified xsi:type="dcterms:W3CDTF">2010-07-05T07:58:22Z</dcterms:modified>
  <cp:category/>
  <cp:version/>
  <cp:contentType/>
  <cp:contentStatus/>
</cp:coreProperties>
</file>