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3335" windowHeight="5130"/>
  </bookViews>
  <sheets>
    <sheet name="Test Design" sheetId="17" r:id="rId1"/>
    <sheet name="Design Footting" sheetId="16" r:id="rId2"/>
    <sheet name="การจัดกลุ่มเสาเข็ม" sheetId="3" r:id="rId3"/>
  </sheets>
  <calcPr calcId="124519"/>
</workbook>
</file>

<file path=xl/calcChain.xml><?xml version="1.0" encoding="utf-8"?>
<calcChain xmlns="http://schemas.openxmlformats.org/spreadsheetml/2006/main">
  <c r="D16" i="17"/>
  <c r="F36" i="16"/>
  <c r="N119" i="17"/>
  <c r="D72" s="1"/>
  <c r="K119"/>
  <c r="B72" s="1"/>
  <c r="AB94"/>
  <c r="S94"/>
  <c r="AE87"/>
  <c r="AD87"/>
  <c r="AC87"/>
  <c r="V87"/>
  <c r="U87"/>
  <c r="T87"/>
  <c r="AE86"/>
  <c r="AD86"/>
  <c r="AC86"/>
  <c r="V86"/>
  <c r="U86"/>
  <c r="T86"/>
  <c r="AE85"/>
  <c r="AE90" s="1"/>
  <c r="D64" s="1"/>
  <c r="AD85"/>
  <c r="AC85"/>
  <c r="AB92" s="1"/>
  <c r="D62" s="1"/>
  <c r="V85"/>
  <c r="V90" s="1"/>
  <c r="D58" s="1"/>
  <c r="U85"/>
  <c r="T85"/>
  <c r="U92" s="1"/>
  <c r="D56" s="1"/>
  <c r="AE84"/>
  <c r="AD84"/>
  <c r="AC84"/>
  <c r="AD92" s="1"/>
  <c r="V84"/>
  <c r="V96" s="1"/>
  <c r="U84"/>
  <c r="U96" s="1"/>
  <c r="T84"/>
  <c r="AE83"/>
  <c r="AD83"/>
  <c r="AC83"/>
  <c r="V83"/>
  <c r="U83"/>
  <c r="T83"/>
  <c r="AE82"/>
  <c r="AD82"/>
  <c r="AC82"/>
  <c r="V82"/>
  <c r="U82"/>
  <c r="T82"/>
  <c r="AE81"/>
  <c r="AD81"/>
  <c r="AC81"/>
  <c r="V81"/>
  <c r="U81"/>
  <c r="T81"/>
  <c r="AE80"/>
  <c r="AD80"/>
  <c r="AC80"/>
  <c r="V80"/>
  <c r="U80"/>
  <c r="T80"/>
  <c r="AE79"/>
  <c r="AD79"/>
  <c r="AC79"/>
  <c r="V79"/>
  <c r="U79"/>
  <c r="T79"/>
  <c r="S92" s="1"/>
  <c r="AE78"/>
  <c r="AD78"/>
  <c r="AD90" s="1"/>
  <c r="AC78"/>
  <c r="V78"/>
  <c r="U78"/>
  <c r="U90" s="1"/>
  <c r="T78"/>
  <c r="D75"/>
  <c r="B75"/>
  <c r="D74"/>
  <c r="B74"/>
  <c r="H73"/>
  <c r="F73"/>
  <c r="B73"/>
  <c r="S67"/>
  <c r="S65"/>
  <c r="D63"/>
  <c r="O60"/>
  <c r="D30" s="1"/>
  <c r="T59"/>
  <c r="T58"/>
  <c r="T57"/>
  <c r="D57"/>
  <c r="G68" s="1"/>
  <c r="T56"/>
  <c r="T55"/>
  <c r="T54"/>
  <c r="T53"/>
  <c r="T52"/>
  <c r="T51"/>
  <c r="T50"/>
  <c r="R43"/>
  <c r="O43"/>
  <c r="H27"/>
  <c r="G21"/>
  <c r="AC17"/>
  <c r="AC16"/>
  <c r="D24" s="1"/>
  <c r="H16"/>
  <c r="AK17"/>
  <c r="AJ15"/>
  <c r="AE15" s="1"/>
  <c r="AI15"/>
  <c r="AH15"/>
  <c r="AC15"/>
  <c r="AL14"/>
  <c r="AK14"/>
  <c r="AJ14"/>
  <c r="AI14"/>
  <c r="AH14"/>
  <c r="AG14" s="1"/>
  <c r="AC14"/>
  <c r="AL13"/>
  <c r="AK13"/>
  <c r="AJ13"/>
  <c r="AI13"/>
  <c r="AH13"/>
  <c r="AE13"/>
  <c r="AC13"/>
  <c r="AB13"/>
  <c r="AJ12"/>
  <c r="AI12"/>
  <c r="AH12"/>
  <c r="AC12"/>
  <c r="AJ11"/>
  <c r="AI11"/>
  <c r="AH11"/>
  <c r="AC11"/>
  <c r="AI10"/>
  <c r="AH10"/>
  <c r="AE10"/>
  <c r="AC10"/>
  <c r="AJ9"/>
  <c r="AI9"/>
  <c r="AH9"/>
  <c r="AG9" s="1"/>
  <c r="AC9"/>
  <c r="AI8"/>
  <c r="AH8"/>
  <c r="AE8"/>
  <c r="AC8"/>
  <c r="H8"/>
  <c r="W6"/>
  <c r="S3"/>
  <c r="S2"/>
  <c r="R5" s="1"/>
  <c r="D7" s="1"/>
  <c r="K119" i="16"/>
  <c r="B72" s="1"/>
  <c r="AV17"/>
  <c r="AV16"/>
  <c r="AV15"/>
  <c r="AV14"/>
  <c r="AV13"/>
  <c r="AV12"/>
  <c r="AV11"/>
  <c r="AV10"/>
  <c r="AV9"/>
  <c r="AV8"/>
  <c r="AQ17"/>
  <c r="AQ16"/>
  <c r="AQ15"/>
  <c r="AQ14"/>
  <c r="AQ13"/>
  <c r="AQ12"/>
  <c r="AQ11"/>
  <c r="AQ10"/>
  <c r="AQ9"/>
  <c r="AQ8"/>
  <c r="AT16"/>
  <c r="D42" s="1"/>
  <c r="H43" s="1"/>
  <c r="D40"/>
  <c r="D41"/>
  <c r="AU17"/>
  <c r="AU16"/>
  <c r="AP16"/>
  <c r="AU14"/>
  <c r="AU13"/>
  <c r="AT17"/>
  <c r="AT15"/>
  <c r="AT14"/>
  <c r="AP13"/>
  <c r="AP14"/>
  <c r="AP17"/>
  <c r="AO17"/>
  <c r="AO14"/>
  <c r="AT13"/>
  <c r="AT12"/>
  <c r="AT11"/>
  <c r="AT10"/>
  <c r="AO10"/>
  <c r="AT9"/>
  <c r="AT8"/>
  <c r="AR17"/>
  <c r="AS17"/>
  <c r="AS16"/>
  <c r="AR16"/>
  <c r="AR15"/>
  <c r="AS14"/>
  <c r="AR14"/>
  <c r="AS13"/>
  <c r="AR13"/>
  <c r="AR12"/>
  <c r="AR11"/>
  <c r="AR10"/>
  <c r="AR9"/>
  <c r="AR8"/>
  <c r="AM16"/>
  <c r="D30"/>
  <c r="AB94"/>
  <c r="S94"/>
  <c r="AE87"/>
  <c r="AD87"/>
  <c r="AC87"/>
  <c r="V87"/>
  <c r="U87"/>
  <c r="T87"/>
  <c r="AE86"/>
  <c r="AD86"/>
  <c r="AC86"/>
  <c r="V86"/>
  <c r="U86"/>
  <c r="T86"/>
  <c r="AE85"/>
  <c r="AE90" s="1"/>
  <c r="D64" s="1"/>
  <c r="AD85"/>
  <c r="AC85"/>
  <c r="AB92" s="1"/>
  <c r="D62" s="1"/>
  <c r="V85"/>
  <c r="V90" s="1"/>
  <c r="D58" s="1"/>
  <c r="U85"/>
  <c r="T85"/>
  <c r="U92" s="1"/>
  <c r="D56" s="1"/>
  <c r="AE84"/>
  <c r="AD84"/>
  <c r="AC84"/>
  <c r="AD92" s="1"/>
  <c r="V84"/>
  <c r="V96" s="1"/>
  <c r="U84"/>
  <c r="U96" s="1"/>
  <c r="T84"/>
  <c r="AE83"/>
  <c r="AD83"/>
  <c r="AC83"/>
  <c r="V83"/>
  <c r="U83"/>
  <c r="T83"/>
  <c r="AE82"/>
  <c r="AD82"/>
  <c r="AC82"/>
  <c r="V82"/>
  <c r="U82"/>
  <c r="T82"/>
  <c r="AE81"/>
  <c r="AD81"/>
  <c r="AC81"/>
  <c r="V81"/>
  <c r="U81"/>
  <c r="T81"/>
  <c r="AE80"/>
  <c r="AD80"/>
  <c r="AC80"/>
  <c r="V80"/>
  <c r="U80"/>
  <c r="T80"/>
  <c r="AE79"/>
  <c r="AD79"/>
  <c r="AC79"/>
  <c r="V79"/>
  <c r="U79"/>
  <c r="T79"/>
  <c r="S92" s="1"/>
  <c r="AE78"/>
  <c r="AD78"/>
  <c r="AD90" s="1"/>
  <c r="AC78"/>
  <c r="V78"/>
  <c r="U78"/>
  <c r="U90" s="1"/>
  <c r="T78"/>
  <c r="D75"/>
  <c r="B75"/>
  <c r="D74"/>
  <c r="B74"/>
  <c r="H73"/>
  <c r="F73"/>
  <c r="B73"/>
  <c r="S67"/>
  <c r="S65"/>
  <c r="D63"/>
  <c r="O60"/>
  <c r="F72" s="1"/>
  <c r="T59"/>
  <c r="T58"/>
  <c r="T57"/>
  <c r="D57"/>
  <c r="G68" s="1"/>
  <c r="T56"/>
  <c r="T55"/>
  <c r="T54"/>
  <c r="T53"/>
  <c r="T52"/>
  <c r="T51"/>
  <c r="T50"/>
  <c r="R43"/>
  <c r="O43"/>
  <c r="H27"/>
  <c r="N119"/>
  <c r="G21"/>
  <c r="AC17"/>
  <c r="AC16"/>
  <c r="D24" s="1"/>
  <c r="H16"/>
  <c r="D16"/>
  <c r="AJ17" s="1"/>
  <c r="AC15"/>
  <c r="AC14"/>
  <c r="AC13"/>
  <c r="AC12"/>
  <c r="AC11"/>
  <c r="AC10"/>
  <c r="AC9"/>
  <c r="AC8"/>
  <c r="H8"/>
  <c r="W6"/>
  <c r="S3"/>
  <c r="S2"/>
  <c r="R5" s="1"/>
  <c r="D7" s="1"/>
  <c r="D69" i="17" l="1"/>
  <c r="G70" s="1"/>
  <c r="D70"/>
  <c r="D49"/>
  <c r="D61"/>
  <c r="AN17"/>
  <c r="AR16"/>
  <c r="D40" s="1"/>
  <c r="AS14"/>
  <c r="AS13"/>
  <c r="AM12"/>
  <c r="AO12" s="1"/>
  <c r="AQ12" s="1"/>
  <c r="AM11"/>
  <c r="AM10"/>
  <c r="AM9"/>
  <c r="AM8"/>
  <c r="AS17"/>
  <c r="AM16"/>
  <c r="AR15"/>
  <c r="AN14"/>
  <c r="AP14" s="1"/>
  <c r="AN13"/>
  <c r="AP13" s="1"/>
  <c r="AR11"/>
  <c r="AR10"/>
  <c r="AR9"/>
  <c r="AR8"/>
  <c r="AT9"/>
  <c r="AV9" s="1"/>
  <c r="AT10"/>
  <c r="AV10" s="1"/>
  <c r="F72"/>
  <c r="D50"/>
  <c r="AB15"/>
  <c r="AB8"/>
  <c r="AO8"/>
  <c r="AQ8" s="1"/>
  <c r="AE9"/>
  <c r="AO10"/>
  <c r="AQ10" s="1"/>
  <c r="AE14"/>
  <c r="AG13"/>
  <c r="AG10"/>
  <c r="AO11"/>
  <c r="AQ11" s="1"/>
  <c r="AE12"/>
  <c r="AR12"/>
  <c r="AM13"/>
  <c r="AR13"/>
  <c r="AM14"/>
  <c r="AR14"/>
  <c r="AM15"/>
  <c r="AO15" s="1"/>
  <c r="AQ15" s="1"/>
  <c r="AN16"/>
  <c r="D34" s="1"/>
  <c r="AS16"/>
  <c r="D41" s="1"/>
  <c r="AM17"/>
  <c r="AR17"/>
  <c r="AG11"/>
  <c r="AG12"/>
  <c r="AB14"/>
  <c r="AG15"/>
  <c r="AB9"/>
  <c r="AO9"/>
  <c r="AQ9" s="1"/>
  <c r="AT8"/>
  <c r="AV8" s="1"/>
  <c r="AB10"/>
  <c r="AB11"/>
  <c r="AE11"/>
  <c r="AB12"/>
  <c r="AU13"/>
  <c r="AO14"/>
  <c r="AQ14" s="1"/>
  <c r="AT14"/>
  <c r="AT11"/>
  <c r="AV11" s="1"/>
  <c r="AT12"/>
  <c r="AV12" s="1"/>
  <c r="AO13"/>
  <c r="AT13"/>
  <c r="AV13" s="1"/>
  <c r="AU14"/>
  <c r="AT15"/>
  <c r="AV15" s="1"/>
  <c r="D46"/>
  <c r="G47" s="1"/>
  <c r="H70"/>
  <c r="F70"/>
  <c r="H10"/>
  <c r="AQ13"/>
  <c r="AP17"/>
  <c r="AU17"/>
  <c r="D51"/>
  <c r="AI16"/>
  <c r="AK16"/>
  <c r="AP16" s="1"/>
  <c r="AH17"/>
  <c r="AJ17"/>
  <c r="AE17" s="1"/>
  <c r="D33"/>
  <c r="G51"/>
  <c r="AH16"/>
  <c r="AJ16"/>
  <c r="D17"/>
  <c r="AI17"/>
  <c r="D36"/>
  <c r="D39"/>
  <c r="D43" s="1"/>
  <c r="D45"/>
  <c r="D47" s="1"/>
  <c r="D55"/>
  <c r="G43" i="16"/>
  <c r="F43"/>
  <c r="D69"/>
  <c r="G70" s="1"/>
  <c r="AO16"/>
  <c r="D33"/>
  <c r="AI8"/>
  <c r="AE8" s="1"/>
  <c r="AH9"/>
  <c r="AI10"/>
  <c r="AE10" s="1"/>
  <c r="AJ11"/>
  <c r="AE11" s="1"/>
  <c r="AI11"/>
  <c r="AH12"/>
  <c r="AH13"/>
  <c r="AJ13"/>
  <c r="AL13"/>
  <c r="AI14"/>
  <c r="AK14"/>
  <c r="AJ15"/>
  <c r="AE15" s="1"/>
  <c r="AI15"/>
  <c r="AI16"/>
  <c r="AK16"/>
  <c r="AI17"/>
  <c r="AK17"/>
  <c r="AE17" s="1"/>
  <c r="AH8"/>
  <c r="AB8" s="1"/>
  <c r="AJ9"/>
  <c r="AE9" s="1"/>
  <c r="AI9"/>
  <c r="AH10"/>
  <c r="AH11"/>
  <c r="AJ12"/>
  <c r="AE12" s="1"/>
  <c r="AI12"/>
  <c r="AI13"/>
  <c r="AG13" s="1"/>
  <c r="AK13"/>
  <c r="AH14"/>
  <c r="AJ14"/>
  <c r="AL14"/>
  <c r="AH15"/>
  <c r="AH16"/>
  <c r="AB16" s="1"/>
  <c r="AJ16"/>
  <c r="AH17"/>
  <c r="D39"/>
  <c r="D43" s="1"/>
  <c r="H10"/>
  <c r="D17"/>
  <c r="D46"/>
  <c r="G47" s="1"/>
  <c r="D50"/>
  <c r="G51"/>
  <c r="D72"/>
  <c r="D49"/>
  <c r="D70"/>
  <c r="AV14" i="17" l="1"/>
  <c r="AU16"/>
  <c r="AE16"/>
  <c r="AO16"/>
  <c r="AQ16" s="1"/>
  <c r="D35" s="1"/>
  <c r="G36" s="1"/>
  <c r="H36" s="1"/>
  <c r="AT17"/>
  <c r="H47"/>
  <c r="F47"/>
  <c r="D11"/>
  <c r="D27"/>
  <c r="H51"/>
  <c r="F51"/>
  <c r="H11"/>
  <c r="D68" s="1"/>
  <c r="AT16"/>
  <c r="AO17"/>
  <c r="AQ17" s="1"/>
  <c r="AB16"/>
  <c r="AB21" s="1"/>
  <c r="D21" s="1"/>
  <c r="AG16"/>
  <c r="D10" s="1"/>
  <c r="D60" s="1"/>
  <c r="AG17"/>
  <c r="AB17"/>
  <c r="AV17"/>
  <c r="AG17" i="16"/>
  <c r="AB17"/>
  <c r="AB14"/>
  <c r="AG14"/>
  <c r="AB10"/>
  <c r="AG10"/>
  <c r="AE14"/>
  <c r="AB13"/>
  <c r="AG15"/>
  <c r="AB15"/>
  <c r="AG11"/>
  <c r="AB11"/>
  <c r="AB12"/>
  <c r="AG12"/>
  <c r="AG9"/>
  <c r="AB9"/>
  <c r="AE16"/>
  <c r="AE13"/>
  <c r="AG16"/>
  <c r="D10" s="1"/>
  <c r="D51"/>
  <c r="F51" s="1"/>
  <c r="D45"/>
  <c r="D47" s="1"/>
  <c r="AM9"/>
  <c r="AM11"/>
  <c r="AM14"/>
  <c r="AM17"/>
  <c r="AN13"/>
  <c r="AM15"/>
  <c r="AN17"/>
  <c r="AM8"/>
  <c r="AM10"/>
  <c r="AM13"/>
  <c r="AO13" s="1"/>
  <c r="AM12"/>
  <c r="AN14"/>
  <c r="AN16"/>
  <c r="D55"/>
  <c r="D36"/>
  <c r="D61"/>
  <c r="H70"/>
  <c r="F70"/>
  <c r="H51"/>
  <c r="AB21"/>
  <c r="D21" s="1"/>
  <c r="H47"/>
  <c r="H11"/>
  <c r="D60" s="1"/>
  <c r="F47"/>
  <c r="F36" i="17" l="1"/>
  <c r="AV16"/>
  <c r="D42" s="1"/>
  <c r="G43" s="1"/>
  <c r="H21"/>
  <c r="F21"/>
  <c r="H12"/>
  <c r="D28" s="1"/>
  <c r="G62"/>
  <c r="H62" s="1"/>
  <c r="F62"/>
  <c r="H68"/>
  <c r="F68"/>
  <c r="D54"/>
  <c r="AO8" i="16"/>
  <c r="AO15"/>
  <c r="AO11"/>
  <c r="D34"/>
  <c r="AO12"/>
  <c r="AO9"/>
  <c r="H12"/>
  <c r="H21"/>
  <c r="F21"/>
  <c r="D68"/>
  <c r="D27"/>
  <c r="D28" s="1"/>
  <c r="D11"/>
  <c r="F43" i="17" l="1"/>
  <c r="H43"/>
  <c r="G56"/>
  <c r="H56" s="1"/>
  <c r="F56"/>
  <c r="D35" i="16"/>
  <c r="G36" s="1"/>
  <c r="H36" s="1"/>
  <c r="D54"/>
  <c r="H68"/>
  <c r="F68"/>
  <c r="G62"/>
  <c r="H62" s="1"/>
  <c r="F62"/>
  <c r="G56" l="1"/>
  <c r="H56" s="1"/>
  <c r="F56"/>
</calcChain>
</file>

<file path=xl/comments1.xml><?xml version="1.0" encoding="utf-8"?>
<comments xmlns="http://schemas.openxmlformats.org/spreadsheetml/2006/main">
  <authors>
    <author>TUY</author>
  </authors>
  <commentList>
    <comment ref="F4" authorId="0">
      <text>
        <r>
          <rPr>
            <sz val="9"/>
            <color indexed="81"/>
            <rFont val="Tahoma"/>
            <family val="2"/>
          </rPr>
          <t xml:space="preserve">ตามมาตรฐาน วสท. 1007-34
เสาตอม่อที่เป็นเสากลม หรือเสาเหลี่ยมใดๆให้ถือว่าขอบเสานั้นเป็นสี่เหลี่ยมจัตุรัส
</t>
        </r>
      </text>
    </comment>
    <comment ref="H6" authorId="0">
      <text>
        <r>
          <rPr>
            <sz val="9"/>
            <color indexed="81"/>
            <rFont val="Tahoma"/>
            <family val="2"/>
          </rPr>
          <t xml:space="preserve">ตามมาตรฐาน วสท.1007-34 ความหนาของคอนกรีตหุ้มเหล็ก จะต้องไม่น้อยกว่า 7.5 ซม.
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กทม.ให้ใช้ fc'ไม่เกิน 173.33 ksc.
</t>
        </r>
      </text>
    </comment>
    <comment ref="D8" authorId="0">
      <text>
        <r>
          <rPr>
            <sz val="9"/>
            <color indexed="81"/>
            <rFont val="Tahoma"/>
            <family val="2"/>
          </rPr>
          <t xml:space="preserve">คือค่าน้ำหนักบรรทุกคงที่รวมกับน้ำหนักบรรทุกจร
ที่กระทำตามแรงแนวแกน
จากเสาลงสู่ตอม่อทั้งหมด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หากไม่มีให้ป้อนค่าเป็น 0
</t>
        </r>
      </text>
    </comment>
    <comment ref="D13" authorId="0">
      <text>
        <r>
          <rPr>
            <sz val="9"/>
            <color indexed="81"/>
            <rFont val="Tahoma"/>
            <family val="2"/>
          </rPr>
          <t xml:space="preserve">1)ให้ประมาณการวัดจากระดับดินใต้ฐานรากจนถึงระดับดินเดิม หรือระดับที่ก่อสร้าง หรือ
2)ประมาณจากเสาตอม่อ ที่ควรมีความสูง
1.00-1.50 ม.ขึ้นอยู่กับลักษณะของพื้นที่หรือ
งานระบบที่ต้องวางท่อลอดใต้อาคาร
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ขนาดเส้นผ่านศูนย์กลางเสา
เข็ม หรือ ขนาดความกว้าง
ของหน้าตัดเสาเข็ม
</t>
        </r>
      </text>
    </comment>
    <comment ref="D16" authorId="0">
      <text>
        <r>
          <rPr>
            <sz val="9"/>
            <color indexed="81"/>
            <rFont val="Tahoma"/>
            <family val="2"/>
          </rPr>
          <t xml:space="preserve">ตามมาตรฐานของ วสท.1007-34
ประมาณน้ำหนักของฐานรากในเบื้องต้นประมาณ 10-15 % ของน้ำหนักบรรทุกที่กระทำ
</t>
        </r>
      </text>
    </comment>
    <comment ref="H16" authorId="0">
      <text>
        <r>
          <rPr>
            <sz val="9"/>
            <color indexed="81"/>
            <rFont val="Tahoma"/>
            <family val="2"/>
          </rPr>
          <t xml:space="preserve">กำหนดที่ 3เท่าของขนาดเสาเข็ม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ให้พิจารณาจากค่า 3เท่าของเส้นผ่านศูนย์กลางเสาเข็ม โดยดูจากตัวเลขข้างบน
</t>
        </r>
      </text>
    </comment>
    <comment ref="D18" authorId="0">
      <text>
        <r>
          <rPr>
            <sz val="9"/>
            <color indexed="81"/>
            <rFont val="Tahoma"/>
            <family val="2"/>
          </rPr>
          <t xml:space="preserve">ควรคิดจำนวนเสาเข็มเผื่อ
โมเมนต์ดัดด้วยเช่นบวก
เพิ่มอีก 1 ต้น จากค่าที่คำนวนได้
</t>
        </r>
      </text>
    </comment>
    <comment ref="D30" authorId="0">
      <text>
        <r>
          <rPr>
            <sz val="9"/>
            <color indexed="81"/>
            <rFont val="Tahoma"/>
            <family val="2"/>
          </rPr>
          <t xml:space="preserve">ตามมาครฐาน วสท. 1007-34  ความหนาประสิทธิผล (d)จะต้องไม่น้อยกว่า
15 ซม. สำหรับฐานรากแผ่
30 ซม. สำหรับฐานรากเสาเข็ม
</t>
        </r>
      </text>
    </comment>
  </commentList>
</comments>
</file>

<file path=xl/comments2.xml><?xml version="1.0" encoding="utf-8"?>
<comments xmlns="http://schemas.openxmlformats.org/spreadsheetml/2006/main">
  <authors>
    <author>TUY</author>
  </authors>
  <commentList>
    <comment ref="F4" authorId="0">
      <text>
        <r>
          <rPr>
            <sz val="9"/>
            <color indexed="81"/>
            <rFont val="Tahoma"/>
            <family val="2"/>
          </rPr>
          <t xml:space="preserve">ตามมาตรฐาน วสท. 1007-34
เสาตอม่อที่เป็นเสากลม หรือเสาเหลี่ยมใดๆให้ถือว่าขอบเสานั้นเป็นสี่เหลี่ยมจัตุรัส
</t>
        </r>
      </text>
    </comment>
    <comment ref="H6" authorId="0">
      <text>
        <r>
          <rPr>
            <sz val="9"/>
            <color indexed="81"/>
            <rFont val="Tahoma"/>
            <family val="2"/>
          </rPr>
          <t xml:space="preserve">ตามมาตรฐาน วสท.1007-34 ความหนาของคอนกรีตหุ้มเหล็ก จะต้องไม่น้อยกว่า 7.5 ซม.
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กทม.ให้ใช้ fc'ไม่เกิน 173.33 ksc.
</t>
        </r>
      </text>
    </comment>
    <comment ref="D8" authorId="0">
      <text>
        <r>
          <rPr>
            <sz val="9"/>
            <color indexed="81"/>
            <rFont val="Tahoma"/>
            <family val="2"/>
          </rPr>
          <t xml:space="preserve">คือค่าน้ำหนักบรรทุกคงที่รวมกับน้ำหนักบรรทุกจร
ที่กระทำตามแรงแนวแกน
จากเสาลงสู่ตอม่อทั้งหมด
</t>
        </r>
      </text>
    </comment>
    <comment ref="D9" authorId="0">
      <text>
        <r>
          <rPr>
            <sz val="9"/>
            <color indexed="81"/>
            <rFont val="Tahoma"/>
            <family val="2"/>
          </rPr>
          <t xml:space="preserve">หากไม่มีให้ป้อนค่าเป็น 0
</t>
        </r>
      </text>
    </comment>
    <comment ref="D13" authorId="0">
      <text>
        <r>
          <rPr>
            <sz val="9"/>
            <color indexed="81"/>
            <rFont val="Tahoma"/>
            <family val="2"/>
          </rPr>
          <t xml:space="preserve">1)ให้ประมาณการวัดจากระดับดินใต้ฐานรากจนถึงระดับดินเดิม หรือระดับที่ก่อสร้าง หรือ
2)ประมาณจากเสาตอม่อ ที่ควรมีความสูง
1.00-1.50 ม.ขึ้นอยู่กับลักษณะของพื้นที่หรือ
งานระบบที่ต้องวางท่อลอดใต้อาคาร
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ขนาดเส้นผ่านศูนย์กลางเสา
เข็ม หรือ ขนาดความกว้าง
ของหน้าตัดเสาเข็ม
</t>
        </r>
      </text>
    </comment>
    <comment ref="D16" authorId="0">
      <text>
        <r>
          <rPr>
            <sz val="9"/>
            <color indexed="81"/>
            <rFont val="Tahoma"/>
            <family val="2"/>
          </rPr>
          <t xml:space="preserve">ตามมาตรฐานของ วสท.1007-34
ประมาณน้ำหนักของฐานรากในเบื้องต้นประมาณ 10-15 % ของน้ำหนักยรรทุกที่กระทำ
</t>
        </r>
      </text>
    </comment>
    <comment ref="H16" authorId="0">
      <text>
        <r>
          <rPr>
            <sz val="9"/>
            <color indexed="81"/>
            <rFont val="Tahoma"/>
            <family val="2"/>
          </rPr>
          <t xml:space="preserve">กำหนดที่ 3เท่าของขนาดเสาเข็ม
</t>
        </r>
      </text>
    </comment>
    <comment ref="H17" authorId="0">
      <text>
        <r>
          <rPr>
            <sz val="9"/>
            <color indexed="81"/>
            <rFont val="Tahoma"/>
            <family val="2"/>
          </rPr>
          <t xml:space="preserve">ให้พิจารณาจากค่า 3เท่าของเส้นผ่านศูนย์กลางเสาเข็ม โดยดูจากตัวเลขข้างบน
</t>
        </r>
      </text>
    </comment>
    <comment ref="D18" authorId="0">
      <text>
        <r>
          <rPr>
            <sz val="9"/>
            <color indexed="81"/>
            <rFont val="Tahoma"/>
            <family val="2"/>
          </rPr>
          <t xml:space="preserve">ควรคิดจำนวนเสาเข็มเผื่อ
โมเมนต์ดัดด้วยเช่นบวก
เพิ่มอีก 1 ต้น จากค่าที่คำนวนได้
</t>
        </r>
      </text>
    </comment>
    <comment ref="D30" authorId="0">
      <text>
        <r>
          <rPr>
            <sz val="9"/>
            <color indexed="81"/>
            <rFont val="Tahoma"/>
            <family val="2"/>
          </rPr>
          <t xml:space="preserve">ตามมาครฐาน วสท. 1007-34  ความหนาประสิทธิผล (d)จะต้องไม่น้อยกว่า
15 ซม. สำหรับฐานรากแผ่
30 ซม. สำหรับฐานรากเสาเข็ม
</t>
        </r>
      </text>
    </comment>
  </commentList>
</comments>
</file>

<file path=xl/sharedStrings.xml><?xml version="1.0" encoding="utf-8"?>
<sst xmlns="http://schemas.openxmlformats.org/spreadsheetml/2006/main" count="723" uniqueCount="200">
  <si>
    <t>kg.</t>
  </si>
  <si>
    <t>ต้น</t>
  </si>
  <si>
    <t>cm.</t>
  </si>
  <si>
    <t>m.</t>
  </si>
  <si>
    <t xml:space="preserve"> n =</t>
  </si>
  <si>
    <t>k  =</t>
  </si>
  <si>
    <t>j  =</t>
  </si>
  <si>
    <t>R =</t>
  </si>
  <si>
    <t>ksc.</t>
  </si>
  <si>
    <t>กว้าง</t>
  </si>
  <si>
    <t>ยาว</t>
  </si>
  <si>
    <t>จำนวนเสาเข็มที่ต้องการ</t>
  </si>
  <si>
    <t>=</t>
  </si>
  <si>
    <t>วสท.(ACI 318-63)</t>
  </si>
  <si>
    <t>ข้อบัญญัติ กทม.</t>
  </si>
  <si>
    <t>f y</t>
  </si>
  <si>
    <t>เลือกขนาดฐานราก ( กว้าง x ยาว )</t>
  </si>
  <si>
    <t>2)หาขนาดฐานราก</t>
  </si>
  <si>
    <t>3)หาน้ำหนักสุทธิที่เสาเข็มต้องรับ</t>
  </si>
  <si>
    <t>4)หาความลึกของฐานราก</t>
  </si>
  <si>
    <t xml:space="preserve">d </t>
  </si>
  <si>
    <t>ขนาดเสาตอม่อ</t>
  </si>
  <si>
    <t>จำนวนเสาเข็มที่ทำให้เกิด M</t>
  </si>
  <si>
    <t>kg-m</t>
  </si>
  <si>
    <t>x</t>
  </si>
  <si>
    <t>f c</t>
  </si>
  <si>
    <t>ระยะห่างศูนย์ถึงศูนย์เสาเข็ม =</t>
  </si>
  <si>
    <t>เลือกใช้ความหนาฐานราก</t>
  </si>
  <si>
    <t>t</t>
  </si>
  <si>
    <t>ความหนาฐานราก</t>
  </si>
  <si>
    <t>number</t>
  </si>
  <si>
    <t>item</t>
  </si>
  <si>
    <t>size</t>
  </si>
  <si>
    <t>diameter (mm)</t>
  </si>
  <si>
    <t>A (cm^2)</t>
  </si>
  <si>
    <t>RB 6</t>
  </si>
  <si>
    <t>RB 9</t>
  </si>
  <si>
    <t>DB 10</t>
  </si>
  <si>
    <t>DB 12</t>
  </si>
  <si>
    <t>RB 15</t>
  </si>
  <si>
    <t>DB 16</t>
  </si>
  <si>
    <t>DB 20</t>
  </si>
  <si>
    <t>DB 25</t>
  </si>
  <si>
    <t>DB 28</t>
  </si>
  <si>
    <t>DB 32</t>
  </si>
  <si>
    <t>ระยะความลึกประสิทธิผลจริง</t>
  </si>
  <si>
    <t>ต้องการความลึกประสิทธิผล</t>
  </si>
  <si>
    <t>แรงต้านประสิทธิผลของเสาเข็ม</t>
  </si>
  <si>
    <t>P '</t>
  </si>
  <si>
    <t>ระยะระหว่างหน้าตัดวิกฤตกับศูนย์กลางเสาเข็ม</t>
  </si>
  <si>
    <t>Vc</t>
  </si>
  <si>
    <r>
      <t>Vc = 0.29 x sqrt(fc') xb</t>
    </r>
    <r>
      <rPr>
        <vertAlign val="subscript"/>
        <sz val="11"/>
        <color theme="1"/>
        <rFont val="Tahoma"/>
        <family val="2"/>
        <scheme val="minor"/>
      </rPr>
      <t>w</t>
    </r>
    <r>
      <rPr>
        <sz val="11"/>
        <color theme="1"/>
        <rFont val="Tahoma"/>
        <family val="2"/>
        <charset val="222"/>
        <scheme val="minor"/>
      </rPr>
      <t xml:space="preserve"> x d ;</t>
    </r>
  </si>
  <si>
    <t>เลือกมาตรฐานการออกแบบ</t>
  </si>
  <si>
    <t>4.3)พิจารณาจากแรงเฉือนทะลุ ( Punching Shear)</t>
  </si>
  <si>
    <t>1)ป้อนข้อมูลเบื้องต้น</t>
  </si>
  <si>
    <t>bo</t>
  </si>
  <si>
    <t>P'</t>
  </si>
  <si>
    <t>แรงเฉือนทะลุ</t>
  </si>
  <si>
    <t>V</t>
  </si>
  <si>
    <r>
      <t>Vc = 0.53 x sqrt(fc') x b</t>
    </r>
    <r>
      <rPr>
        <vertAlign val="subscript"/>
        <sz val="11"/>
        <color theme="1"/>
        <rFont val="Tahoma"/>
        <family val="2"/>
        <scheme val="minor"/>
      </rPr>
      <t>o</t>
    </r>
    <r>
      <rPr>
        <sz val="11"/>
        <color theme="1"/>
        <rFont val="Tahoma"/>
        <family val="2"/>
        <charset val="222"/>
        <scheme val="minor"/>
      </rPr>
      <t xml:space="preserve"> x d ;</t>
    </r>
  </si>
  <si>
    <t>4.1)พิจารณาจากโมเมนต์ดัด ( Bending Moment)</t>
  </si>
  <si>
    <t xml:space="preserve"> 4.3.1) ตามเส้นขอบรอบขอบเสาที่ระยะ d/2;</t>
  </si>
  <si>
    <t>4.3.2)ตามเส้นขอบรอบหัวเสาเข็มที่ระยะ d/2;</t>
  </si>
  <si>
    <t>5) ตรวจสอบน้ำหนักของฐานรากและดินถม</t>
  </si>
  <si>
    <t>น้ำหนักจริงของฐานราก</t>
  </si>
  <si>
    <t>น้ำหนักจริงของดินถม</t>
  </si>
  <si>
    <t>รวมน้ำหนักฐานรากและดินถม</t>
  </si>
  <si>
    <t>P1</t>
  </si>
  <si>
    <t xml:space="preserve">น้ำหนักมากสุดที่เสาเข็มต้องต้านทาน       </t>
  </si>
  <si>
    <t xml:space="preserve">น้ำหนักสุทธิมากสุดที่เสาเข็มต้องต้านทาน </t>
  </si>
  <si>
    <r>
      <t>kg./m</t>
    </r>
    <r>
      <rPr>
        <vertAlign val="superscript"/>
        <sz val="11"/>
        <color theme="1"/>
        <rFont val="Tahoma"/>
        <family val="2"/>
        <scheme val="minor"/>
      </rPr>
      <t>3</t>
    </r>
  </si>
  <si>
    <t>ดินแน่น</t>
  </si>
  <si>
    <t>ดินทั่วๆไป</t>
  </si>
  <si>
    <t>6) ออกแบบเหล็กเสริม</t>
  </si>
  <si>
    <t>As</t>
  </si>
  <si>
    <t xml:space="preserve">min. </t>
  </si>
  <si>
    <t>เส้น</t>
  </si>
  <si>
    <t>mm.</t>
  </si>
  <si>
    <r>
      <t>cm</t>
    </r>
    <r>
      <rPr>
        <vertAlign val="superscript"/>
        <sz val="11"/>
        <color theme="1"/>
        <rFont val="Tahoma"/>
        <family val="2"/>
        <scheme val="minor"/>
      </rPr>
      <t>2</t>
    </r>
  </si>
  <si>
    <t>ใช้จริง</t>
  </si>
  <si>
    <t>So</t>
  </si>
  <si>
    <t>b</t>
  </si>
  <si>
    <t>h</t>
  </si>
  <si>
    <t>จำนวน         =</t>
  </si>
  <si>
    <t>เลือกใช้เหล็ก =</t>
  </si>
  <si>
    <t>สมมุติเลือกใช้เหล็กเสริม =</t>
  </si>
  <si>
    <t>ระยะฝังยึดเหล็กเสริมเอกที่ต้องการ</t>
  </si>
  <si>
    <t>ระยะฝังยึดเหล็กเสริมเอกที่ใช้จริง</t>
  </si>
  <si>
    <t>bound DB.</t>
  </si>
  <si>
    <t>u</t>
  </si>
  <si>
    <r>
      <t>สมมุติน้ำหนักฐานรากและดินถม 10%-15%ของ P</t>
    </r>
    <r>
      <rPr>
        <vertAlign val="subscript"/>
        <sz val="11"/>
        <color theme="1"/>
        <rFont val="Tahoma"/>
        <family val="2"/>
        <scheme val="minor"/>
      </rPr>
      <t>(D+L)</t>
    </r>
  </si>
  <si>
    <r>
      <t>l</t>
    </r>
    <r>
      <rPr>
        <sz val="16"/>
        <rFont val="Angsana New"/>
        <family val="1"/>
      </rPr>
      <t>d</t>
    </r>
  </si>
  <si>
    <t>สรุป เลือกใช้ขนาดฐานราก =</t>
  </si>
  <si>
    <t>จำนวนเสาเข็ม =</t>
  </si>
  <si>
    <t>ต้องการปริมาณเหล็กเสริมด้านขนานแกน X</t>
  </si>
  <si>
    <t>ต้องการปริมาณเหล็กเสริมด้านขนานแกน Y</t>
  </si>
  <si>
    <t>ตารางเลือกใช้ขนาดเหล็กเสริมหลักของฐานราก(ขนานแกน X)</t>
  </si>
  <si>
    <t>ตารางเลือกใช้ขนาดเหล็กเสริมหลักของฐานราก(ขนานแกน Y)</t>
  </si>
  <si>
    <t>4.2) พิจารณาจากแรงเฉือนแบบคานกว้าง(Shear Action)</t>
  </si>
  <si>
    <t>ปริมาณเหล็กเสริมขนานตามแกน x =</t>
  </si>
  <si>
    <t>ปริมาณเหล็กเสริมขนานตามแกน y =</t>
  </si>
  <si>
    <t>DB</t>
  </si>
  <si>
    <t>จำนวนเข็ม</t>
  </si>
  <si>
    <t>kg./ต้น</t>
  </si>
  <si>
    <t>P(max.)</t>
  </si>
  <si>
    <t>p=</t>
  </si>
  <si>
    <t>p(net)</t>
  </si>
  <si>
    <t>ป้อนค่าระยะห่างเสาเข็มจริง  =</t>
  </si>
  <si>
    <t>เลือกหน่วยน้ำหนักของดิน</t>
  </si>
  <si>
    <t>Bond stress</t>
  </si>
  <si>
    <r>
      <t>P</t>
    </r>
    <r>
      <rPr>
        <vertAlign val="subscript"/>
        <sz val="11"/>
        <color rgb="FFFF0000"/>
        <rFont val="Tahoma"/>
        <family val="2"/>
        <scheme val="minor"/>
      </rPr>
      <t xml:space="preserve"> (D+L)</t>
    </r>
  </si>
  <si>
    <r>
      <rPr>
        <sz val="11"/>
        <color rgb="FFFF0000"/>
        <rFont val="Tahoma"/>
        <family val="2"/>
        <scheme val="minor"/>
      </rPr>
      <t>M</t>
    </r>
    <r>
      <rPr>
        <vertAlign val="subscript"/>
        <sz val="11"/>
        <color rgb="FFFF0000"/>
        <rFont val="Tahoma"/>
        <family val="2"/>
        <charset val="222"/>
        <scheme val="minor"/>
      </rPr>
      <t xml:space="preserve"> (D+L)</t>
    </r>
  </si>
  <si>
    <t>My(max.)</t>
  </si>
  <si>
    <t>Mx(max.)</t>
  </si>
  <si>
    <r>
      <t>M</t>
    </r>
    <r>
      <rPr>
        <vertAlign val="subscript"/>
        <sz val="10"/>
        <color theme="1"/>
        <rFont val="Tahoma"/>
        <family val="2"/>
        <scheme val="minor"/>
      </rPr>
      <t>(max.)</t>
    </r>
  </si>
  <si>
    <r>
      <t>M</t>
    </r>
    <r>
      <rPr>
        <vertAlign val="subscript"/>
        <sz val="11"/>
        <rFont val="Tahoma"/>
        <family val="2"/>
        <charset val="222"/>
        <scheme val="minor"/>
      </rPr>
      <t xml:space="preserve"> X</t>
    </r>
  </si>
  <si>
    <r>
      <t>M</t>
    </r>
    <r>
      <rPr>
        <vertAlign val="subscript"/>
        <sz val="11"/>
        <rFont val="Tahoma"/>
        <family val="2"/>
        <charset val="222"/>
        <scheme val="minor"/>
      </rPr>
      <t xml:space="preserve"> Y</t>
    </r>
  </si>
  <si>
    <t>No.</t>
  </si>
  <si>
    <t>7) ตรวจสอบการยึดเหนียว (Bond stress)</t>
  </si>
  <si>
    <t>ป้อน covering=</t>
  </si>
  <si>
    <t>ป้อน fc'=</t>
  </si>
  <si>
    <t>ป้อน fs =</t>
  </si>
  <si>
    <t>ป้อน</t>
  </si>
  <si>
    <t>ป้อน safe load of pile</t>
  </si>
  <si>
    <t>ป้อนระดับดินถมสูง</t>
  </si>
  <si>
    <t>เลือกขนาดเสาตอม่อ</t>
  </si>
  <si>
    <t>เลือกจำนวนเสาเข็มที่ใช้จริง</t>
  </si>
  <si>
    <t>ป้อนขนาด Dia. เสาเข็ม</t>
  </si>
  <si>
    <t>จำนวนเข็มรับ My</t>
  </si>
  <si>
    <t>จำนวนเข็มรับ Mx</t>
  </si>
  <si>
    <t>ต้น ขนาดหน้าตัดเข็ม =</t>
  </si>
  <si>
    <t>หนา    =</t>
  </si>
  <si>
    <t>SAFE LD.=</t>
  </si>
  <si>
    <t>T/Pile</t>
  </si>
  <si>
    <t>Ton</t>
  </si>
  <si>
    <t>Ton-m</t>
  </si>
  <si>
    <t>Ton/pile</t>
  </si>
  <si>
    <t>Design Pile Footing    (WORKING  STRESS  DESIGN)</t>
  </si>
  <si>
    <t>ด้านขนานแกน x ต้องการ</t>
  </si>
  <si>
    <t>เสาเข็ม 16 ต้น</t>
  </si>
  <si>
    <t>เสาเข็ม 12 ต้น</t>
  </si>
  <si>
    <t>เสาเข็ม 9 ต้น</t>
  </si>
  <si>
    <t>เสาเข็ม 8 ต้น</t>
  </si>
  <si>
    <t>เสาเข็ม 5 ต้น</t>
  </si>
  <si>
    <t>เสาเข็ม 6 ต้น</t>
  </si>
  <si>
    <t>เสาเข็ม 7 ต้น</t>
  </si>
  <si>
    <t>เสาเข็ม 4 ต้น</t>
  </si>
  <si>
    <t>เสาเข็ม 3 ต้น</t>
  </si>
  <si>
    <t>เสาเข็ม 2 ต้น</t>
  </si>
  <si>
    <t>ระยะห่างระหว่างศูนย์ถึงศูนย์ของเสาเข็ม ในแต่ละทิศทาง มากกว่าหรือเท่ากับ 3d</t>
  </si>
  <si>
    <t>ระยะขอบ = ( 1- 1.5 ) * d</t>
  </si>
  <si>
    <t>เมื่อ d = ขนาดเส้นผ่าศูนย์กลางของเสาเข็ม</t>
  </si>
  <si>
    <t>ข้อจำกัดของโปรแกรม</t>
  </si>
  <si>
    <t xml:space="preserve">  จัดกลุ่มเสาเข็มเท่านั้น</t>
  </si>
  <si>
    <t xml:space="preserve">   2 ,3,4,5,6,7,8,9,12,และ 16 ต้น เท่านั้น</t>
  </si>
  <si>
    <t xml:space="preserve">  ตามแนวแกน x และ y ให้เรียบร้อยเพียง</t>
  </si>
  <si>
    <t xml:space="preserve">  แต่ป้อนแรงตามแนวแกนและค่าโมเมนต์</t>
  </si>
  <si>
    <t xml:space="preserve">   จะพิจารณาเป็นรูปทรงสี่เหลี่ยม ตาม วสท.</t>
  </si>
  <si>
    <t xml:space="preserve">  สำรวจดิน ต้องแก้ไขค่าในโปรแกรมใหม่</t>
  </si>
  <si>
    <t xml:space="preserve">   แสดง O.K. ทุกบรรทัด เท่านั้น</t>
  </si>
  <si>
    <t>1) การออกแบบโครงสร้างคอนกรีตเสริมเหล็ก</t>
  </si>
  <si>
    <t xml:space="preserve">2) การออกแบบอาคารคอนกรีตเสริมเหล็ก </t>
  </si>
  <si>
    <t xml:space="preserve">   ของ ผศ.สมศักดิ์ คำปลิว</t>
  </si>
  <si>
    <t>เอกสารหรือตำราอ้างอิงที่ใช้ประกอบการ</t>
  </si>
  <si>
    <t xml:space="preserve">  เนื่องจากจำนวนเสาเข็มในแต่ละแกน แบบ2มิติ</t>
  </si>
  <si>
    <t xml:space="preserve">  ดัดที่นำมาจากผลการวิเคาระห์โครงสร้าง</t>
  </si>
  <si>
    <t xml:space="preserve">   เบื้องต้น ของ รศ. กวี หวังนิเวศน์กุล</t>
  </si>
  <si>
    <t xml:space="preserve">   โดยวิธีหน่วยแรงใช้งาน ของ ศ ดร. วินิต</t>
  </si>
  <si>
    <t xml:space="preserve">   ช่อวิเชียร พิมพ์ครั้งแรก 2542</t>
  </si>
  <si>
    <t>3) การออกแบบอาคารคอนกรีตเสริมเหล็ก</t>
  </si>
  <si>
    <t>p1</t>
  </si>
  <si>
    <t>p2</t>
  </si>
  <si>
    <t>p3</t>
  </si>
  <si>
    <t>p4</t>
  </si>
  <si>
    <t>p5</t>
  </si>
  <si>
    <r>
      <t>x</t>
    </r>
    <r>
      <rPr>
        <vertAlign val="subscript"/>
        <sz val="11"/>
        <color theme="1"/>
        <rFont val="Tahoma"/>
        <family val="2"/>
        <scheme val="minor"/>
      </rPr>
      <t>(near)</t>
    </r>
  </si>
  <si>
    <r>
      <t>x</t>
    </r>
    <r>
      <rPr>
        <vertAlign val="subscript"/>
        <sz val="11"/>
        <color theme="1"/>
        <rFont val="Tahoma"/>
        <family val="2"/>
        <scheme val="minor"/>
      </rPr>
      <t xml:space="preserve"> (far)</t>
    </r>
  </si>
  <si>
    <t>p'</t>
  </si>
  <si>
    <t>p'(far)</t>
  </si>
  <si>
    <t>p'(near)</t>
  </si>
  <si>
    <t>x(near)</t>
  </si>
  <si>
    <t>x(far)</t>
  </si>
  <si>
    <t>แรงต้านประสิทธิผล กรณี shear beamที่ระยะ d</t>
  </si>
  <si>
    <t xml:space="preserve">แรงต้านประสิทธิผล กรณี punching shear ที่ระยะ d/2 </t>
  </si>
  <si>
    <t xml:space="preserve">เขียน spreadsheet </t>
  </si>
  <si>
    <t>1)ป้อนข้อมูลเฉพาะตัวหนังสือสีแดงเท่านั้น</t>
  </si>
  <si>
    <t>2)ต้องจัดวางเสาเข็มตามรูปที่แสดงการ</t>
  </si>
  <si>
    <t>3)ออกแบบตามจำนวนเสาเข็มที่ระบุให้ ดังนี้</t>
  </si>
  <si>
    <t>4)โปรแกรมสามารถวิเคาระห์หา โมเมนต์ดัด</t>
  </si>
  <si>
    <t>5) การพิจารณารูปร่างเสาเข็มในการวิเคาระห์</t>
  </si>
  <si>
    <t>6)หน่วยน้ำหนักดิน หากมีผลทดสอบการ</t>
  </si>
  <si>
    <t>7)หน่วยที่ใช้ ระบบเมตริกเท่านั้น</t>
  </si>
  <si>
    <t>8)ผลการออกแบบจะปลอดภัย status ต้อง</t>
  </si>
  <si>
    <t xml:space="preserve">   เพียงผู้เดียว</t>
  </si>
  <si>
    <t xml:space="preserve">   หากมีข้อผิดพลาดผิดพลาดผู้ใช้งานต้องรับผิดชอบแต่</t>
  </si>
  <si>
    <t xml:space="preserve">   และมีความรู้พื้นฐานเรื่องการวิเคราะห์และออกแบบ</t>
  </si>
  <si>
    <t xml:space="preserve">   โครงสร้างเป็นอย่างดี </t>
  </si>
  <si>
    <t>9)ผู้นำไปใช้ควรเป็นวิศวกร มีใบประกอบวิชาชีพตามสาขา</t>
  </si>
  <si>
    <t>9)ผู้นำไปใช้ควรเป็นวิศวกร มีใบประกอบวิชาชีพควบคุม</t>
  </si>
  <si>
    <t>ผู้พัฒนา  นายสงกรานต์  ปัญญามูล  สย.9095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</si>
</sst>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00"/>
    <numFmt numFmtId="188" formatCode="_-* #,##0_-;\-* #,##0_-;_-* &quot;-&quot;??_-;_-@_-"/>
  </numFmts>
  <fonts count="33">
    <font>
      <sz val="11"/>
      <color theme="1"/>
      <name val="Tahoma"/>
      <family val="2"/>
      <charset val="222"/>
      <scheme val="minor"/>
    </font>
    <font>
      <sz val="10"/>
      <color rgb="FF0070C0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vertAlign val="subscript"/>
      <sz val="11"/>
      <color theme="1"/>
      <name val="Tahoma"/>
      <family val="2"/>
      <scheme val="minor"/>
    </font>
    <font>
      <b/>
      <sz val="16"/>
      <color indexed="10"/>
      <name val="Angsana New"/>
      <family val="1"/>
    </font>
    <font>
      <b/>
      <sz val="16"/>
      <color indexed="12"/>
      <name val="Angsana New"/>
      <family val="1"/>
    </font>
    <font>
      <sz val="10"/>
      <name val="Arial"/>
      <family val="2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rgb="FF002060"/>
      <name val="Tahoma"/>
      <family val="2"/>
      <scheme val="minor"/>
    </font>
    <font>
      <sz val="9"/>
      <color indexed="81"/>
      <name val="Tahoma"/>
      <family val="2"/>
    </font>
    <font>
      <vertAlign val="superscript"/>
      <sz val="11"/>
      <color theme="1"/>
      <name val="Tahoma"/>
      <family val="2"/>
      <scheme val="minor"/>
    </font>
    <font>
      <b/>
      <sz val="12"/>
      <name val="GreekC"/>
    </font>
    <font>
      <vertAlign val="subscript"/>
      <sz val="11"/>
      <color rgb="FFFF000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  <font>
      <sz val="11"/>
      <color rgb="FF00B050"/>
      <name val="Tahoma"/>
      <family val="2"/>
      <charset val="222"/>
      <scheme val="minor"/>
    </font>
    <font>
      <u/>
      <sz val="11"/>
      <color theme="1"/>
      <name val="Tahoma"/>
      <family val="2"/>
      <charset val="222"/>
      <scheme val="minor"/>
    </font>
    <font>
      <sz val="10"/>
      <color rgb="FF00B050"/>
      <name val="Arial"/>
      <family val="2"/>
    </font>
    <font>
      <sz val="16"/>
      <name val="MT Extra"/>
      <family val="1"/>
      <charset val="2"/>
    </font>
    <font>
      <sz val="16"/>
      <name val="Angsana New"/>
      <family val="1"/>
    </font>
    <font>
      <sz val="11"/>
      <color rgb="FFFF0000"/>
      <name val="Tahoma"/>
      <family val="2"/>
      <scheme val="minor"/>
    </font>
    <font>
      <vertAlign val="subscript"/>
      <sz val="11"/>
      <color rgb="FFFF0000"/>
      <name val="Tahoma"/>
      <family val="2"/>
      <scheme val="minor"/>
    </font>
    <font>
      <vertAlign val="subscript"/>
      <sz val="10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vertAlign val="subscript"/>
      <sz val="1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u/>
      <sz val="11"/>
      <color theme="1"/>
      <name val="Tahoma"/>
      <family val="2"/>
      <scheme val="minor"/>
    </font>
    <font>
      <sz val="11"/>
      <color theme="8" tint="-0.499984740745262"/>
      <name val="Tahoma"/>
      <family val="2"/>
      <charset val="222"/>
      <scheme val="minor"/>
    </font>
    <font>
      <b/>
      <u/>
      <sz val="11"/>
      <color rgb="FF002060"/>
      <name val="Tahoma"/>
      <family val="2"/>
      <scheme val="minor"/>
    </font>
    <font>
      <sz val="11"/>
      <color rgb="FF00206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0" fillId="0" borderId="1" xfId="0" applyBorder="1"/>
    <xf numFmtId="0" fontId="1" fillId="0" borderId="0" xfId="0" applyFont="1" applyBorder="1"/>
    <xf numFmtId="2" fontId="0" fillId="0" borderId="0" xfId="0" applyNumberFormat="1"/>
    <xf numFmtId="0" fontId="0" fillId="0" borderId="11" xfId="0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10" fillId="0" borderId="4" xfId="0" applyFont="1" applyBorder="1"/>
    <xf numFmtId="0" fontId="0" fillId="0" borderId="5" xfId="0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7" xfId="0" applyBorder="1"/>
    <xf numFmtId="0" fontId="7" fillId="0" borderId="0" xfId="0" applyFont="1" applyFill="1" applyBorder="1" applyAlignment="1">
      <alignment horizontal="center"/>
    </xf>
    <xf numFmtId="0" fontId="10" fillId="0" borderId="6" xfId="0" applyFont="1" applyBorder="1"/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87" fontId="11" fillId="0" borderId="1" xfId="0" applyNumberFormat="1" applyFont="1" applyBorder="1" applyAlignment="1">
      <alignment horizontal="center"/>
    </xf>
    <xf numFmtId="187" fontId="10" fillId="0" borderId="0" xfId="0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8" fontId="0" fillId="0" borderId="0" xfId="1" applyNumberFormat="1" applyFont="1"/>
    <xf numFmtId="188" fontId="0" fillId="0" borderId="0" xfId="0" applyNumberFormat="1" applyAlignment="1">
      <alignment horizontal="center"/>
    </xf>
    <xf numFmtId="0" fontId="9" fillId="0" borderId="1" xfId="0" applyFont="1" applyBorder="1" applyAlignment="1">
      <alignment horizontal="center"/>
    </xf>
    <xf numFmtId="188" fontId="0" fillId="0" borderId="1" xfId="0" applyNumberFormat="1" applyBorder="1"/>
    <xf numFmtId="188" fontId="0" fillId="0" borderId="1" xfId="1" applyNumberFormat="1" applyFont="1" applyBorder="1"/>
    <xf numFmtId="188" fontId="9" fillId="0" borderId="1" xfId="1" applyNumberFormat="1" applyFont="1" applyBorder="1"/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2" fontId="0" fillId="0" borderId="1" xfId="0" applyNumberFormat="1" applyBorder="1" applyAlignment="1">
      <alignment horizontal="center"/>
    </xf>
    <xf numFmtId="2" fontId="10" fillId="0" borderId="0" xfId="0" applyNumberFormat="1" applyFont="1" applyBorder="1" applyAlignment="1"/>
    <xf numFmtId="0" fontId="19" fillId="0" borderId="0" xfId="0" applyFont="1" applyFill="1" applyBorder="1" applyAlignment="1">
      <alignment horizontal="left"/>
    </xf>
    <xf numFmtId="187" fontId="10" fillId="0" borderId="0" xfId="0" applyNumberFormat="1" applyFont="1" applyBorder="1" applyAlignment="1">
      <alignment horizontal="center"/>
    </xf>
    <xf numFmtId="0" fontId="10" fillId="3" borderId="1" xfId="0" applyFont="1" applyFill="1" applyBorder="1"/>
    <xf numFmtId="2" fontId="10" fillId="3" borderId="1" xfId="0" applyNumberFormat="1" applyFont="1" applyFill="1" applyBorder="1"/>
    <xf numFmtId="187" fontId="20" fillId="0" borderId="1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1" xfId="0" applyFont="1" applyFill="1" applyBorder="1"/>
    <xf numFmtId="2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NumberFormat="1" applyFont="1" applyBorder="1"/>
    <xf numFmtId="0" fontId="0" fillId="0" borderId="6" xfId="0" applyBorder="1"/>
    <xf numFmtId="0" fontId="2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0" fillId="4" borderId="1" xfId="0" applyNumberFormat="1" applyFont="1" applyFill="1" applyBorder="1"/>
    <xf numFmtId="0" fontId="10" fillId="4" borderId="1" xfId="0" applyFont="1" applyFill="1" applyBorder="1"/>
    <xf numFmtId="0" fontId="0" fillId="0" borderId="12" xfId="0" applyBorder="1"/>
    <xf numFmtId="0" fontId="7" fillId="0" borderId="0" xfId="0" applyFont="1" applyFill="1" applyBorder="1"/>
    <xf numFmtId="0" fontId="10" fillId="0" borderId="0" xfId="0" applyFont="1" applyFill="1" applyBorder="1"/>
    <xf numFmtId="2" fontId="10" fillId="0" borderId="0" xfId="0" applyNumberFormat="1" applyFont="1" applyFill="1" applyBorder="1"/>
    <xf numFmtId="187" fontId="10" fillId="0" borderId="0" xfId="0" applyNumberFormat="1" applyFont="1" applyFill="1" applyBorder="1"/>
    <xf numFmtId="0" fontId="24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1" xfId="0" applyNumberFormat="1" applyBorder="1"/>
    <xf numFmtId="0" fontId="8" fillId="0" borderId="0" xfId="0" applyFont="1" applyAlignment="1"/>
    <xf numFmtId="188" fontId="0" fillId="0" borderId="1" xfId="1" applyNumberFormat="1" applyFont="1" applyFill="1" applyBorder="1"/>
    <xf numFmtId="188" fontId="0" fillId="0" borderId="0" xfId="1" applyNumberFormat="1" applyFont="1" applyFill="1" applyAlignment="1">
      <alignment horizontal="center"/>
    </xf>
    <xf numFmtId="2" fontId="0" fillId="0" borderId="1" xfId="0" applyNumberFormat="1" applyFill="1" applyBorder="1"/>
    <xf numFmtId="0" fontId="26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88" fontId="0" fillId="0" borderId="0" xfId="0" applyNumberFormat="1" applyFont="1" applyFill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7" xfId="0" applyFont="1" applyBorder="1"/>
    <xf numFmtId="0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right"/>
    </xf>
    <xf numFmtId="2" fontId="0" fillId="0" borderId="17" xfId="0" applyNumberFormat="1" applyBorder="1"/>
    <xf numFmtId="0" fontId="0" fillId="0" borderId="17" xfId="0" applyFill="1" applyBorder="1" applyAlignment="1">
      <alignment horizontal="center"/>
    </xf>
    <xf numFmtId="2" fontId="0" fillId="0" borderId="17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8" fillId="0" borderId="0" xfId="0" applyFont="1" applyFill="1" applyAlignment="1">
      <alignment horizontal="right" vertical="justify"/>
    </xf>
    <xf numFmtId="0" fontId="8" fillId="0" borderId="0" xfId="0" applyFont="1" applyFill="1"/>
    <xf numFmtId="2" fontId="0" fillId="0" borderId="7" xfId="0" applyNumberFormat="1" applyBorder="1"/>
    <xf numFmtId="2" fontId="0" fillId="0" borderId="10" xfId="0" applyNumberFormat="1" applyBorder="1"/>
    <xf numFmtId="2" fontId="0" fillId="0" borderId="0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0" xfId="0" applyNumberFormat="1" applyBorder="1" applyAlignment="1"/>
    <xf numFmtId="43" fontId="0" fillId="0" borderId="0" xfId="0" applyNumberFormat="1" applyBorder="1"/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0" fillId="0" borderId="10" xfId="0" applyBorder="1" applyAlignment="1"/>
    <xf numFmtId="0" fontId="0" fillId="0" borderId="20" xfId="0" applyBorder="1" applyAlignment="1">
      <alignment horizontal="center"/>
    </xf>
    <xf numFmtId="0" fontId="28" fillId="0" borderId="0" xfId="0" applyFont="1"/>
    <xf numFmtId="0" fontId="0" fillId="0" borderId="0" xfId="0" applyAlignment="1">
      <alignment horizontal="center"/>
    </xf>
    <xf numFmtId="0" fontId="29" fillId="0" borderId="3" xfId="0" applyFont="1" applyBorder="1"/>
    <xf numFmtId="0" fontId="29" fillId="0" borderId="6" xfId="0" applyFont="1" applyBorder="1"/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43" fontId="0" fillId="0" borderId="0" xfId="0" applyNumberFormat="1" applyFill="1" applyBorder="1" applyAlignment="1"/>
    <xf numFmtId="2" fontId="0" fillId="0" borderId="0" xfId="0" applyNumberFormat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/>
    <xf numFmtId="0" fontId="0" fillId="0" borderId="0" xfId="0" applyAlignment="1">
      <alignment horizontal="center"/>
    </xf>
    <xf numFmtId="0" fontId="30" fillId="0" borderId="1" xfId="0" applyFont="1" applyFill="1" applyBorder="1" applyAlignment="1">
      <alignment horizontal="center"/>
    </xf>
    <xf numFmtId="2" fontId="30" fillId="0" borderId="1" xfId="0" applyNumberFormat="1" applyFont="1" applyBorder="1"/>
    <xf numFmtId="2" fontId="0" fillId="0" borderId="0" xfId="0" applyNumberFormat="1" applyBorder="1"/>
    <xf numFmtId="43" fontId="0" fillId="0" borderId="9" xfId="0" applyNumberFormat="1" applyFill="1" applyBorder="1" applyAlignment="1"/>
    <xf numFmtId="43" fontId="0" fillId="0" borderId="9" xfId="0" applyNumberFormat="1" applyFill="1" applyBorder="1"/>
    <xf numFmtId="2" fontId="0" fillId="0" borderId="0" xfId="0" applyNumberFormat="1" applyBorder="1" applyAlignment="1"/>
    <xf numFmtId="0" fontId="29" fillId="0" borderId="14" xfId="0" applyFont="1" applyBorder="1"/>
    <xf numFmtId="0" fontId="0" fillId="0" borderId="8" xfId="0" applyFill="1" applyBorder="1"/>
    <xf numFmtId="0" fontId="31" fillId="0" borderId="14" xfId="0" applyFont="1" applyBorder="1"/>
    <xf numFmtId="0" fontId="32" fillId="0" borderId="14" xfId="0" applyFont="1" applyBorder="1"/>
    <xf numFmtId="0" fontId="32" fillId="0" borderId="3" xfId="0" applyFont="1" applyBorder="1"/>
    <xf numFmtId="0" fontId="32" fillId="0" borderId="4" xfId="0" applyFont="1" applyBorder="1"/>
    <xf numFmtId="0" fontId="32" fillId="0" borderId="5" xfId="0" applyFont="1" applyBorder="1"/>
    <xf numFmtId="0" fontId="32" fillId="0" borderId="6" xfId="0" applyFont="1" applyBorder="1"/>
    <xf numFmtId="0" fontId="32" fillId="0" borderId="0" xfId="0" applyFont="1" applyBorder="1"/>
    <xf numFmtId="0" fontId="32" fillId="0" borderId="7" xfId="0" applyFont="1" applyBorder="1"/>
    <xf numFmtId="0" fontId="32" fillId="0" borderId="0" xfId="0" applyFont="1"/>
    <xf numFmtId="0" fontId="32" fillId="0" borderId="15" xfId="0" applyFont="1" applyBorder="1"/>
    <xf numFmtId="0" fontId="32" fillId="0" borderId="8" xfId="0" applyFont="1" applyFill="1" applyBorder="1"/>
    <xf numFmtId="0" fontId="32" fillId="0" borderId="9" xfId="0" applyFont="1" applyBorder="1"/>
    <xf numFmtId="0" fontId="32" fillId="0" borderId="10" xfId="0" applyFont="1" applyBorder="1"/>
    <xf numFmtId="0" fontId="31" fillId="0" borderId="3" xfId="0" applyFont="1" applyBorder="1"/>
    <xf numFmtId="0" fontId="31" fillId="0" borderId="6" xfId="0" applyFont="1" applyBorder="1"/>
    <xf numFmtId="0" fontId="32" fillId="0" borderId="8" xfId="0" applyFont="1" applyBorder="1"/>
    <xf numFmtId="0" fontId="12" fillId="3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3</xdr:row>
      <xdr:rowOff>19050</xdr:rowOff>
    </xdr:from>
    <xdr:to>
      <xdr:col>3</xdr:col>
      <xdr:colOff>19050</xdr:colOff>
      <xdr:row>6</xdr:row>
      <xdr:rowOff>28575</xdr:rowOff>
    </xdr:to>
    <xdr:sp macro="" textlink="">
      <xdr:nvSpPr>
        <xdr:cNvPr id="2" name="สี่เหลี่ยมผืนผ้า 1"/>
        <xdr:cNvSpPr/>
      </xdr:nvSpPr>
      <xdr:spPr>
        <a:xfrm>
          <a:off x="676275" y="561975"/>
          <a:ext cx="1400175" cy="5524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285750</xdr:colOff>
      <xdr:row>4</xdr:row>
      <xdr:rowOff>0</xdr:rowOff>
    </xdr:from>
    <xdr:to>
      <xdr:col>2</xdr:col>
      <xdr:colOff>476250</xdr:colOff>
      <xdr:row>5</xdr:row>
      <xdr:rowOff>19050</xdr:rowOff>
    </xdr:to>
    <xdr:sp macro="" textlink="">
      <xdr:nvSpPr>
        <xdr:cNvPr id="3" name="วงรี 2"/>
        <xdr:cNvSpPr/>
      </xdr:nvSpPr>
      <xdr:spPr>
        <a:xfrm>
          <a:off x="1657350" y="723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200025</xdr:colOff>
      <xdr:row>4</xdr:row>
      <xdr:rowOff>9525</xdr:rowOff>
    </xdr:from>
    <xdr:to>
      <xdr:col>1</xdr:col>
      <xdr:colOff>390525</xdr:colOff>
      <xdr:row>5</xdr:row>
      <xdr:rowOff>28575</xdr:rowOff>
    </xdr:to>
    <xdr:sp macro="" textlink="">
      <xdr:nvSpPr>
        <xdr:cNvPr id="4" name="วงรี 3"/>
        <xdr:cNvSpPr/>
      </xdr:nvSpPr>
      <xdr:spPr>
        <a:xfrm>
          <a:off x="885825" y="7334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590550</xdr:colOff>
      <xdr:row>4</xdr:row>
      <xdr:rowOff>0</xdr:rowOff>
    </xdr:from>
    <xdr:to>
      <xdr:col>2</xdr:col>
      <xdr:colOff>123825</xdr:colOff>
      <xdr:row>5</xdr:row>
      <xdr:rowOff>19050</xdr:rowOff>
    </xdr:to>
    <xdr:sp macro="" textlink="">
      <xdr:nvSpPr>
        <xdr:cNvPr id="5" name="สี่เหลี่ยมผืนผ้า 4"/>
        <xdr:cNvSpPr/>
      </xdr:nvSpPr>
      <xdr:spPr>
        <a:xfrm>
          <a:off x="1276350" y="723900"/>
          <a:ext cx="219075" cy="200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313531</xdr:colOff>
      <xdr:row>7</xdr:row>
      <xdr:rowOff>10319</xdr:rowOff>
    </xdr:from>
    <xdr:to>
      <xdr:col>5</xdr:col>
      <xdr:colOff>315119</xdr:colOff>
      <xdr:row>7</xdr:row>
      <xdr:rowOff>162719</xdr:rowOff>
    </xdr:to>
    <xdr:cxnSp macro="">
      <xdr:nvCxnSpPr>
        <xdr:cNvPr id="12" name="ตัวเชื่อมต่อตรง 11"/>
        <xdr:cNvCxnSpPr/>
      </xdr:nvCxnSpPr>
      <xdr:spPr>
        <a:xfrm rot="5400000" flipH="1" flipV="1">
          <a:off x="3667125" y="1352550"/>
          <a:ext cx="1524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314324</xdr:colOff>
      <xdr:row>2</xdr:row>
      <xdr:rowOff>19051</xdr:rowOff>
    </xdr:from>
    <xdr:to>
      <xdr:col>6</xdr:col>
      <xdr:colOff>400049</xdr:colOff>
      <xdr:row>7</xdr:row>
      <xdr:rowOff>9526</xdr:rowOff>
    </xdr:to>
    <xdr:cxnSp macro="">
      <xdr:nvCxnSpPr>
        <xdr:cNvPr id="16" name="ตัวเชื่อมต่อตรง 15"/>
        <xdr:cNvCxnSpPr/>
      </xdr:nvCxnSpPr>
      <xdr:spPr>
        <a:xfrm rot="5400000" flipH="1" flipV="1">
          <a:off x="3681412" y="442913"/>
          <a:ext cx="895350" cy="771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400050</xdr:colOff>
      <xdr:row>2</xdr:row>
      <xdr:rowOff>19050</xdr:rowOff>
    </xdr:from>
    <xdr:to>
      <xdr:col>6</xdr:col>
      <xdr:colOff>581025</xdr:colOff>
      <xdr:row>2</xdr:row>
      <xdr:rowOff>20638</xdr:rowOff>
    </xdr:to>
    <xdr:cxnSp macro="">
      <xdr:nvCxnSpPr>
        <xdr:cNvPr id="20" name="ตัวเชื่อมต่อตรง 19"/>
        <xdr:cNvCxnSpPr/>
      </xdr:nvCxnSpPr>
      <xdr:spPr>
        <a:xfrm>
          <a:off x="4514850" y="381000"/>
          <a:ext cx="1809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571499</xdr:colOff>
      <xdr:row>2</xdr:row>
      <xdr:rowOff>9531</xdr:rowOff>
    </xdr:from>
    <xdr:to>
      <xdr:col>7</xdr:col>
      <xdr:colOff>561974</xdr:colOff>
      <xdr:row>7</xdr:row>
      <xdr:rowOff>6</xdr:rowOff>
    </xdr:to>
    <xdr:cxnSp macro="">
      <xdr:nvCxnSpPr>
        <xdr:cNvPr id="22" name="ตัวเชื่อมต่อตรง 21"/>
        <xdr:cNvCxnSpPr/>
      </xdr:nvCxnSpPr>
      <xdr:spPr>
        <a:xfrm rot="16200000" flipH="1">
          <a:off x="4576762" y="481018"/>
          <a:ext cx="895350" cy="676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7</xdr:row>
      <xdr:rowOff>152400</xdr:rowOff>
    </xdr:from>
    <xdr:to>
      <xdr:col>7</xdr:col>
      <xdr:colOff>561975</xdr:colOff>
      <xdr:row>7</xdr:row>
      <xdr:rowOff>161925</xdr:rowOff>
    </xdr:to>
    <xdr:cxnSp macro="">
      <xdr:nvCxnSpPr>
        <xdr:cNvPr id="27" name="ตัวเชื่อมต่อตรง 26"/>
        <xdr:cNvCxnSpPr/>
      </xdr:nvCxnSpPr>
      <xdr:spPr>
        <a:xfrm>
          <a:off x="3733800" y="1419225"/>
          <a:ext cx="16287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552450</xdr:colOff>
      <xdr:row>6</xdr:row>
      <xdr:rowOff>161926</xdr:rowOff>
    </xdr:from>
    <xdr:to>
      <xdr:col>7</xdr:col>
      <xdr:colOff>561975</xdr:colOff>
      <xdr:row>7</xdr:row>
      <xdr:rowOff>161926</xdr:rowOff>
    </xdr:to>
    <xdr:cxnSp macro="">
      <xdr:nvCxnSpPr>
        <xdr:cNvPr id="31" name="ตัวเชื่อมต่อตรง 30"/>
        <xdr:cNvCxnSpPr/>
      </xdr:nvCxnSpPr>
      <xdr:spPr>
        <a:xfrm rot="5400000" flipH="1" flipV="1">
          <a:off x="5267325" y="1333501"/>
          <a:ext cx="1809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3</xdr:row>
      <xdr:rowOff>9525</xdr:rowOff>
    </xdr:from>
    <xdr:to>
      <xdr:col>6</xdr:col>
      <xdr:colOff>581025</xdr:colOff>
      <xdr:row>4</xdr:row>
      <xdr:rowOff>28575</xdr:rowOff>
    </xdr:to>
    <xdr:sp macro="" textlink="">
      <xdr:nvSpPr>
        <xdr:cNvPr id="32" name="วงรี 31"/>
        <xdr:cNvSpPr/>
      </xdr:nvSpPr>
      <xdr:spPr>
        <a:xfrm>
          <a:off x="4505325" y="5524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561975</xdr:colOff>
      <xdr:row>6</xdr:row>
      <xdr:rowOff>47625</xdr:rowOff>
    </xdr:from>
    <xdr:to>
      <xdr:col>6</xdr:col>
      <xdr:colOff>66675</xdr:colOff>
      <xdr:row>7</xdr:row>
      <xdr:rowOff>66675</xdr:rowOff>
    </xdr:to>
    <xdr:sp macro="" textlink="">
      <xdr:nvSpPr>
        <xdr:cNvPr id="33" name="วงรี 32"/>
        <xdr:cNvSpPr/>
      </xdr:nvSpPr>
      <xdr:spPr>
        <a:xfrm>
          <a:off x="3990975" y="11334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114300</xdr:colOff>
      <xdr:row>6</xdr:row>
      <xdr:rowOff>57150</xdr:rowOff>
    </xdr:from>
    <xdr:to>
      <xdr:col>7</xdr:col>
      <xdr:colOff>304800</xdr:colOff>
      <xdr:row>7</xdr:row>
      <xdr:rowOff>76200</xdr:rowOff>
    </xdr:to>
    <xdr:sp macro="" textlink="">
      <xdr:nvSpPr>
        <xdr:cNvPr id="34" name="วงรี 33"/>
        <xdr:cNvSpPr/>
      </xdr:nvSpPr>
      <xdr:spPr>
        <a:xfrm>
          <a:off x="4914900" y="11430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628650</xdr:colOff>
      <xdr:row>2</xdr:row>
      <xdr:rowOff>19050</xdr:rowOff>
    </xdr:from>
    <xdr:to>
      <xdr:col>11</xdr:col>
      <xdr:colOff>133350</xdr:colOff>
      <xdr:row>3</xdr:row>
      <xdr:rowOff>38100</xdr:rowOff>
    </xdr:to>
    <xdr:sp macro="" textlink="">
      <xdr:nvSpPr>
        <xdr:cNvPr id="43" name="วงรี 42"/>
        <xdr:cNvSpPr/>
      </xdr:nvSpPr>
      <xdr:spPr>
        <a:xfrm>
          <a:off x="7486650" y="3810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647700</xdr:colOff>
      <xdr:row>6</xdr:row>
      <xdr:rowOff>38100</xdr:rowOff>
    </xdr:from>
    <xdr:to>
      <xdr:col>11</xdr:col>
      <xdr:colOff>152400</xdr:colOff>
      <xdr:row>7</xdr:row>
      <xdr:rowOff>57150</xdr:rowOff>
    </xdr:to>
    <xdr:sp macro="" textlink="">
      <xdr:nvSpPr>
        <xdr:cNvPr id="44" name="วงรี 43"/>
        <xdr:cNvSpPr/>
      </xdr:nvSpPr>
      <xdr:spPr>
        <a:xfrm>
          <a:off x="7505700" y="11239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209550</xdr:colOff>
      <xdr:row>4</xdr:row>
      <xdr:rowOff>38100</xdr:rowOff>
    </xdr:from>
    <xdr:to>
      <xdr:col>10</xdr:col>
      <xdr:colOff>428625</xdr:colOff>
      <xdr:row>5</xdr:row>
      <xdr:rowOff>57150</xdr:rowOff>
    </xdr:to>
    <xdr:sp macro="" textlink="">
      <xdr:nvSpPr>
        <xdr:cNvPr id="45" name="สี่เหลี่ยมผืนผ้า 44"/>
        <xdr:cNvSpPr/>
      </xdr:nvSpPr>
      <xdr:spPr>
        <a:xfrm>
          <a:off x="7067550" y="762000"/>
          <a:ext cx="219075" cy="200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657225</xdr:colOff>
      <xdr:row>11</xdr:row>
      <xdr:rowOff>95250</xdr:rowOff>
    </xdr:from>
    <xdr:to>
      <xdr:col>3</xdr:col>
      <xdr:colOff>66675</xdr:colOff>
      <xdr:row>18</xdr:row>
      <xdr:rowOff>85725</xdr:rowOff>
    </xdr:to>
    <xdr:sp macro="" textlink="">
      <xdr:nvSpPr>
        <xdr:cNvPr id="46" name="สี่เหลี่ยมผืนผ้า 45"/>
        <xdr:cNvSpPr/>
      </xdr:nvSpPr>
      <xdr:spPr>
        <a:xfrm>
          <a:off x="657225" y="2085975"/>
          <a:ext cx="1466850" cy="12573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142875</xdr:colOff>
      <xdr:row>12</xdr:row>
      <xdr:rowOff>38100</xdr:rowOff>
    </xdr:from>
    <xdr:to>
      <xdr:col>1</xdr:col>
      <xdr:colOff>333375</xdr:colOff>
      <xdr:row>13</xdr:row>
      <xdr:rowOff>57150</xdr:rowOff>
    </xdr:to>
    <xdr:sp macro="" textlink="">
      <xdr:nvSpPr>
        <xdr:cNvPr id="47" name="วงรี 46"/>
        <xdr:cNvSpPr/>
      </xdr:nvSpPr>
      <xdr:spPr>
        <a:xfrm>
          <a:off x="828675" y="22098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142875</xdr:colOff>
      <xdr:row>16</xdr:row>
      <xdr:rowOff>152400</xdr:rowOff>
    </xdr:from>
    <xdr:to>
      <xdr:col>1</xdr:col>
      <xdr:colOff>333375</xdr:colOff>
      <xdr:row>17</xdr:row>
      <xdr:rowOff>171450</xdr:rowOff>
    </xdr:to>
    <xdr:sp macro="" textlink="">
      <xdr:nvSpPr>
        <xdr:cNvPr id="49" name="วงรี 48"/>
        <xdr:cNvSpPr/>
      </xdr:nvSpPr>
      <xdr:spPr>
        <a:xfrm>
          <a:off x="828675" y="30480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457200</xdr:colOff>
      <xdr:row>16</xdr:row>
      <xdr:rowOff>152400</xdr:rowOff>
    </xdr:from>
    <xdr:to>
      <xdr:col>2</xdr:col>
      <xdr:colOff>647700</xdr:colOff>
      <xdr:row>17</xdr:row>
      <xdr:rowOff>171450</xdr:rowOff>
    </xdr:to>
    <xdr:sp macro="" textlink="">
      <xdr:nvSpPr>
        <xdr:cNvPr id="50" name="วงรี 49"/>
        <xdr:cNvSpPr/>
      </xdr:nvSpPr>
      <xdr:spPr>
        <a:xfrm>
          <a:off x="1828800" y="30480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438150</xdr:colOff>
      <xdr:row>12</xdr:row>
      <xdr:rowOff>66675</xdr:rowOff>
    </xdr:from>
    <xdr:to>
      <xdr:col>2</xdr:col>
      <xdr:colOff>628650</xdr:colOff>
      <xdr:row>13</xdr:row>
      <xdr:rowOff>85725</xdr:rowOff>
    </xdr:to>
    <xdr:sp macro="" textlink="">
      <xdr:nvSpPr>
        <xdr:cNvPr id="51" name="วงรี 50"/>
        <xdr:cNvSpPr/>
      </xdr:nvSpPr>
      <xdr:spPr>
        <a:xfrm>
          <a:off x="1809750" y="22383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638175</xdr:colOff>
      <xdr:row>14</xdr:row>
      <xdr:rowOff>104775</xdr:rowOff>
    </xdr:from>
    <xdr:to>
      <xdr:col>2</xdr:col>
      <xdr:colOff>171450</xdr:colOff>
      <xdr:row>15</xdr:row>
      <xdr:rowOff>123825</xdr:rowOff>
    </xdr:to>
    <xdr:sp macro="" textlink="">
      <xdr:nvSpPr>
        <xdr:cNvPr id="52" name="สี่เหลี่ยมผืนผ้า 51"/>
        <xdr:cNvSpPr/>
      </xdr:nvSpPr>
      <xdr:spPr>
        <a:xfrm>
          <a:off x="1323975" y="2638425"/>
          <a:ext cx="219075" cy="200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647700</xdr:colOff>
      <xdr:row>14</xdr:row>
      <xdr:rowOff>104775</xdr:rowOff>
    </xdr:from>
    <xdr:to>
      <xdr:col>2</xdr:col>
      <xdr:colOff>161925</xdr:colOff>
      <xdr:row>15</xdr:row>
      <xdr:rowOff>133350</xdr:rowOff>
    </xdr:to>
    <xdr:sp macro="" textlink="">
      <xdr:nvSpPr>
        <xdr:cNvPr id="54" name="วงรี 53"/>
        <xdr:cNvSpPr/>
      </xdr:nvSpPr>
      <xdr:spPr>
        <a:xfrm>
          <a:off x="1333500" y="2638425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133350</xdr:colOff>
      <xdr:row>11</xdr:row>
      <xdr:rowOff>57150</xdr:rowOff>
    </xdr:from>
    <xdr:to>
      <xdr:col>8</xdr:col>
      <xdr:colOff>219075</xdr:colOff>
      <xdr:row>18</xdr:row>
      <xdr:rowOff>104775</xdr:rowOff>
    </xdr:to>
    <xdr:sp macro="" textlink="">
      <xdr:nvSpPr>
        <xdr:cNvPr id="55" name="สี่เหลี่ยมผืนผ้า 54"/>
        <xdr:cNvSpPr/>
      </xdr:nvSpPr>
      <xdr:spPr>
        <a:xfrm>
          <a:off x="3562350" y="2047875"/>
          <a:ext cx="2143125" cy="1314450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333375</xdr:colOff>
      <xdr:row>12</xdr:row>
      <xdr:rowOff>57150</xdr:rowOff>
    </xdr:from>
    <xdr:to>
      <xdr:col>5</xdr:col>
      <xdr:colOff>523875</xdr:colOff>
      <xdr:row>13</xdr:row>
      <xdr:rowOff>76200</xdr:rowOff>
    </xdr:to>
    <xdr:sp macro="" textlink="">
      <xdr:nvSpPr>
        <xdr:cNvPr id="56" name="วงรี 55"/>
        <xdr:cNvSpPr/>
      </xdr:nvSpPr>
      <xdr:spPr>
        <a:xfrm>
          <a:off x="3762375" y="22288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333375</xdr:colOff>
      <xdr:row>16</xdr:row>
      <xdr:rowOff>114300</xdr:rowOff>
    </xdr:from>
    <xdr:to>
      <xdr:col>5</xdr:col>
      <xdr:colOff>523875</xdr:colOff>
      <xdr:row>17</xdr:row>
      <xdr:rowOff>133350</xdr:rowOff>
    </xdr:to>
    <xdr:sp macro="" textlink="">
      <xdr:nvSpPr>
        <xdr:cNvPr id="57" name="วงรี 56"/>
        <xdr:cNvSpPr/>
      </xdr:nvSpPr>
      <xdr:spPr>
        <a:xfrm>
          <a:off x="3762375" y="3009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457200</xdr:colOff>
      <xdr:row>16</xdr:row>
      <xdr:rowOff>114300</xdr:rowOff>
    </xdr:from>
    <xdr:to>
      <xdr:col>6</xdr:col>
      <xdr:colOff>647700</xdr:colOff>
      <xdr:row>17</xdr:row>
      <xdr:rowOff>133350</xdr:rowOff>
    </xdr:to>
    <xdr:sp macro="" textlink="">
      <xdr:nvSpPr>
        <xdr:cNvPr id="58" name="วงรี 57"/>
        <xdr:cNvSpPr/>
      </xdr:nvSpPr>
      <xdr:spPr>
        <a:xfrm>
          <a:off x="4572000" y="3009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428625</xdr:colOff>
      <xdr:row>12</xdr:row>
      <xdr:rowOff>28575</xdr:rowOff>
    </xdr:from>
    <xdr:to>
      <xdr:col>6</xdr:col>
      <xdr:colOff>619125</xdr:colOff>
      <xdr:row>13</xdr:row>
      <xdr:rowOff>47625</xdr:rowOff>
    </xdr:to>
    <xdr:sp macro="" textlink="">
      <xdr:nvSpPr>
        <xdr:cNvPr id="59" name="วงรี 58"/>
        <xdr:cNvSpPr/>
      </xdr:nvSpPr>
      <xdr:spPr>
        <a:xfrm>
          <a:off x="4543425" y="22002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476250</xdr:colOff>
      <xdr:row>16</xdr:row>
      <xdr:rowOff>114300</xdr:rowOff>
    </xdr:from>
    <xdr:to>
      <xdr:col>7</xdr:col>
      <xdr:colOff>666750</xdr:colOff>
      <xdr:row>17</xdr:row>
      <xdr:rowOff>133350</xdr:rowOff>
    </xdr:to>
    <xdr:sp macro="" textlink="">
      <xdr:nvSpPr>
        <xdr:cNvPr id="60" name="วงรี 59"/>
        <xdr:cNvSpPr/>
      </xdr:nvSpPr>
      <xdr:spPr>
        <a:xfrm>
          <a:off x="5276850" y="3009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476250</xdr:colOff>
      <xdr:row>12</xdr:row>
      <xdr:rowOff>38100</xdr:rowOff>
    </xdr:from>
    <xdr:to>
      <xdr:col>7</xdr:col>
      <xdr:colOff>666750</xdr:colOff>
      <xdr:row>13</xdr:row>
      <xdr:rowOff>57150</xdr:rowOff>
    </xdr:to>
    <xdr:sp macro="" textlink="">
      <xdr:nvSpPr>
        <xdr:cNvPr id="61" name="วงรี 60"/>
        <xdr:cNvSpPr/>
      </xdr:nvSpPr>
      <xdr:spPr>
        <a:xfrm>
          <a:off x="5276850" y="22098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438150</xdr:colOff>
      <xdr:row>14</xdr:row>
      <xdr:rowOff>66675</xdr:rowOff>
    </xdr:from>
    <xdr:to>
      <xdr:col>6</xdr:col>
      <xdr:colOff>657225</xdr:colOff>
      <xdr:row>15</xdr:row>
      <xdr:rowOff>85725</xdr:rowOff>
    </xdr:to>
    <xdr:sp macro="" textlink="">
      <xdr:nvSpPr>
        <xdr:cNvPr id="62" name="สี่เหลี่ยมผืนผ้า 61"/>
        <xdr:cNvSpPr/>
      </xdr:nvSpPr>
      <xdr:spPr>
        <a:xfrm>
          <a:off x="4552950" y="2600325"/>
          <a:ext cx="219075" cy="200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457200</xdr:colOff>
      <xdr:row>14</xdr:row>
      <xdr:rowOff>28575</xdr:rowOff>
    </xdr:from>
    <xdr:to>
      <xdr:col>12</xdr:col>
      <xdr:colOff>276225</xdr:colOff>
      <xdr:row>23</xdr:row>
      <xdr:rowOff>95250</xdr:rowOff>
    </xdr:to>
    <xdr:sp macro="" textlink="">
      <xdr:nvSpPr>
        <xdr:cNvPr id="63" name="รูปหกเหลี่ยม 62"/>
        <xdr:cNvSpPr/>
      </xdr:nvSpPr>
      <xdr:spPr>
        <a:xfrm>
          <a:off x="6629400" y="2562225"/>
          <a:ext cx="1876425" cy="1695450"/>
        </a:xfrm>
        <a:prstGeom prst="hexagon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381000</xdr:colOff>
      <xdr:row>5</xdr:row>
      <xdr:rowOff>66675</xdr:rowOff>
    </xdr:from>
    <xdr:to>
      <xdr:col>6</xdr:col>
      <xdr:colOff>600075</xdr:colOff>
      <xdr:row>6</xdr:row>
      <xdr:rowOff>85725</xdr:rowOff>
    </xdr:to>
    <xdr:sp macro="" textlink="">
      <xdr:nvSpPr>
        <xdr:cNvPr id="64" name="สี่เหลี่ยมผืนผ้า 63"/>
        <xdr:cNvSpPr/>
      </xdr:nvSpPr>
      <xdr:spPr>
        <a:xfrm>
          <a:off x="4495800" y="971550"/>
          <a:ext cx="219075" cy="200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285750</xdr:colOff>
      <xdr:row>15</xdr:row>
      <xdr:rowOff>28575</xdr:rowOff>
    </xdr:from>
    <xdr:to>
      <xdr:col>10</xdr:col>
      <xdr:colOff>476250</xdr:colOff>
      <xdr:row>16</xdr:row>
      <xdr:rowOff>47625</xdr:rowOff>
    </xdr:to>
    <xdr:sp macro="" textlink="">
      <xdr:nvSpPr>
        <xdr:cNvPr id="65" name="วงรี 64"/>
        <xdr:cNvSpPr/>
      </xdr:nvSpPr>
      <xdr:spPr>
        <a:xfrm>
          <a:off x="7143750" y="27432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295275</xdr:colOff>
      <xdr:row>21</xdr:row>
      <xdr:rowOff>95250</xdr:rowOff>
    </xdr:from>
    <xdr:to>
      <xdr:col>11</xdr:col>
      <xdr:colOff>485775</xdr:colOff>
      <xdr:row>22</xdr:row>
      <xdr:rowOff>114300</xdr:rowOff>
    </xdr:to>
    <xdr:sp macro="" textlink="">
      <xdr:nvSpPr>
        <xdr:cNvPr id="66" name="วงรี 65"/>
        <xdr:cNvSpPr/>
      </xdr:nvSpPr>
      <xdr:spPr>
        <a:xfrm>
          <a:off x="7839075" y="38957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276225</xdr:colOff>
      <xdr:row>21</xdr:row>
      <xdr:rowOff>76200</xdr:rowOff>
    </xdr:from>
    <xdr:to>
      <xdr:col>10</xdr:col>
      <xdr:colOff>466725</xdr:colOff>
      <xdr:row>22</xdr:row>
      <xdr:rowOff>95250</xdr:rowOff>
    </xdr:to>
    <xdr:sp macro="" textlink="">
      <xdr:nvSpPr>
        <xdr:cNvPr id="67" name="วงรี 66"/>
        <xdr:cNvSpPr/>
      </xdr:nvSpPr>
      <xdr:spPr>
        <a:xfrm>
          <a:off x="7134225" y="38766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647700</xdr:colOff>
      <xdr:row>18</xdr:row>
      <xdr:rowOff>47625</xdr:rowOff>
    </xdr:from>
    <xdr:to>
      <xdr:col>10</xdr:col>
      <xdr:colOff>152400</xdr:colOff>
      <xdr:row>19</xdr:row>
      <xdr:rowOff>66675</xdr:rowOff>
    </xdr:to>
    <xdr:sp macro="" textlink="">
      <xdr:nvSpPr>
        <xdr:cNvPr id="68" name="วงรี 67"/>
        <xdr:cNvSpPr/>
      </xdr:nvSpPr>
      <xdr:spPr>
        <a:xfrm>
          <a:off x="6819900" y="33051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561975</xdr:colOff>
      <xdr:row>18</xdr:row>
      <xdr:rowOff>57150</xdr:rowOff>
    </xdr:from>
    <xdr:to>
      <xdr:col>12</xdr:col>
      <xdr:colOff>66675</xdr:colOff>
      <xdr:row>19</xdr:row>
      <xdr:rowOff>76200</xdr:rowOff>
    </xdr:to>
    <xdr:sp macro="" textlink="">
      <xdr:nvSpPr>
        <xdr:cNvPr id="69" name="วงรี 68"/>
        <xdr:cNvSpPr/>
      </xdr:nvSpPr>
      <xdr:spPr>
        <a:xfrm>
          <a:off x="8105775" y="33147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285750</xdr:colOff>
      <xdr:row>15</xdr:row>
      <xdr:rowOff>0</xdr:rowOff>
    </xdr:from>
    <xdr:to>
      <xdr:col>11</xdr:col>
      <xdr:colOff>476250</xdr:colOff>
      <xdr:row>16</xdr:row>
      <xdr:rowOff>19050</xdr:rowOff>
    </xdr:to>
    <xdr:sp macro="" textlink="">
      <xdr:nvSpPr>
        <xdr:cNvPr id="70" name="วงรี 69"/>
        <xdr:cNvSpPr/>
      </xdr:nvSpPr>
      <xdr:spPr>
        <a:xfrm>
          <a:off x="7829550" y="27146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666750</xdr:colOff>
      <xdr:row>18</xdr:row>
      <xdr:rowOff>38100</xdr:rowOff>
    </xdr:from>
    <xdr:to>
      <xdr:col>11</xdr:col>
      <xdr:colOff>180975</xdr:colOff>
      <xdr:row>19</xdr:row>
      <xdr:rowOff>66675</xdr:rowOff>
    </xdr:to>
    <xdr:sp macro="" textlink="">
      <xdr:nvSpPr>
        <xdr:cNvPr id="72" name="วงรี 71"/>
        <xdr:cNvSpPr/>
      </xdr:nvSpPr>
      <xdr:spPr>
        <a:xfrm>
          <a:off x="7524750" y="3295650"/>
          <a:ext cx="200025" cy="2095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657225</xdr:colOff>
      <xdr:row>18</xdr:row>
      <xdr:rowOff>38100</xdr:rowOff>
    </xdr:from>
    <xdr:to>
      <xdr:col>11</xdr:col>
      <xdr:colOff>190500</xdr:colOff>
      <xdr:row>19</xdr:row>
      <xdr:rowOff>57150</xdr:rowOff>
    </xdr:to>
    <xdr:sp macro="" textlink="">
      <xdr:nvSpPr>
        <xdr:cNvPr id="73" name="สี่เหลี่ยมผืนผ้า 72"/>
        <xdr:cNvSpPr/>
      </xdr:nvSpPr>
      <xdr:spPr>
        <a:xfrm>
          <a:off x="7515225" y="3295650"/>
          <a:ext cx="219075" cy="200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19050</xdr:colOff>
      <xdr:row>22</xdr:row>
      <xdr:rowOff>152400</xdr:rowOff>
    </xdr:from>
    <xdr:to>
      <xdr:col>3</xdr:col>
      <xdr:colOff>228600</xdr:colOff>
      <xdr:row>30</xdr:row>
      <xdr:rowOff>38100</xdr:rowOff>
    </xdr:to>
    <xdr:sp macro="" textlink="">
      <xdr:nvSpPr>
        <xdr:cNvPr id="74" name="สี่เหลี่ยมผืนผ้า 73"/>
        <xdr:cNvSpPr/>
      </xdr:nvSpPr>
      <xdr:spPr>
        <a:xfrm>
          <a:off x="704850" y="4133850"/>
          <a:ext cx="1581150" cy="1333500"/>
        </a:xfrm>
        <a:prstGeom prst="rect">
          <a:avLst/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171450</xdr:colOff>
      <xdr:row>23</xdr:row>
      <xdr:rowOff>114300</xdr:rowOff>
    </xdr:from>
    <xdr:to>
      <xdr:col>1</xdr:col>
      <xdr:colOff>361950</xdr:colOff>
      <xdr:row>24</xdr:row>
      <xdr:rowOff>133350</xdr:rowOff>
    </xdr:to>
    <xdr:sp macro="" textlink="">
      <xdr:nvSpPr>
        <xdr:cNvPr id="75" name="วงรี 74"/>
        <xdr:cNvSpPr/>
      </xdr:nvSpPr>
      <xdr:spPr>
        <a:xfrm>
          <a:off x="857250" y="42767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381000</xdr:colOff>
      <xdr:row>26</xdr:row>
      <xdr:rowOff>19050</xdr:rowOff>
    </xdr:from>
    <xdr:to>
      <xdr:col>1</xdr:col>
      <xdr:colOff>571500</xdr:colOff>
      <xdr:row>27</xdr:row>
      <xdr:rowOff>38100</xdr:rowOff>
    </xdr:to>
    <xdr:sp macro="" textlink="">
      <xdr:nvSpPr>
        <xdr:cNvPr id="76" name="วงรี 75"/>
        <xdr:cNvSpPr/>
      </xdr:nvSpPr>
      <xdr:spPr>
        <a:xfrm>
          <a:off x="1066800" y="47244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381000</xdr:colOff>
      <xdr:row>26</xdr:row>
      <xdr:rowOff>9525</xdr:rowOff>
    </xdr:from>
    <xdr:to>
      <xdr:col>2</xdr:col>
      <xdr:colOff>571500</xdr:colOff>
      <xdr:row>27</xdr:row>
      <xdr:rowOff>28575</xdr:rowOff>
    </xdr:to>
    <xdr:sp macro="" textlink="">
      <xdr:nvSpPr>
        <xdr:cNvPr id="77" name="วงรี 76"/>
        <xdr:cNvSpPr/>
      </xdr:nvSpPr>
      <xdr:spPr>
        <a:xfrm>
          <a:off x="1752600" y="4714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28575</xdr:colOff>
      <xdr:row>23</xdr:row>
      <xdr:rowOff>133350</xdr:rowOff>
    </xdr:from>
    <xdr:to>
      <xdr:col>2</xdr:col>
      <xdr:colOff>219075</xdr:colOff>
      <xdr:row>24</xdr:row>
      <xdr:rowOff>152400</xdr:rowOff>
    </xdr:to>
    <xdr:sp macro="" textlink="">
      <xdr:nvSpPr>
        <xdr:cNvPr id="78" name="วงรี 77"/>
        <xdr:cNvSpPr/>
      </xdr:nvSpPr>
      <xdr:spPr>
        <a:xfrm>
          <a:off x="1400175" y="42957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9525</xdr:colOff>
      <xdr:row>28</xdr:row>
      <xdr:rowOff>85725</xdr:rowOff>
    </xdr:from>
    <xdr:to>
      <xdr:col>2</xdr:col>
      <xdr:colOff>200025</xdr:colOff>
      <xdr:row>29</xdr:row>
      <xdr:rowOff>104775</xdr:rowOff>
    </xdr:to>
    <xdr:sp macro="" textlink="">
      <xdr:nvSpPr>
        <xdr:cNvPr id="79" name="วงรี 78"/>
        <xdr:cNvSpPr/>
      </xdr:nvSpPr>
      <xdr:spPr>
        <a:xfrm>
          <a:off x="1381125" y="51530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123825</xdr:colOff>
      <xdr:row>28</xdr:row>
      <xdr:rowOff>85725</xdr:rowOff>
    </xdr:from>
    <xdr:to>
      <xdr:col>1</xdr:col>
      <xdr:colOff>314325</xdr:colOff>
      <xdr:row>29</xdr:row>
      <xdr:rowOff>104775</xdr:rowOff>
    </xdr:to>
    <xdr:sp macro="" textlink="">
      <xdr:nvSpPr>
        <xdr:cNvPr id="80" name="วงรี 79"/>
        <xdr:cNvSpPr/>
      </xdr:nvSpPr>
      <xdr:spPr>
        <a:xfrm>
          <a:off x="809625" y="51530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552450</xdr:colOff>
      <xdr:row>28</xdr:row>
      <xdr:rowOff>85725</xdr:rowOff>
    </xdr:from>
    <xdr:to>
      <xdr:col>3</xdr:col>
      <xdr:colOff>57150</xdr:colOff>
      <xdr:row>29</xdr:row>
      <xdr:rowOff>104775</xdr:rowOff>
    </xdr:to>
    <xdr:sp macro="" textlink="">
      <xdr:nvSpPr>
        <xdr:cNvPr id="81" name="วงรี 80"/>
        <xdr:cNvSpPr/>
      </xdr:nvSpPr>
      <xdr:spPr>
        <a:xfrm>
          <a:off x="1924050" y="51530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523875</xdr:colOff>
      <xdr:row>23</xdr:row>
      <xdr:rowOff>142875</xdr:rowOff>
    </xdr:from>
    <xdr:to>
      <xdr:col>3</xdr:col>
      <xdr:colOff>28575</xdr:colOff>
      <xdr:row>24</xdr:row>
      <xdr:rowOff>161925</xdr:rowOff>
    </xdr:to>
    <xdr:sp macro="" textlink="">
      <xdr:nvSpPr>
        <xdr:cNvPr id="82" name="วงรี 81"/>
        <xdr:cNvSpPr/>
      </xdr:nvSpPr>
      <xdr:spPr>
        <a:xfrm>
          <a:off x="1895475" y="43053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28575</xdr:colOff>
      <xdr:row>26</xdr:row>
      <xdr:rowOff>28576</xdr:rowOff>
    </xdr:from>
    <xdr:to>
      <xdr:col>2</xdr:col>
      <xdr:colOff>228600</xdr:colOff>
      <xdr:row>27</xdr:row>
      <xdr:rowOff>38101</xdr:rowOff>
    </xdr:to>
    <xdr:sp macro="" textlink="">
      <xdr:nvSpPr>
        <xdr:cNvPr id="83" name="สี่เหลี่ยมผืนผ้า 82"/>
        <xdr:cNvSpPr/>
      </xdr:nvSpPr>
      <xdr:spPr>
        <a:xfrm>
          <a:off x="1400175" y="4733926"/>
          <a:ext cx="200025" cy="190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447675</xdr:colOff>
      <xdr:row>23</xdr:row>
      <xdr:rowOff>28575</xdr:rowOff>
    </xdr:from>
    <xdr:to>
      <xdr:col>7</xdr:col>
      <xdr:colOff>657225</xdr:colOff>
      <xdr:row>30</xdr:row>
      <xdr:rowOff>95250</xdr:rowOff>
    </xdr:to>
    <xdr:sp macro="" textlink="">
      <xdr:nvSpPr>
        <xdr:cNvPr id="84" name="สี่เหลี่ยมผืนผ้า 83"/>
        <xdr:cNvSpPr/>
      </xdr:nvSpPr>
      <xdr:spPr>
        <a:xfrm>
          <a:off x="3876675" y="4191000"/>
          <a:ext cx="1581150" cy="1333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600075</xdr:colOff>
      <xdr:row>23</xdr:row>
      <xdr:rowOff>161925</xdr:rowOff>
    </xdr:from>
    <xdr:to>
      <xdr:col>6</xdr:col>
      <xdr:colOff>104775</xdr:colOff>
      <xdr:row>25</xdr:row>
      <xdr:rowOff>0</xdr:rowOff>
    </xdr:to>
    <xdr:sp macro="" textlink="">
      <xdr:nvSpPr>
        <xdr:cNvPr id="85" name="วงรี 84"/>
        <xdr:cNvSpPr/>
      </xdr:nvSpPr>
      <xdr:spPr>
        <a:xfrm>
          <a:off x="4029075" y="43243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600075</xdr:colOff>
      <xdr:row>26</xdr:row>
      <xdr:rowOff>66675</xdr:rowOff>
    </xdr:from>
    <xdr:to>
      <xdr:col>6</xdr:col>
      <xdr:colOff>104775</xdr:colOff>
      <xdr:row>27</xdr:row>
      <xdr:rowOff>85725</xdr:rowOff>
    </xdr:to>
    <xdr:sp macro="" textlink="">
      <xdr:nvSpPr>
        <xdr:cNvPr id="86" name="วงรี 85"/>
        <xdr:cNvSpPr/>
      </xdr:nvSpPr>
      <xdr:spPr>
        <a:xfrm>
          <a:off x="4029075" y="47720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438150</xdr:colOff>
      <xdr:row>26</xdr:row>
      <xdr:rowOff>57150</xdr:rowOff>
    </xdr:from>
    <xdr:to>
      <xdr:col>6</xdr:col>
      <xdr:colOff>628650</xdr:colOff>
      <xdr:row>27</xdr:row>
      <xdr:rowOff>76200</xdr:rowOff>
    </xdr:to>
    <xdr:sp macro="" textlink="">
      <xdr:nvSpPr>
        <xdr:cNvPr id="87" name="วงรี 86"/>
        <xdr:cNvSpPr/>
      </xdr:nvSpPr>
      <xdr:spPr>
        <a:xfrm>
          <a:off x="4552950" y="47625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447675</xdr:colOff>
      <xdr:row>23</xdr:row>
      <xdr:rowOff>171450</xdr:rowOff>
    </xdr:from>
    <xdr:to>
      <xdr:col>6</xdr:col>
      <xdr:colOff>638175</xdr:colOff>
      <xdr:row>25</xdr:row>
      <xdr:rowOff>9525</xdr:rowOff>
    </xdr:to>
    <xdr:sp macro="" textlink="">
      <xdr:nvSpPr>
        <xdr:cNvPr id="88" name="วงรี 87"/>
        <xdr:cNvSpPr/>
      </xdr:nvSpPr>
      <xdr:spPr>
        <a:xfrm>
          <a:off x="4562475" y="4333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285750</xdr:colOff>
      <xdr:row>26</xdr:row>
      <xdr:rowOff>66675</xdr:rowOff>
    </xdr:from>
    <xdr:to>
      <xdr:col>7</xdr:col>
      <xdr:colOff>476250</xdr:colOff>
      <xdr:row>27</xdr:row>
      <xdr:rowOff>85725</xdr:rowOff>
    </xdr:to>
    <xdr:sp macro="" textlink="">
      <xdr:nvSpPr>
        <xdr:cNvPr id="89" name="วงรี 88"/>
        <xdr:cNvSpPr/>
      </xdr:nvSpPr>
      <xdr:spPr>
        <a:xfrm>
          <a:off x="5086350" y="47720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609600</xdr:colOff>
      <xdr:row>28</xdr:row>
      <xdr:rowOff>104775</xdr:rowOff>
    </xdr:from>
    <xdr:to>
      <xdr:col>6</xdr:col>
      <xdr:colOff>114300</xdr:colOff>
      <xdr:row>29</xdr:row>
      <xdr:rowOff>123825</xdr:rowOff>
    </xdr:to>
    <xdr:sp macro="" textlink="">
      <xdr:nvSpPr>
        <xdr:cNvPr id="90" name="วงรี 89"/>
        <xdr:cNvSpPr/>
      </xdr:nvSpPr>
      <xdr:spPr>
        <a:xfrm>
          <a:off x="4038600" y="51720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447675</xdr:colOff>
      <xdr:row>28</xdr:row>
      <xdr:rowOff>104775</xdr:rowOff>
    </xdr:from>
    <xdr:to>
      <xdr:col>6</xdr:col>
      <xdr:colOff>638175</xdr:colOff>
      <xdr:row>29</xdr:row>
      <xdr:rowOff>123825</xdr:rowOff>
    </xdr:to>
    <xdr:sp macro="" textlink="">
      <xdr:nvSpPr>
        <xdr:cNvPr id="91" name="วงรี 90"/>
        <xdr:cNvSpPr/>
      </xdr:nvSpPr>
      <xdr:spPr>
        <a:xfrm>
          <a:off x="4562475" y="51720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295275</xdr:colOff>
      <xdr:row>28</xdr:row>
      <xdr:rowOff>104775</xdr:rowOff>
    </xdr:from>
    <xdr:to>
      <xdr:col>7</xdr:col>
      <xdr:colOff>485775</xdr:colOff>
      <xdr:row>29</xdr:row>
      <xdr:rowOff>123825</xdr:rowOff>
    </xdr:to>
    <xdr:sp macro="" textlink="">
      <xdr:nvSpPr>
        <xdr:cNvPr id="92" name="วงรี 91"/>
        <xdr:cNvSpPr/>
      </xdr:nvSpPr>
      <xdr:spPr>
        <a:xfrm>
          <a:off x="5095875" y="51720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304800</xdr:colOff>
      <xdr:row>23</xdr:row>
      <xdr:rowOff>161925</xdr:rowOff>
    </xdr:from>
    <xdr:to>
      <xdr:col>7</xdr:col>
      <xdr:colOff>495300</xdr:colOff>
      <xdr:row>25</xdr:row>
      <xdr:rowOff>0</xdr:rowOff>
    </xdr:to>
    <xdr:sp macro="" textlink="">
      <xdr:nvSpPr>
        <xdr:cNvPr id="93" name="วงรี 92"/>
        <xdr:cNvSpPr/>
      </xdr:nvSpPr>
      <xdr:spPr>
        <a:xfrm>
          <a:off x="5105400" y="43243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428625</xdr:colOff>
      <xdr:row>26</xdr:row>
      <xdr:rowOff>57150</xdr:rowOff>
    </xdr:from>
    <xdr:to>
      <xdr:col>6</xdr:col>
      <xdr:colOff>647700</xdr:colOff>
      <xdr:row>27</xdr:row>
      <xdr:rowOff>76200</xdr:rowOff>
    </xdr:to>
    <xdr:sp macro="" textlink="">
      <xdr:nvSpPr>
        <xdr:cNvPr id="94" name="สี่เหลี่ยมผืนผ้า 93"/>
        <xdr:cNvSpPr/>
      </xdr:nvSpPr>
      <xdr:spPr>
        <a:xfrm>
          <a:off x="4543425" y="4762500"/>
          <a:ext cx="219075" cy="200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390525</xdr:colOff>
      <xdr:row>31</xdr:row>
      <xdr:rowOff>133350</xdr:rowOff>
    </xdr:from>
    <xdr:to>
      <xdr:col>13</xdr:col>
      <xdr:colOff>438150</xdr:colOff>
      <xdr:row>47</xdr:row>
      <xdr:rowOff>66675</xdr:rowOff>
    </xdr:to>
    <xdr:sp macro="" textlink="">
      <xdr:nvSpPr>
        <xdr:cNvPr id="96" name="สี่เหลี่ยมผืนผ้า 95"/>
        <xdr:cNvSpPr/>
      </xdr:nvSpPr>
      <xdr:spPr>
        <a:xfrm>
          <a:off x="6562725" y="5743575"/>
          <a:ext cx="2790825" cy="2828925"/>
        </a:xfrm>
        <a:prstGeom prst="rect">
          <a:avLst/>
        </a:prstGeom>
        <a:solidFill>
          <a:schemeClr val="bg2">
            <a:lumMod val="1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114300</xdr:colOff>
      <xdr:row>40</xdr:row>
      <xdr:rowOff>133350</xdr:rowOff>
    </xdr:from>
    <xdr:to>
      <xdr:col>4</xdr:col>
      <xdr:colOff>314325</xdr:colOff>
      <xdr:row>41</xdr:row>
      <xdr:rowOff>142875</xdr:rowOff>
    </xdr:to>
    <xdr:sp macro="" textlink="">
      <xdr:nvSpPr>
        <xdr:cNvPr id="109" name="สี่เหลี่ยมผืนผ้า 108"/>
        <xdr:cNvSpPr/>
      </xdr:nvSpPr>
      <xdr:spPr>
        <a:xfrm>
          <a:off x="2857500" y="7372350"/>
          <a:ext cx="200025" cy="190500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142875</xdr:colOff>
      <xdr:row>35</xdr:row>
      <xdr:rowOff>161925</xdr:rowOff>
    </xdr:from>
    <xdr:to>
      <xdr:col>6</xdr:col>
      <xdr:colOff>190500</xdr:colOff>
      <xdr:row>46</xdr:row>
      <xdr:rowOff>19050</xdr:rowOff>
    </xdr:to>
    <xdr:sp macro="" textlink="">
      <xdr:nvSpPr>
        <xdr:cNvPr id="110" name="สี่เหลี่ยมผืนผ้า 109"/>
        <xdr:cNvSpPr/>
      </xdr:nvSpPr>
      <xdr:spPr>
        <a:xfrm>
          <a:off x="1514475" y="6496050"/>
          <a:ext cx="2790825" cy="1847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371475</xdr:colOff>
      <xdr:row>37</xdr:row>
      <xdr:rowOff>47625</xdr:rowOff>
    </xdr:from>
    <xdr:to>
      <xdr:col>2</xdr:col>
      <xdr:colOff>561975</xdr:colOff>
      <xdr:row>38</xdr:row>
      <xdr:rowOff>66675</xdr:rowOff>
    </xdr:to>
    <xdr:sp macro="" textlink="">
      <xdr:nvSpPr>
        <xdr:cNvPr id="111" name="วงรี 110"/>
        <xdr:cNvSpPr/>
      </xdr:nvSpPr>
      <xdr:spPr>
        <a:xfrm>
          <a:off x="1743075" y="67437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400050</xdr:colOff>
      <xdr:row>37</xdr:row>
      <xdr:rowOff>47625</xdr:rowOff>
    </xdr:from>
    <xdr:to>
      <xdr:col>3</xdr:col>
      <xdr:colOff>590550</xdr:colOff>
      <xdr:row>38</xdr:row>
      <xdr:rowOff>66675</xdr:rowOff>
    </xdr:to>
    <xdr:sp macro="" textlink="">
      <xdr:nvSpPr>
        <xdr:cNvPr id="112" name="วงรี 111"/>
        <xdr:cNvSpPr/>
      </xdr:nvSpPr>
      <xdr:spPr>
        <a:xfrm>
          <a:off x="2457450" y="67437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409575</xdr:colOff>
      <xdr:row>40</xdr:row>
      <xdr:rowOff>114300</xdr:rowOff>
    </xdr:from>
    <xdr:to>
      <xdr:col>3</xdr:col>
      <xdr:colOff>600075</xdr:colOff>
      <xdr:row>41</xdr:row>
      <xdr:rowOff>133350</xdr:rowOff>
    </xdr:to>
    <xdr:sp macro="" textlink="">
      <xdr:nvSpPr>
        <xdr:cNvPr id="113" name="วงรี 112"/>
        <xdr:cNvSpPr/>
      </xdr:nvSpPr>
      <xdr:spPr>
        <a:xfrm>
          <a:off x="2466975" y="73533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485775</xdr:colOff>
      <xdr:row>40</xdr:row>
      <xdr:rowOff>123825</xdr:rowOff>
    </xdr:from>
    <xdr:to>
      <xdr:col>4</xdr:col>
      <xdr:colOff>676275</xdr:colOff>
      <xdr:row>41</xdr:row>
      <xdr:rowOff>142875</xdr:rowOff>
    </xdr:to>
    <xdr:sp macro="" textlink="">
      <xdr:nvSpPr>
        <xdr:cNvPr id="114" name="วงรี 113"/>
        <xdr:cNvSpPr/>
      </xdr:nvSpPr>
      <xdr:spPr>
        <a:xfrm>
          <a:off x="3228975" y="73628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390525</xdr:colOff>
      <xdr:row>40</xdr:row>
      <xdr:rowOff>95250</xdr:rowOff>
    </xdr:from>
    <xdr:to>
      <xdr:col>2</xdr:col>
      <xdr:colOff>581025</xdr:colOff>
      <xdr:row>41</xdr:row>
      <xdr:rowOff>114300</xdr:rowOff>
    </xdr:to>
    <xdr:sp macro="" textlink="">
      <xdr:nvSpPr>
        <xdr:cNvPr id="115" name="วงรี 114"/>
        <xdr:cNvSpPr/>
      </xdr:nvSpPr>
      <xdr:spPr>
        <a:xfrm>
          <a:off x="1762125" y="73342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2</xdr:col>
      <xdr:colOff>419100</xdr:colOff>
      <xdr:row>44</xdr:row>
      <xdr:rowOff>28575</xdr:rowOff>
    </xdr:from>
    <xdr:to>
      <xdr:col>2</xdr:col>
      <xdr:colOff>609600</xdr:colOff>
      <xdr:row>45</xdr:row>
      <xdr:rowOff>47625</xdr:rowOff>
    </xdr:to>
    <xdr:sp macro="" textlink="">
      <xdr:nvSpPr>
        <xdr:cNvPr id="116" name="วงรี 115"/>
        <xdr:cNvSpPr/>
      </xdr:nvSpPr>
      <xdr:spPr>
        <a:xfrm>
          <a:off x="1790700" y="79914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</xdr:col>
      <xdr:colOff>419100</xdr:colOff>
      <xdr:row>44</xdr:row>
      <xdr:rowOff>0</xdr:rowOff>
    </xdr:from>
    <xdr:to>
      <xdr:col>3</xdr:col>
      <xdr:colOff>609600</xdr:colOff>
      <xdr:row>45</xdr:row>
      <xdr:rowOff>19050</xdr:rowOff>
    </xdr:to>
    <xdr:sp macro="" textlink="">
      <xdr:nvSpPr>
        <xdr:cNvPr id="117" name="วงรี 116"/>
        <xdr:cNvSpPr/>
      </xdr:nvSpPr>
      <xdr:spPr>
        <a:xfrm>
          <a:off x="2476500" y="7962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485775</xdr:colOff>
      <xdr:row>37</xdr:row>
      <xdr:rowOff>57150</xdr:rowOff>
    </xdr:from>
    <xdr:to>
      <xdr:col>4</xdr:col>
      <xdr:colOff>676275</xdr:colOff>
      <xdr:row>38</xdr:row>
      <xdr:rowOff>76200</xdr:rowOff>
    </xdr:to>
    <xdr:sp macro="" textlink="">
      <xdr:nvSpPr>
        <xdr:cNvPr id="118" name="วงรี 117"/>
        <xdr:cNvSpPr/>
      </xdr:nvSpPr>
      <xdr:spPr>
        <a:xfrm>
          <a:off x="3228975" y="67532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428625</xdr:colOff>
      <xdr:row>44</xdr:row>
      <xdr:rowOff>0</xdr:rowOff>
    </xdr:from>
    <xdr:to>
      <xdr:col>5</xdr:col>
      <xdr:colOff>619125</xdr:colOff>
      <xdr:row>45</xdr:row>
      <xdr:rowOff>19050</xdr:rowOff>
    </xdr:to>
    <xdr:sp macro="" textlink="">
      <xdr:nvSpPr>
        <xdr:cNvPr id="119" name="วงรี 118"/>
        <xdr:cNvSpPr/>
      </xdr:nvSpPr>
      <xdr:spPr>
        <a:xfrm>
          <a:off x="3857625" y="79629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409575</xdr:colOff>
      <xdr:row>40</xdr:row>
      <xdr:rowOff>142875</xdr:rowOff>
    </xdr:from>
    <xdr:to>
      <xdr:col>5</xdr:col>
      <xdr:colOff>600075</xdr:colOff>
      <xdr:row>41</xdr:row>
      <xdr:rowOff>161925</xdr:rowOff>
    </xdr:to>
    <xdr:sp macro="" textlink="">
      <xdr:nvSpPr>
        <xdr:cNvPr id="120" name="วงรี 119"/>
        <xdr:cNvSpPr/>
      </xdr:nvSpPr>
      <xdr:spPr>
        <a:xfrm>
          <a:off x="3838575" y="7381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419100</xdr:colOff>
      <xdr:row>37</xdr:row>
      <xdr:rowOff>47625</xdr:rowOff>
    </xdr:from>
    <xdr:to>
      <xdr:col>5</xdr:col>
      <xdr:colOff>609600</xdr:colOff>
      <xdr:row>38</xdr:row>
      <xdr:rowOff>66675</xdr:rowOff>
    </xdr:to>
    <xdr:sp macro="" textlink="">
      <xdr:nvSpPr>
        <xdr:cNvPr id="121" name="วงรี 120"/>
        <xdr:cNvSpPr/>
      </xdr:nvSpPr>
      <xdr:spPr>
        <a:xfrm>
          <a:off x="3848100" y="674370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190500</xdr:colOff>
      <xdr:row>34</xdr:row>
      <xdr:rowOff>19050</xdr:rowOff>
    </xdr:to>
    <xdr:sp macro="" textlink="">
      <xdr:nvSpPr>
        <xdr:cNvPr id="122" name="วงรี 121"/>
        <xdr:cNvSpPr/>
      </xdr:nvSpPr>
      <xdr:spPr>
        <a:xfrm>
          <a:off x="6858000" y="59721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0</xdr:colOff>
      <xdr:row>33</xdr:row>
      <xdr:rowOff>0</xdr:rowOff>
    </xdr:from>
    <xdr:to>
      <xdr:col>12</xdr:col>
      <xdr:colOff>190500</xdr:colOff>
      <xdr:row>34</xdr:row>
      <xdr:rowOff>19050</xdr:rowOff>
    </xdr:to>
    <xdr:sp macro="" textlink="">
      <xdr:nvSpPr>
        <xdr:cNvPr id="123" name="วงรี 122"/>
        <xdr:cNvSpPr/>
      </xdr:nvSpPr>
      <xdr:spPr>
        <a:xfrm>
          <a:off x="8229600" y="59721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0</xdr:colOff>
      <xdr:row>40</xdr:row>
      <xdr:rowOff>142875</xdr:rowOff>
    </xdr:from>
    <xdr:to>
      <xdr:col>11</xdr:col>
      <xdr:colOff>190500</xdr:colOff>
      <xdr:row>41</xdr:row>
      <xdr:rowOff>161925</xdr:rowOff>
    </xdr:to>
    <xdr:sp macro="" textlink="">
      <xdr:nvSpPr>
        <xdr:cNvPr id="124" name="วงรี 123"/>
        <xdr:cNvSpPr/>
      </xdr:nvSpPr>
      <xdr:spPr>
        <a:xfrm>
          <a:off x="7543800" y="7381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666750</xdr:colOff>
      <xdr:row>45</xdr:row>
      <xdr:rowOff>0</xdr:rowOff>
    </xdr:from>
    <xdr:to>
      <xdr:col>12</xdr:col>
      <xdr:colOff>171450</xdr:colOff>
      <xdr:row>46</xdr:row>
      <xdr:rowOff>19050</xdr:rowOff>
    </xdr:to>
    <xdr:sp macro="" textlink="">
      <xdr:nvSpPr>
        <xdr:cNvPr id="125" name="วงรี 124"/>
        <xdr:cNvSpPr/>
      </xdr:nvSpPr>
      <xdr:spPr>
        <a:xfrm>
          <a:off x="8210550" y="8143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666750</xdr:colOff>
      <xdr:row>37</xdr:row>
      <xdr:rowOff>19050</xdr:rowOff>
    </xdr:from>
    <xdr:to>
      <xdr:col>13</xdr:col>
      <xdr:colOff>171450</xdr:colOff>
      <xdr:row>38</xdr:row>
      <xdr:rowOff>38100</xdr:rowOff>
    </xdr:to>
    <xdr:sp macro="" textlink="">
      <xdr:nvSpPr>
        <xdr:cNvPr id="126" name="วงรี 125"/>
        <xdr:cNvSpPr/>
      </xdr:nvSpPr>
      <xdr:spPr>
        <a:xfrm>
          <a:off x="8896350" y="67151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190500</xdr:colOff>
      <xdr:row>38</xdr:row>
      <xdr:rowOff>19050</xdr:rowOff>
    </xdr:to>
    <xdr:sp macro="" textlink="">
      <xdr:nvSpPr>
        <xdr:cNvPr id="127" name="วงรี 126"/>
        <xdr:cNvSpPr/>
      </xdr:nvSpPr>
      <xdr:spPr>
        <a:xfrm>
          <a:off x="8229600" y="66960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190500</xdr:colOff>
      <xdr:row>38</xdr:row>
      <xdr:rowOff>19050</xdr:rowOff>
    </xdr:to>
    <xdr:sp macro="" textlink="">
      <xdr:nvSpPr>
        <xdr:cNvPr id="128" name="วงรี 127"/>
        <xdr:cNvSpPr/>
      </xdr:nvSpPr>
      <xdr:spPr>
        <a:xfrm>
          <a:off x="6858000" y="66960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40</xdr:row>
      <xdr:rowOff>171450</xdr:rowOff>
    </xdr:from>
    <xdr:to>
      <xdr:col>10</xdr:col>
      <xdr:colOff>190500</xdr:colOff>
      <xdr:row>42</xdr:row>
      <xdr:rowOff>9525</xdr:rowOff>
    </xdr:to>
    <xdr:sp macro="" textlink="">
      <xdr:nvSpPr>
        <xdr:cNvPr id="129" name="วงรี 128"/>
        <xdr:cNvSpPr/>
      </xdr:nvSpPr>
      <xdr:spPr>
        <a:xfrm>
          <a:off x="6858000" y="74104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676275</xdr:colOff>
      <xdr:row>37</xdr:row>
      <xdr:rowOff>28575</xdr:rowOff>
    </xdr:from>
    <xdr:to>
      <xdr:col>11</xdr:col>
      <xdr:colOff>180975</xdr:colOff>
      <xdr:row>38</xdr:row>
      <xdr:rowOff>47625</xdr:rowOff>
    </xdr:to>
    <xdr:sp macro="" textlink="">
      <xdr:nvSpPr>
        <xdr:cNvPr id="130" name="วงรี 129"/>
        <xdr:cNvSpPr/>
      </xdr:nvSpPr>
      <xdr:spPr>
        <a:xfrm>
          <a:off x="7534275" y="67246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666750</xdr:colOff>
      <xdr:row>40</xdr:row>
      <xdr:rowOff>171450</xdr:rowOff>
    </xdr:from>
    <xdr:to>
      <xdr:col>13</xdr:col>
      <xdr:colOff>171450</xdr:colOff>
      <xdr:row>42</xdr:row>
      <xdr:rowOff>9525</xdr:rowOff>
    </xdr:to>
    <xdr:sp macro="" textlink="">
      <xdr:nvSpPr>
        <xdr:cNvPr id="131" name="วงรี 130"/>
        <xdr:cNvSpPr/>
      </xdr:nvSpPr>
      <xdr:spPr>
        <a:xfrm>
          <a:off x="8896350" y="74104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45</xdr:row>
      <xdr:rowOff>0</xdr:rowOff>
    </xdr:from>
    <xdr:to>
      <xdr:col>10</xdr:col>
      <xdr:colOff>190500</xdr:colOff>
      <xdr:row>46</xdr:row>
      <xdr:rowOff>19050</xdr:rowOff>
    </xdr:to>
    <xdr:sp macro="" textlink="">
      <xdr:nvSpPr>
        <xdr:cNvPr id="132" name="วงรี 131"/>
        <xdr:cNvSpPr/>
      </xdr:nvSpPr>
      <xdr:spPr>
        <a:xfrm>
          <a:off x="6858000" y="8143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0</xdr:colOff>
      <xdr:row>45</xdr:row>
      <xdr:rowOff>0</xdr:rowOff>
    </xdr:from>
    <xdr:to>
      <xdr:col>13</xdr:col>
      <xdr:colOff>190500</xdr:colOff>
      <xdr:row>46</xdr:row>
      <xdr:rowOff>19050</xdr:rowOff>
    </xdr:to>
    <xdr:sp macro="" textlink="">
      <xdr:nvSpPr>
        <xdr:cNvPr id="133" name="วงรี 132"/>
        <xdr:cNvSpPr/>
      </xdr:nvSpPr>
      <xdr:spPr>
        <a:xfrm>
          <a:off x="8915400" y="8143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13</xdr:col>
      <xdr:colOff>0</xdr:colOff>
      <xdr:row>33</xdr:row>
      <xdr:rowOff>0</xdr:rowOff>
    </xdr:from>
    <xdr:to>
      <xdr:col>13</xdr:col>
      <xdr:colOff>190500</xdr:colOff>
      <xdr:row>34</xdr:row>
      <xdr:rowOff>19050</xdr:rowOff>
    </xdr:to>
    <xdr:sp macro="" textlink="">
      <xdr:nvSpPr>
        <xdr:cNvPr id="134" name="วงรี 133"/>
        <xdr:cNvSpPr/>
      </xdr:nvSpPr>
      <xdr:spPr>
        <a:xfrm>
          <a:off x="8915400" y="59721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0</xdr:colOff>
      <xdr:row>33</xdr:row>
      <xdr:rowOff>0</xdr:rowOff>
    </xdr:from>
    <xdr:to>
      <xdr:col>11</xdr:col>
      <xdr:colOff>190500</xdr:colOff>
      <xdr:row>34</xdr:row>
      <xdr:rowOff>19050</xdr:rowOff>
    </xdr:to>
    <xdr:sp macro="" textlink="">
      <xdr:nvSpPr>
        <xdr:cNvPr id="135" name="วงรี 134"/>
        <xdr:cNvSpPr/>
      </xdr:nvSpPr>
      <xdr:spPr>
        <a:xfrm>
          <a:off x="7543800" y="59721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19050</xdr:colOff>
      <xdr:row>45</xdr:row>
      <xdr:rowOff>0</xdr:rowOff>
    </xdr:from>
    <xdr:to>
      <xdr:col>11</xdr:col>
      <xdr:colOff>209550</xdr:colOff>
      <xdr:row>46</xdr:row>
      <xdr:rowOff>19050</xdr:rowOff>
    </xdr:to>
    <xdr:sp macro="" textlink="">
      <xdr:nvSpPr>
        <xdr:cNvPr id="136" name="วงรี 135"/>
        <xdr:cNvSpPr/>
      </xdr:nvSpPr>
      <xdr:spPr>
        <a:xfrm>
          <a:off x="7562850" y="81438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9525</xdr:colOff>
      <xdr:row>40</xdr:row>
      <xdr:rowOff>161925</xdr:rowOff>
    </xdr:from>
    <xdr:to>
      <xdr:col>12</xdr:col>
      <xdr:colOff>200025</xdr:colOff>
      <xdr:row>42</xdr:row>
      <xdr:rowOff>0</xdr:rowOff>
    </xdr:to>
    <xdr:sp macro="" textlink="">
      <xdr:nvSpPr>
        <xdr:cNvPr id="137" name="วงรี 136"/>
        <xdr:cNvSpPr/>
      </xdr:nvSpPr>
      <xdr:spPr>
        <a:xfrm>
          <a:off x="8239125" y="74009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342900</xdr:colOff>
      <xdr:row>39</xdr:row>
      <xdr:rowOff>28575</xdr:rowOff>
    </xdr:from>
    <xdr:to>
      <xdr:col>11</xdr:col>
      <xdr:colOff>542925</xdr:colOff>
      <xdr:row>40</xdr:row>
      <xdr:rowOff>38100</xdr:rowOff>
    </xdr:to>
    <xdr:sp macro="" textlink="">
      <xdr:nvSpPr>
        <xdr:cNvPr id="138" name="สี่เหลี่ยมผืนผ้า 137"/>
        <xdr:cNvSpPr/>
      </xdr:nvSpPr>
      <xdr:spPr>
        <a:xfrm>
          <a:off x="7886700" y="7086600"/>
          <a:ext cx="200025" cy="1905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4</xdr:col>
      <xdr:colOff>485775</xdr:colOff>
      <xdr:row>43</xdr:row>
      <xdr:rowOff>152400</xdr:rowOff>
    </xdr:from>
    <xdr:to>
      <xdr:col>4</xdr:col>
      <xdr:colOff>676275</xdr:colOff>
      <xdr:row>44</xdr:row>
      <xdr:rowOff>171450</xdr:rowOff>
    </xdr:to>
    <xdr:sp macro="" textlink="">
      <xdr:nvSpPr>
        <xdr:cNvPr id="139" name="วงรี 138"/>
        <xdr:cNvSpPr/>
      </xdr:nvSpPr>
      <xdr:spPr>
        <a:xfrm>
          <a:off x="3228975" y="79343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1</xdr:row>
      <xdr:rowOff>57150</xdr:rowOff>
    </xdr:from>
    <xdr:to>
      <xdr:col>12</xdr:col>
      <xdr:colOff>95250</xdr:colOff>
      <xdr:row>8</xdr:row>
      <xdr:rowOff>47625</xdr:rowOff>
    </xdr:to>
    <xdr:sp macro="" textlink="">
      <xdr:nvSpPr>
        <xdr:cNvPr id="140" name="สี่เหลี่ยมผืนผ้า 139"/>
        <xdr:cNvSpPr/>
      </xdr:nvSpPr>
      <xdr:spPr>
        <a:xfrm>
          <a:off x="6858000" y="238125"/>
          <a:ext cx="1466850" cy="12573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solidFill>
              <a:srgbClr val="00B050"/>
            </a:solidFill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10</xdr:col>
      <xdr:colOff>200025</xdr:colOff>
      <xdr:row>2</xdr:row>
      <xdr:rowOff>38100</xdr:rowOff>
    </xdr:from>
    <xdr:to>
      <xdr:col>10</xdr:col>
      <xdr:colOff>390525</xdr:colOff>
      <xdr:row>3</xdr:row>
      <xdr:rowOff>57150</xdr:rowOff>
    </xdr:to>
    <xdr:sp macro="" textlink="">
      <xdr:nvSpPr>
        <xdr:cNvPr id="141" name="วงรี 140"/>
        <xdr:cNvSpPr/>
      </xdr:nvSpPr>
      <xdr:spPr>
        <a:xfrm>
          <a:off x="7058025" y="400050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200025</xdr:colOff>
      <xdr:row>6</xdr:row>
      <xdr:rowOff>47625</xdr:rowOff>
    </xdr:from>
    <xdr:to>
      <xdr:col>10</xdr:col>
      <xdr:colOff>390525</xdr:colOff>
      <xdr:row>7</xdr:row>
      <xdr:rowOff>66675</xdr:rowOff>
    </xdr:to>
    <xdr:sp macro="" textlink="">
      <xdr:nvSpPr>
        <xdr:cNvPr id="142" name="วงรี 141"/>
        <xdr:cNvSpPr/>
      </xdr:nvSpPr>
      <xdr:spPr>
        <a:xfrm>
          <a:off x="7058025" y="11334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361950</xdr:colOff>
      <xdr:row>2</xdr:row>
      <xdr:rowOff>28575</xdr:rowOff>
    </xdr:from>
    <xdr:to>
      <xdr:col>11</xdr:col>
      <xdr:colOff>552450</xdr:colOff>
      <xdr:row>3</xdr:row>
      <xdr:rowOff>47625</xdr:rowOff>
    </xdr:to>
    <xdr:sp macro="" textlink="">
      <xdr:nvSpPr>
        <xdr:cNvPr id="143" name="วงรี 142"/>
        <xdr:cNvSpPr/>
      </xdr:nvSpPr>
      <xdr:spPr>
        <a:xfrm>
          <a:off x="7905750" y="39052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381000</xdr:colOff>
      <xdr:row>6</xdr:row>
      <xdr:rowOff>47625</xdr:rowOff>
    </xdr:from>
    <xdr:to>
      <xdr:col>11</xdr:col>
      <xdr:colOff>571500</xdr:colOff>
      <xdr:row>7</xdr:row>
      <xdr:rowOff>66675</xdr:rowOff>
    </xdr:to>
    <xdr:sp macro="" textlink="">
      <xdr:nvSpPr>
        <xdr:cNvPr id="144" name="วงรี 143"/>
        <xdr:cNvSpPr/>
      </xdr:nvSpPr>
      <xdr:spPr>
        <a:xfrm>
          <a:off x="7924800" y="1133475"/>
          <a:ext cx="190500" cy="2000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628650</xdr:colOff>
      <xdr:row>4</xdr:row>
      <xdr:rowOff>47625</xdr:rowOff>
    </xdr:from>
    <xdr:to>
      <xdr:col>11</xdr:col>
      <xdr:colOff>161925</xdr:colOff>
      <xdr:row>5</xdr:row>
      <xdr:rowOff>66675</xdr:rowOff>
    </xdr:to>
    <xdr:sp macro="" textlink="">
      <xdr:nvSpPr>
        <xdr:cNvPr id="145" name="สี่เหลี่ยมผืนผ้า 144"/>
        <xdr:cNvSpPr/>
      </xdr:nvSpPr>
      <xdr:spPr>
        <a:xfrm>
          <a:off x="7486650" y="771525"/>
          <a:ext cx="219075" cy="200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19"/>
  <sheetViews>
    <sheetView showGridLines="0" tabSelected="1" workbookViewId="0">
      <selection activeCell="AF13" sqref="AF13"/>
    </sheetView>
  </sheetViews>
  <sheetFormatPr defaultRowHeight="14.25"/>
  <cols>
    <col min="1" max="1" width="38.75" customWidth="1"/>
    <col min="2" max="2" width="5.5" customWidth="1"/>
    <col min="3" max="3" width="3.5" customWidth="1"/>
    <col min="4" max="4" width="10.25" customWidth="1"/>
    <col min="5" max="5" width="7.375" customWidth="1"/>
    <col min="6" max="6" width="21.875" customWidth="1"/>
    <col min="7" max="7" width="10.125" customWidth="1"/>
    <col min="8" max="8" width="7.625" customWidth="1"/>
    <col min="16" max="16" width="14.5" customWidth="1"/>
    <col min="17" max="17" width="8" customWidth="1"/>
    <col min="18" max="18" width="14.625" customWidth="1"/>
    <col min="22" max="22" width="10.125" bestFit="1" customWidth="1"/>
    <col min="27" max="27" width="9.75" customWidth="1"/>
    <col min="28" max="28" width="11" customWidth="1"/>
    <col min="30" max="30" width="14.125" customWidth="1"/>
    <col min="31" max="31" width="9.75" customWidth="1"/>
    <col min="32" max="32" width="13.375" customWidth="1"/>
    <col min="33" max="33" width="10" customWidth="1"/>
  </cols>
  <sheetData>
    <row r="1" spans="1:48" ht="18">
      <c r="A1" s="196" t="s">
        <v>137</v>
      </c>
      <c r="B1" s="197"/>
      <c r="C1" s="197"/>
      <c r="D1" s="197"/>
      <c r="E1" s="197"/>
      <c r="F1" s="197"/>
      <c r="G1" s="197"/>
      <c r="H1" s="197"/>
      <c r="I1" s="198"/>
    </row>
    <row r="2" spans="1:48" ht="13.5" customHeight="1">
      <c r="K2" s="188" t="s">
        <v>199</v>
      </c>
      <c r="Q2" s="148">
        <v>1</v>
      </c>
      <c r="R2" s="149" t="s">
        <v>13</v>
      </c>
      <c r="S2" s="150">
        <f>0.45*$H$7</f>
        <v>76.5</v>
      </c>
      <c r="V2" s="138">
        <v>1</v>
      </c>
      <c r="W2" s="139" t="s">
        <v>72</v>
      </c>
      <c r="X2" s="140">
        <v>1600</v>
      </c>
    </row>
    <row r="3" spans="1:48">
      <c r="A3" s="68" t="s">
        <v>54</v>
      </c>
      <c r="F3" s="9" t="s">
        <v>81</v>
      </c>
      <c r="H3" s="171" t="s">
        <v>82</v>
      </c>
      <c r="Q3" s="112">
        <v>2</v>
      </c>
      <c r="R3" s="151" t="s">
        <v>14</v>
      </c>
      <c r="S3" s="152">
        <f>0.375*$H$7</f>
        <v>63.75</v>
      </c>
      <c r="V3" s="111">
        <v>2</v>
      </c>
      <c r="W3" s="141" t="s">
        <v>71</v>
      </c>
      <c r="X3" s="142">
        <v>1900</v>
      </c>
      <c r="AE3" s="119"/>
      <c r="AF3" s="33"/>
    </row>
    <row r="4" spans="1:48">
      <c r="A4" s="56" t="s">
        <v>52</v>
      </c>
      <c r="F4" s="60" t="s">
        <v>125</v>
      </c>
      <c r="G4" s="171" t="s">
        <v>24</v>
      </c>
      <c r="K4" s="180" t="s">
        <v>152</v>
      </c>
      <c r="L4" s="181"/>
      <c r="M4" s="182"/>
      <c r="N4" s="183"/>
      <c r="O4" s="184"/>
      <c r="V4" s="112"/>
      <c r="W4" s="143"/>
      <c r="X4" s="144"/>
      <c r="AF4" s="33"/>
    </row>
    <row r="5" spans="1:48" ht="12" customHeight="1">
      <c r="K5" s="185"/>
      <c r="L5" s="186"/>
      <c r="M5" s="186"/>
      <c r="N5" s="186"/>
      <c r="O5" s="187"/>
      <c r="Q5" s="5">
        <v>2</v>
      </c>
      <c r="R5" s="6">
        <f>+VLOOKUP(Q5,Q2:S3,3)</f>
        <v>63.75</v>
      </c>
      <c r="S5" s="7"/>
      <c r="AE5" s="119"/>
      <c r="AF5" s="33"/>
    </row>
    <row r="6" spans="1:48">
      <c r="A6" s="133" t="s">
        <v>122</v>
      </c>
      <c r="B6" s="89" t="s">
        <v>15</v>
      </c>
      <c r="C6" s="171" t="s">
        <v>12</v>
      </c>
      <c r="D6" s="65">
        <v>2400</v>
      </c>
      <c r="E6" s="171" t="s">
        <v>8</v>
      </c>
      <c r="F6" s="57" t="s">
        <v>119</v>
      </c>
      <c r="G6" s="1"/>
      <c r="H6" s="67">
        <v>10</v>
      </c>
      <c r="I6" t="s">
        <v>2</v>
      </c>
      <c r="K6" s="185" t="s">
        <v>185</v>
      </c>
      <c r="L6" s="188"/>
      <c r="M6" s="188"/>
      <c r="N6" s="188"/>
      <c r="O6" s="187"/>
      <c r="V6" s="53">
        <v>1</v>
      </c>
      <c r="W6" s="53">
        <f>+VLOOKUP(V6,V2:X3,3)</f>
        <v>1600</v>
      </c>
      <c r="X6" s="18"/>
      <c r="AC6" s="33"/>
      <c r="AM6" t="s">
        <v>182</v>
      </c>
      <c r="AR6" t="s">
        <v>183</v>
      </c>
    </row>
    <row r="7" spans="1:48">
      <c r="A7" s="134"/>
      <c r="B7" s="46" t="s">
        <v>25</v>
      </c>
      <c r="C7" s="171" t="s">
        <v>12</v>
      </c>
      <c r="D7" s="121">
        <f>+$R$5</f>
        <v>63.75</v>
      </c>
      <c r="E7" s="171" t="s">
        <v>8</v>
      </c>
      <c r="F7" s="58" t="s">
        <v>120</v>
      </c>
      <c r="G7" s="19"/>
      <c r="H7" s="67">
        <v>170</v>
      </c>
      <c r="I7" t="s">
        <v>8</v>
      </c>
      <c r="K7" s="185" t="s">
        <v>186</v>
      </c>
      <c r="L7" s="186"/>
      <c r="M7" s="186"/>
      <c r="N7" s="186"/>
      <c r="O7" s="187"/>
      <c r="Z7" s="53" t="s">
        <v>117</v>
      </c>
      <c r="AA7" s="53" t="s">
        <v>102</v>
      </c>
      <c r="AB7" s="53" t="s">
        <v>104</v>
      </c>
      <c r="AC7" s="53" t="s">
        <v>106</v>
      </c>
      <c r="AD7" s="53" t="s">
        <v>128</v>
      </c>
      <c r="AE7" s="88" t="s">
        <v>112</v>
      </c>
      <c r="AF7" s="53" t="s">
        <v>129</v>
      </c>
      <c r="AG7" s="88" t="s">
        <v>113</v>
      </c>
      <c r="AH7" s="88" t="s">
        <v>170</v>
      </c>
      <c r="AI7" s="88" t="s">
        <v>171</v>
      </c>
      <c r="AJ7" s="88" t="s">
        <v>172</v>
      </c>
      <c r="AK7" s="88" t="s">
        <v>173</v>
      </c>
      <c r="AL7" s="88" t="s">
        <v>174</v>
      </c>
      <c r="AM7" s="88" t="s">
        <v>180</v>
      </c>
      <c r="AN7" s="88" t="s">
        <v>181</v>
      </c>
      <c r="AO7" s="88" t="s">
        <v>179</v>
      </c>
      <c r="AP7" s="88" t="s">
        <v>178</v>
      </c>
      <c r="AQ7" s="169" t="s">
        <v>177</v>
      </c>
      <c r="AR7" s="88" t="s">
        <v>180</v>
      </c>
      <c r="AS7" s="88" t="s">
        <v>181</v>
      </c>
      <c r="AT7" s="88" t="s">
        <v>179</v>
      </c>
      <c r="AU7" s="88" t="s">
        <v>178</v>
      </c>
      <c r="AV7" s="172" t="s">
        <v>177</v>
      </c>
    </row>
    <row r="8" spans="1:48" ht="17.25">
      <c r="A8" s="133" t="s">
        <v>122</v>
      </c>
      <c r="B8" s="89" t="s">
        <v>110</v>
      </c>
      <c r="C8" s="171" t="s">
        <v>12</v>
      </c>
      <c r="D8" s="65">
        <v>17.5</v>
      </c>
      <c r="E8" s="171" t="s">
        <v>134</v>
      </c>
      <c r="F8" s="2" t="s">
        <v>4</v>
      </c>
      <c r="G8" s="19"/>
      <c r="H8" s="50">
        <f>ROUNDUP(2040000/(15210*SQRT(H7)),0)</f>
        <v>11</v>
      </c>
      <c r="K8" s="185" t="s">
        <v>153</v>
      </c>
      <c r="L8" s="186"/>
      <c r="M8" s="186"/>
      <c r="N8" s="186"/>
      <c r="O8" s="187"/>
      <c r="Z8" s="111">
        <v>1</v>
      </c>
      <c r="AA8" s="11">
        <v>2</v>
      </c>
      <c r="AB8" s="12">
        <f t="shared" ref="AB8:AB17" si="0">+MAX(AH8,AI8,AJ8,AK8,AL8)</f>
        <v>10.0625</v>
      </c>
      <c r="AC8" s="12">
        <f>+(($D$8)/$AA$8)+(($D$9*0.5*$H$17)/(2*0.5*$H$17*0.5*$H$17))</f>
        <v>8.75</v>
      </c>
      <c r="AD8" s="11">
        <v>1</v>
      </c>
      <c r="AE8" s="110">
        <f>+AI8*(0.5*H17-0.5*O43)</f>
        <v>1.5093749999999999</v>
      </c>
      <c r="AF8" s="11">
        <v>0</v>
      </c>
      <c r="AG8" s="30">
        <v>0</v>
      </c>
      <c r="AH8" s="162">
        <f>+(($D$8+$D$16)/$AA$8)-(($D$9*(0.5*$H$17))/(2*POWER(0.5*$H$17,2)))</f>
        <v>10.0625</v>
      </c>
      <c r="AI8" s="163">
        <f>+(($D$8+$D$16)/$AA$8)+(($D$9*(0.5*$H$17))/(2*POWER(0.5*$H$17,2)))</f>
        <v>10.0625</v>
      </c>
      <c r="AJ8" s="12">
        <v>0</v>
      </c>
      <c r="AK8" s="12">
        <v>0</v>
      </c>
      <c r="AL8" s="12">
        <v>0</v>
      </c>
      <c r="AM8" s="22">
        <f>+IF(0.5*$H$17-0.5*$O$43&gt;$D$30/100,(0.5*$H$17-0.5*$O$43),-(0.5*$H$17-0.5*$O$43))*100</f>
        <v>-15</v>
      </c>
      <c r="AN8" s="18"/>
      <c r="AO8" s="22">
        <f>+IF($AM$8=0,$AI$8/2,IF($AM$8&gt;15,$AI$8,IF($AM$8=0,0.5*$AI$8,IF($AM$8&gt;ABS(-15),0,$AI$8*($AM$8+15)/30))))</f>
        <v>0</v>
      </c>
      <c r="AP8" s="18"/>
      <c r="AQ8" s="170">
        <f>+$AO$8</f>
        <v>0</v>
      </c>
      <c r="AR8" s="22">
        <f>+IF(0.5*$H$17-0.5*$O$43&gt;$D$30*0.01*0.5,(0.5*$H$17-0.5*$O$43),-(0.5*$H$17-0.5*$O$43))*100</f>
        <v>15</v>
      </c>
      <c r="AS8" s="18"/>
      <c r="AT8" s="22">
        <f>+IF($AR$8=0,$AI$8/2,IF($AR$8&gt;15,$AI$8,IF($AR$8=0,0.5*$AI$8,IF($AR$8&gt;ABS(-15),0,$AI$8*($AR$8+15)/30))))</f>
        <v>10.0625</v>
      </c>
      <c r="AU8" s="18"/>
      <c r="AV8" s="173">
        <f>+$AT$8</f>
        <v>10.0625</v>
      </c>
    </row>
    <row r="9" spans="1:48" ht="17.25">
      <c r="A9" s="133" t="s">
        <v>122</v>
      </c>
      <c r="B9" s="97" t="s">
        <v>111</v>
      </c>
      <c r="C9" s="171" t="s">
        <v>12</v>
      </c>
      <c r="D9" s="65">
        <v>0</v>
      </c>
      <c r="E9" s="171" t="s">
        <v>134</v>
      </c>
      <c r="F9" s="58" t="s">
        <v>121</v>
      </c>
      <c r="G9" s="19"/>
      <c r="H9" s="67">
        <v>1200</v>
      </c>
      <c r="I9" t="s">
        <v>8</v>
      </c>
      <c r="K9" s="185" t="s">
        <v>187</v>
      </c>
      <c r="L9" s="186"/>
      <c r="M9" s="186"/>
      <c r="N9" s="186"/>
      <c r="O9" s="187"/>
      <c r="Q9" s="193" t="s">
        <v>163</v>
      </c>
      <c r="R9" s="183"/>
      <c r="S9" s="183"/>
      <c r="T9" s="184"/>
      <c r="Z9" s="53">
        <v>2</v>
      </c>
      <c r="AA9" s="53">
        <v>3</v>
      </c>
      <c r="AB9" s="72">
        <f t="shared" si="0"/>
        <v>6.708333333333333</v>
      </c>
      <c r="AC9" s="72">
        <f>+(($D$8)/$AA$9)+(($D$9*0.5*$H$17)/(2*0.5*$H$17*0.5*$H$17))</f>
        <v>5.833333333333333</v>
      </c>
      <c r="AD9" s="53">
        <v>1</v>
      </c>
      <c r="AE9" s="167">
        <f>+(AJ9*(0.5*H17-0.5*O43))</f>
        <v>1.0062499999999999</v>
      </c>
      <c r="AF9" s="53">
        <v>1</v>
      </c>
      <c r="AG9" s="22">
        <f>+MAX((AH9+AJ9)*(H17/3-R43/2),AI9*((2*H17/3)-(0.5*R43)))</f>
        <v>1.5652777777777775</v>
      </c>
      <c r="AH9" s="72">
        <f>+(($D$8+$D$16)/$AA$9)-(($D$9*0.5*$H$17)/(2*0.5*$H$17*0.5*$H$17))</f>
        <v>6.708333333333333</v>
      </c>
      <c r="AI9" s="72">
        <f>+(($D$8+$D$16)/$AA$9)</f>
        <v>6.708333333333333</v>
      </c>
      <c r="AJ9" s="168">
        <f>+(($D$8+$D$16)/$AA$9)+(($D$9*0.5*$H$17)/(2*0.5*$H$17*0.5*$H$17))</f>
        <v>6.708333333333333</v>
      </c>
      <c r="AK9" s="72">
        <v>0</v>
      </c>
      <c r="AL9" s="72">
        <v>0</v>
      </c>
      <c r="AM9" s="22">
        <f>+IF(0.5*$H$17-0.5*$O$43&gt;$D$30/100,(0.5*$H$17-0.5*$O$43),-(0.5*$H$17-0.5*$O$43))*100</f>
        <v>-15</v>
      </c>
      <c r="AN9" s="18"/>
      <c r="AO9" s="22">
        <f>+IF($AM$9=0,$AJ$9/2,IF($AM$9&gt;15,$AJ$9,IF($AM$9=0,0.5*$AJ$9,IF($AM$9&gt;ABS(-15),0,$AJ$9*($AM$9+15)/30))))</f>
        <v>0</v>
      </c>
      <c r="AP9" s="18"/>
      <c r="AQ9" s="170">
        <f>+$AO$9</f>
        <v>0</v>
      </c>
      <c r="AR9" s="22">
        <f>+IF(0.5*$H$17-0.5*$O$43&gt;$D$30*0.01*0.5,(0.5*$H$17-0.5*$O$43),-(0.5*$H$17-0.5*$O$43))*100</f>
        <v>15</v>
      </c>
      <c r="AS9" s="18"/>
      <c r="AT9" s="22">
        <f>+IF($AR$9=0,$AJ$9/2,IF($AR$9&gt;15,$AJ$9,IF($AR$9=0,0.5*$AJ$9,IF($AR$9&gt;ABS(-15),0,$AJ$9*($AR$9+15)/30))))</f>
        <v>6.708333333333333</v>
      </c>
      <c r="AU9" s="18"/>
      <c r="AV9" s="173">
        <f>+$AT$9</f>
        <v>6.708333333333333</v>
      </c>
    </row>
    <row r="10" spans="1:48" ht="17.25">
      <c r="B10" s="46" t="s">
        <v>115</v>
      </c>
      <c r="C10" s="171" t="s">
        <v>12</v>
      </c>
      <c r="D10" s="108">
        <f>+VLOOKUP($AA$21,Z7:AG18,8)</f>
        <v>2.6833333333333336</v>
      </c>
      <c r="E10" s="171" t="s">
        <v>135</v>
      </c>
      <c r="F10" s="2" t="s">
        <v>5</v>
      </c>
      <c r="G10" s="19"/>
      <c r="H10" s="51">
        <f>1/(1+(H9/(H8*$D$7)))</f>
        <v>0.36883629191321504</v>
      </c>
      <c r="K10" s="185" t="s">
        <v>154</v>
      </c>
      <c r="L10" s="186"/>
      <c r="M10" s="186"/>
      <c r="N10" s="186"/>
      <c r="O10" s="187"/>
      <c r="Q10" s="194" t="s">
        <v>184</v>
      </c>
      <c r="R10" s="186"/>
      <c r="S10" s="186"/>
      <c r="T10" s="187"/>
      <c r="Z10" s="53">
        <v>3</v>
      </c>
      <c r="AA10" s="53">
        <v>4</v>
      </c>
      <c r="AB10" s="72">
        <f t="shared" si="0"/>
        <v>5.03125</v>
      </c>
      <c r="AC10" s="72">
        <f>+(($D$8)/$AA$10)+(($D$9*0.5*$H$17)/(4*0.5*$H$17*0.5*$H$17))</f>
        <v>4.375</v>
      </c>
      <c r="AD10" s="53">
        <v>2</v>
      </c>
      <c r="AE10" s="167">
        <f>+(AI10*2*(0.5*H17-0.5*O43))</f>
        <v>1.5093749999999999</v>
      </c>
      <c r="AF10" s="53">
        <v>2</v>
      </c>
      <c r="AG10" s="22">
        <f>+(AH10+AI10)*(0.5*H17-0.5*R43)</f>
        <v>1.5093749999999999</v>
      </c>
      <c r="AH10" s="72">
        <f>+(($D$8+$D$16)/$AA$10)-(($D$9*0.5*$H$17)/(4*0.5*$H$17*0.5*$H$17))</f>
        <v>5.03125</v>
      </c>
      <c r="AI10" s="168">
        <f>+(($D$8+$D$16)/$AA$10)+(($D$9*0.5*$H$17)/(4*0.5*$H$17*0.5*$H$17))</f>
        <v>5.03125</v>
      </c>
      <c r="AJ10" s="72">
        <v>0</v>
      </c>
      <c r="AK10" s="72">
        <v>0</v>
      </c>
      <c r="AL10" s="72">
        <v>0</v>
      </c>
      <c r="AM10" s="22">
        <f>+IF(0.5*$H$17-0.5*$O$43&gt;$D$30/100,(0.5*$H$17-0.5*$O$43),-(0.5*$H$17-0.5*$O$43))*100</f>
        <v>-15</v>
      </c>
      <c r="AN10" s="18"/>
      <c r="AO10" s="22">
        <f>+IF($AM$10=0,$AI$10/2,IF($AM$10&gt;15,$AI$10,IF($AM$10=0,0.5*$AI$10,IF($AM$10&gt;ABS(-15),0,$AI$10*($AM$10+15)/30))))*2</f>
        <v>0</v>
      </c>
      <c r="AP10" s="18"/>
      <c r="AQ10" s="170">
        <f>+$AO$10</f>
        <v>0</v>
      </c>
      <c r="AR10" s="22">
        <f>+IF(0.5*$H$17-0.5*$O$43&gt;$D$30*0.01*0.5,(0.5*$H$17-0.5*$O$43),-(0.5*$H$17-0.5*$O$43))*100</f>
        <v>15</v>
      </c>
      <c r="AS10" s="18"/>
      <c r="AT10" s="22">
        <f>+IF($AR$10=0,$AI$10/2,IF($AR$10&gt;15,$AI$10,IF($AR$10=0,0.5*$AI$10,IF($AR$10&gt;ABS(-15),0,$AI$10*($AR$10+15)/30))))*2</f>
        <v>10.0625</v>
      </c>
      <c r="AU10" s="18"/>
      <c r="AV10" s="173">
        <f>+$AT$10</f>
        <v>10.0625</v>
      </c>
    </row>
    <row r="11" spans="1:48" ht="17.25">
      <c r="B11" s="46" t="s">
        <v>116</v>
      </c>
      <c r="C11" s="171" t="s">
        <v>12</v>
      </c>
      <c r="D11" s="108">
        <f>+VLOOKUP($AA$21,Z8:AE18,6)</f>
        <v>4.0250000000000004</v>
      </c>
      <c r="E11" s="171" t="s">
        <v>135</v>
      </c>
      <c r="F11" s="2" t="s">
        <v>6</v>
      </c>
      <c r="G11" s="19"/>
      <c r="H11" s="51">
        <f>1-H10/3</f>
        <v>0.87705456936226167</v>
      </c>
      <c r="K11" s="185" t="s">
        <v>188</v>
      </c>
      <c r="L11" s="186"/>
      <c r="M11" s="186"/>
      <c r="N11" s="186"/>
      <c r="O11" s="187"/>
      <c r="Q11" s="185" t="s">
        <v>160</v>
      </c>
      <c r="R11" s="186"/>
      <c r="S11" s="186"/>
      <c r="T11" s="187"/>
      <c r="Z11" s="53">
        <v>4</v>
      </c>
      <c r="AA11" s="53">
        <v>5</v>
      </c>
      <c r="AB11" s="72">
        <f t="shared" si="0"/>
        <v>4.0250000000000004</v>
      </c>
      <c r="AC11" s="72">
        <f>+(($D$8)/$AA$11)+(($D$9*0.5*$H$17)/(4*0.5*$H$17*0.5*$H$17))</f>
        <v>3.5</v>
      </c>
      <c r="AD11" s="53">
        <v>2</v>
      </c>
      <c r="AE11" s="167">
        <f>+(AJ11*2*(0.5*H17-0.5*O43))</f>
        <v>1.2075</v>
      </c>
      <c r="AF11" s="53">
        <v>2</v>
      </c>
      <c r="AG11" s="22">
        <f>+(AH11+AI11)*(0.5*H17-0.5*R43)</f>
        <v>1.2075</v>
      </c>
      <c r="AH11" s="72">
        <f>+(($D$8+$D$16)/$AA$11)-(($D$9*0.5*$H$17)/(4*0.5*$H$17*0.5*$H$17))</f>
        <v>4.0250000000000004</v>
      </c>
      <c r="AI11" s="72">
        <f>+(($D$8+$D$16)/$AA$11)</f>
        <v>4.0250000000000004</v>
      </c>
      <c r="AJ11" s="168">
        <f>+(($D$8+$D$16)/$AA$11)+(($D$9*0.5*$H$17)/(4*0.5*$H$17*0.5*$H$17))</f>
        <v>4.0250000000000004</v>
      </c>
      <c r="AK11" s="72">
        <v>0</v>
      </c>
      <c r="AL11" s="72">
        <v>0</v>
      </c>
      <c r="AM11" s="22">
        <f>+IF(0.5*$H$17-0.5*$O$43&gt;$D$30/100,(0.5*$H$17-0.5*$O$43),-(0.5*$H$17-0.5*$O$43))*100</f>
        <v>-15</v>
      </c>
      <c r="AN11" s="18"/>
      <c r="AO11" s="22">
        <f>+IF($AM$11=0,$AJ$11/2,IF($AM$11&gt;15,$AJ$11,IF($AM$11=0,0.5*$AJ$11,IF($AM$11&gt;ABS(-15),0,$AJ$11*($AM$11+15)/30))))*2</f>
        <v>0</v>
      </c>
      <c r="AP11" s="18"/>
      <c r="AQ11" s="170">
        <f>+$AO$11</f>
        <v>0</v>
      </c>
      <c r="AR11" s="22">
        <f>+IF(0.5*$H$17-0.5*$O$43&gt;$D$30*0.01*0.5,(0.5*$H$17-0.5*$O$43),-(0.5*$H$17-0.5*$O$43))*100</f>
        <v>15</v>
      </c>
      <c r="AS11" s="18"/>
      <c r="AT11" s="22">
        <f>+IF($AR$11=0,$AJ$11/2,IF($AR$11&gt;15,$AJ$11,IF($AR$11=0,0.5*$AJ$11,IF($AR$11&gt;ABS(-15),0,$AJ$11*($AR$11+15)/30))))*2</f>
        <v>8.0500000000000007</v>
      </c>
      <c r="AU11" s="18"/>
      <c r="AV11" s="173">
        <f>+$AT$11</f>
        <v>8.0500000000000007</v>
      </c>
    </row>
    <row r="12" spans="1:48">
      <c r="A12" s="56" t="s">
        <v>123</v>
      </c>
      <c r="C12" s="171" t="s">
        <v>12</v>
      </c>
      <c r="D12" s="65">
        <v>1.7</v>
      </c>
      <c r="E12" s="171" t="s">
        <v>136</v>
      </c>
      <c r="F12" s="2" t="s">
        <v>7</v>
      </c>
      <c r="G12" s="19"/>
      <c r="H12" s="52">
        <f>0.5*$H$10*$D$7*$H$11</f>
        <v>10.311229571015645</v>
      </c>
      <c r="I12" t="s">
        <v>8</v>
      </c>
      <c r="K12" s="185" t="s">
        <v>164</v>
      </c>
      <c r="L12" s="186"/>
      <c r="M12" s="186"/>
      <c r="N12" s="186"/>
      <c r="O12" s="187"/>
      <c r="Q12" s="185" t="s">
        <v>167</v>
      </c>
      <c r="R12" s="186"/>
      <c r="S12" s="186"/>
      <c r="T12" s="187"/>
      <c r="Z12" s="53">
        <v>5</v>
      </c>
      <c r="AA12" s="53">
        <v>6</v>
      </c>
      <c r="AB12" s="72">
        <f t="shared" si="0"/>
        <v>3.3541666666666665</v>
      </c>
      <c r="AC12" s="72">
        <f>+(($D$8)/$AA$12)+(($D$9*$H$17)/(4*$H$17*$H$17))</f>
        <v>2.9166666666666665</v>
      </c>
      <c r="AD12" s="53">
        <v>2</v>
      </c>
      <c r="AE12" s="167">
        <f>+(2*AJ12*(H17-(0.5*O43)))</f>
        <v>2.6833333333333336</v>
      </c>
      <c r="AF12" s="53">
        <v>3</v>
      </c>
      <c r="AG12" s="22">
        <f>+(AH12+AI12+AJ12)*(0.5*H17-0.5*R43)</f>
        <v>1.5093749999999999</v>
      </c>
      <c r="AH12" s="72">
        <f>+(($D$8+$D$16)/$AA$12)-(($D$9*$H$17)/(4*$H$17*$H$17))</f>
        <v>3.3541666666666665</v>
      </c>
      <c r="AI12" s="72">
        <f>+(($D$8+$D$16)/$AA$12)</f>
        <v>3.3541666666666665</v>
      </c>
      <c r="AJ12" s="168">
        <f>+(($D$8+$D$16)/$AA$12)+(($D$9*$H$17)/(4*$H$17*$H$17))</f>
        <v>3.3541666666666665</v>
      </c>
      <c r="AK12" s="72">
        <v>0</v>
      </c>
      <c r="AL12" s="72">
        <v>0</v>
      </c>
      <c r="AM12" s="22">
        <f>+IF($H$17-(0.5*$O$43)&gt;$D$30/100,$H$17-(0.5*$O$43),-($H$17-(0.5*$O$43)))*100</f>
        <v>40</v>
      </c>
      <c r="AO12" s="22">
        <f>+IF($AM$12=0,$AJ$12/2,IF($AM$12&gt;15,$AJ$12,IF($AM$12=0,0.5*$AJ$12,IF($AM$12&gt;ABS(-15),0,$AKJ$12*($AM$12+15)/30))))*2</f>
        <v>6.708333333333333</v>
      </c>
      <c r="AP12" s="22"/>
      <c r="AQ12" s="170">
        <f>+$AO$12</f>
        <v>6.708333333333333</v>
      </c>
      <c r="AR12" s="22">
        <f>+IF($H$17-(0.5*$O$43)&gt;$D$30*0.01*0.5,$H$17-(0.5*$O$43),-($H$17-(0.5*$O$43)))*100</f>
        <v>40</v>
      </c>
      <c r="AS12" s="18"/>
      <c r="AT12" s="22">
        <f>+IF($AR$12=0,$AJ$12/2,IF($AR$12&gt;15,$AJ$12,IF($AR$12=0,0.5*$AJ$12,IF($AR$12&gt;ABS(-15),0,$AKJ$12*($AR$12+15)/30))))*2</f>
        <v>6.708333333333333</v>
      </c>
      <c r="AU12" s="18"/>
      <c r="AV12" s="173">
        <f>+$AT$12</f>
        <v>6.708333333333333</v>
      </c>
    </row>
    <row r="13" spans="1:48">
      <c r="A13" s="56" t="s">
        <v>124</v>
      </c>
      <c r="C13" s="171" t="s">
        <v>12</v>
      </c>
      <c r="D13" s="66">
        <v>0.55000000000000004</v>
      </c>
      <c r="E13" s="171" t="s">
        <v>3</v>
      </c>
      <c r="K13" s="185" t="s">
        <v>155</v>
      </c>
      <c r="L13" s="186"/>
      <c r="M13" s="186"/>
      <c r="N13" s="186"/>
      <c r="O13" s="187"/>
      <c r="Q13" s="185" t="s">
        <v>168</v>
      </c>
      <c r="R13" s="186"/>
      <c r="S13" s="186"/>
      <c r="T13" s="187"/>
      <c r="Z13" s="53">
        <v>6</v>
      </c>
      <c r="AA13" s="53">
        <v>7</v>
      </c>
      <c r="AB13" s="72">
        <f t="shared" si="0"/>
        <v>2.875</v>
      </c>
      <c r="AC13" s="72">
        <f>+(($D$8)/$AA$13)+(($D$9*$H$17)/((4*0.5*$H$17*0.5*$H$17)+(2*$H$17*$H$17)))</f>
        <v>2.5</v>
      </c>
      <c r="AD13" s="53">
        <v>3</v>
      </c>
      <c r="AE13" s="167">
        <f>+(AK13*2*(0.5*H17-0.5*O43))+(AL13*(H17-(0.5*O43)))</f>
        <v>2.0125000000000002</v>
      </c>
      <c r="AF13" s="53">
        <v>2</v>
      </c>
      <c r="AG13" s="22">
        <f>+(AI13+AK13)*(H17-(0.5*R43))</f>
        <v>2.3000000000000003</v>
      </c>
      <c r="AH13" s="72">
        <f>+(($D$8+$D$16)/$AA$13)-(($D$9*$H$17)/((4*0.5*$H$17*0.5*$H$17)+(2*$H$17*$H$17)))</f>
        <v>2.875</v>
      </c>
      <c r="AI13" s="72">
        <f>+(($D$8+$D$16)/$AA$13)-(($D$9*0.5*$H$17)/((4*0.5*$H$17*0.5*$H$17)+(2*$H$17*$H$17)))</f>
        <v>2.875</v>
      </c>
      <c r="AJ13" s="72">
        <f>+(($D$8+$D$16)/$AA$13)</f>
        <v>2.875</v>
      </c>
      <c r="AK13" s="72">
        <f>+(($D$8+$D$16)/$AA$13)+(($D$9*0.5*$H$17)/((4*0.5*$H$17*0.5*$H$17)+(2*$H$17*$H$17)))</f>
        <v>2.875</v>
      </c>
      <c r="AL13" s="168">
        <f>+(($D$8+$D$16)/$AA$13)+(($D$9*$H$17)/((4*0.5*$H$17*0.5*$H$17)+(2*$H$17*$H$17)))</f>
        <v>2.875</v>
      </c>
      <c r="AM13" s="22">
        <f>+IF(0.5*$H$17-0.5*$O$43&gt;$D$30/100,(0.5*$H$17-0.5*$O$43),-(0.5*$H$17-0.5*$O$43))*100</f>
        <v>-15</v>
      </c>
      <c r="AN13" s="22">
        <f>+IF($H$17-(0.5*$O$43)&gt;$D$30/100,$H$17-(0.5*$O$43),-($H$17-(0.5*$O$43)))*100</f>
        <v>40</v>
      </c>
      <c r="AO13" s="22">
        <f>+IF($AM$13=0,$AK$13/2,IF($AM$13&gt;15,$AK$13,IF($AM$13=0,0.5*$AK$13,IF($AM$13&gt;ABS(-15),0,$AK$13*($AM$13+15)/30))))*2</f>
        <v>0</v>
      </c>
      <c r="AP13" s="22">
        <f>+IF($AN$13=0,$AL$13/2,IF($AN$13&gt;15,$AL$13,IF($AN$13=0,0.5*$AL$13,IF($AN$13&gt;ABS(-15),0,AKJ13*($AN$13+15)/30))))*2</f>
        <v>5.75</v>
      </c>
      <c r="AQ13" s="170">
        <f>+$AO$13+$AP$13</f>
        <v>5.75</v>
      </c>
      <c r="AR13" s="22">
        <f>+IF(0.5*$H$17-0.5*$O$43&gt;$D$30*0.01*0.5,(0.5*$H$17-0.5*$O$43),-(0.5*$H$17-0.5*$O$43))*100</f>
        <v>15</v>
      </c>
      <c r="AS13" s="22">
        <f>+IF($H$17-(0.5*$O$43)&gt;$D$30*0.01*0.5,$H$17-(0.5*$O$43),-($H$17-(0.5*$O$43)))*100</f>
        <v>40</v>
      </c>
      <c r="AT13" s="22">
        <f>+IF($AR$13=0,$AK$13/2,IF($AR$13&gt;15,$AK$13,IF($AR$13=0,0.5*$AK$13,IF($AR$13&gt;ABS(-15),0,$AK$13*($AR$13+15)/30))))*2</f>
        <v>5.75</v>
      </c>
      <c r="AU13" s="22">
        <f>+IF($AS$13=0,$AL$13/2,IF($AS$13&gt;15,$AL$13,IF($AS$13=0,0.5*$AL$13,IF($AS$13&gt;ABS(-15),0,AKO13*($AS$13+15)/30))))*2</f>
        <v>5.75</v>
      </c>
      <c r="AV13" s="173">
        <f>+$AT$13+$AU$13</f>
        <v>11.5</v>
      </c>
    </row>
    <row r="14" spans="1:48">
      <c r="A14" s="56" t="s">
        <v>127</v>
      </c>
      <c r="C14" s="171" t="s">
        <v>12</v>
      </c>
      <c r="D14" s="66">
        <v>0.15</v>
      </c>
      <c r="E14" s="171" t="s">
        <v>3</v>
      </c>
      <c r="K14" s="185" t="s">
        <v>156</v>
      </c>
      <c r="L14" s="186"/>
      <c r="M14" s="186"/>
      <c r="N14" s="186"/>
      <c r="O14" s="187"/>
      <c r="Q14" s="185" t="s">
        <v>161</v>
      </c>
      <c r="R14" s="186"/>
      <c r="S14" s="186"/>
      <c r="T14" s="187"/>
      <c r="Z14" s="53">
        <v>7</v>
      </c>
      <c r="AA14" s="53">
        <v>8</v>
      </c>
      <c r="AB14" s="72">
        <f t="shared" si="0"/>
        <v>2.515625</v>
      </c>
      <c r="AC14" s="72">
        <f>+(($D$8)/$AA$14)+(($D$9*$H$17)/((4*$H$17*$H$17)+(2*0.5*$H$17*0.5*$H$17)))</f>
        <v>2.1875</v>
      </c>
      <c r="AD14" s="53">
        <v>3</v>
      </c>
      <c r="AE14" s="167">
        <f>+(AK14*(0.5*H17-0.5*O43))+(2*AL14*(H17-(0.5*O43)))</f>
        <v>2.3898437500000003</v>
      </c>
      <c r="AF14" s="53">
        <v>3</v>
      </c>
      <c r="AG14" s="22">
        <f>+(AH14+AJ14+AL14)*(H17-(0.5*R43))</f>
        <v>3.0187500000000003</v>
      </c>
      <c r="AH14" s="72">
        <f>+(($D$8+$D$16)/$AA$14)-(($D$9*$H$17)/((4*$H$17*$H$17)+(2*0.5*$H$17*0.5*$H$17)))</f>
        <v>2.515625</v>
      </c>
      <c r="AI14" s="72">
        <f>+(($D$8+$D$16)/$AA$14)-(($D$9*0.5*$H$17)/((4*$H$17*$H$17)+(2*0.5*$H$17*0.5*$H$17)))</f>
        <v>2.515625</v>
      </c>
      <c r="AJ14" s="72">
        <f>+(($D$8+$D$16)/$AA$14)</f>
        <v>2.515625</v>
      </c>
      <c r="AK14" s="72">
        <f>+(($D$8+$D$16)/$AA$14)+(($D$9*0.5*$H$17)/((4*$H$17*$H$17)+(2*0.5*$H$17*0.5*$H$17)))</f>
        <v>2.515625</v>
      </c>
      <c r="AL14" s="168">
        <f>+(($D$8+$D$16)/$AA$14)+(($D$9*$H$17)/((4*$H$17*$H$17)+(2*0.5*$H$17*0.5*$H$17)))</f>
        <v>2.515625</v>
      </c>
      <c r="AM14" s="22">
        <f>+IF(0.5*$H$17-0.5*$O$43&gt;$D$30/100,(0.5*$H$17-0.5*$O$43),-(0.5*$H$17-0.5*$O$43))*100</f>
        <v>-15</v>
      </c>
      <c r="AN14" s="22">
        <f>+IF($H$17-(0.5*$O$43)&gt;$D$30/100,$H$17-(0.5*$O$43),-($H$17-(0.5*$O$43)))*100</f>
        <v>40</v>
      </c>
      <c r="AO14" s="22">
        <f>+IF($AM$14=0,$AK$14/2,IF($AM$14&gt;15,$AK$14,IF($AM$14=0,0.5*$AK$14,IF($AM$14&gt;ABS(-15),0,$AK$14*($AM$14+15)/30))))*2</f>
        <v>0</v>
      </c>
      <c r="AP14" s="22">
        <f>+IF($AN$14=0,$AJ$14/2,IF($AN$14&gt;15,$AJ$14,IF($AN$14=0,0.5*$AJ$14,IF($AN$14&gt;ABS(-15),0,AKJ14*($AN$14+15)/30))))*2</f>
        <v>5.03125</v>
      </c>
      <c r="AQ14" s="170">
        <f>+$AO$14+$AP$14</f>
        <v>5.03125</v>
      </c>
      <c r="AR14" s="22">
        <f>+IF(0.5*$H$17-0.5*$O$43&gt;$D$30*0.01*0.5,(0.5*$H$17-0.5*$O$43),-(0.5*$H$17-0.5*$O$43))*100</f>
        <v>15</v>
      </c>
      <c r="AS14" s="22">
        <f>+IF($H$17-(0.5*$O$43)&gt;$D$30*0.01*0.5,$H$17-(0.5*$O$43),-($H$17-(0.5*$O$43)))*100</f>
        <v>40</v>
      </c>
      <c r="AT14" s="22">
        <f>+IF($AR$14=0,$AK$14/2,IF($AR$14&gt;15,$AK$14,IF($AR$14=0,0.5*$AK$14,IF($AR$14&gt;ABS(-15),0,$AK$14*($AR$14+15)/30))))*2</f>
        <v>5.03125</v>
      </c>
      <c r="AU14" s="22">
        <f>+IF($AS$14=0,$AL$14/2,IF($AS$14&gt;15,$AL$14,IF($AS$14=0,0.5*$AL$14,IF($AS$14&gt;ABS(-15),0,AKO14*($AS$14+15)/30))))*2</f>
        <v>5.03125</v>
      </c>
      <c r="AV14" s="173">
        <f>+$AT$14+$AU$14</f>
        <v>10.0625</v>
      </c>
    </row>
    <row r="15" spans="1:48">
      <c r="A15" s="69" t="s">
        <v>17</v>
      </c>
      <c r="D15" s="171"/>
      <c r="K15" s="185" t="s">
        <v>165</v>
      </c>
      <c r="L15" s="186"/>
      <c r="M15" s="186"/>
      <c r="N15" s="186"/>
      <c r="O15" s="187"/>
      <c r="Q15" s="185" t="s">
        <v>162</v>
      </c>
      <c r="R15" s="186"/>
      <c r="S15" s="186"/>
      <c r="T15" s="187"/>
      <c r="Z15" s="53">
        <v>8</v>
      </c>
      <c r="AA15" s="53">
        <v>9</v>
      </c>
      <c r="AB15" s="72">
        <f t="shared" si="0"/>
        <v>2.2361111111111112</v>
      </c>
      <c r="AC15" s="72">
        <f>+(($D$8)/$AA$15)+(($D$9*$H$17)/(6*$H$17*$H$17))</f>
        <v>1.9444444444444444</v>
      </c>
      <c r="AD15" s="53">
        <v>3</v>
      </c>
      <c r="AE15" s="167">
        <f>+(3*AJ15*(H17-(0.5*O43)))</f>
        <v>2.6833333333333336</v>
      </c>
      <c r="AF15" s="53">
        <v>3</v>
      </c>
      <c r="AG15" s="22">
        <f>+(AH15+AI15+AJ15)*(H17-(0.5*R43))</f>
        <v>2.6833333333333336</v>
      </c>
      <c r="AH15" s="72">
        <f>+(($D$8+$D$16)/$AA$15)-(($D$9*$H$17)/(6*$H$17*$H$17))</f>
        <v>2.2361111111111112</v>
      </c>
      <c r="AI15" s="72">
        <f>+(($D$8+$D$16)/$AA$15)</f>
        <v>2.2361111111111112</v>
      </c>
      <c r="AJ15" s="168">
        <f>+(($D$8+$D$16)/$AA$15)+(($D$9*$H$17)/(6*$H$17*$H$17))</f>
        <v>2.2361111111111112</v>
      </c>
      <c r="AK15" s="72">
        <v>0</v>
      </c>
      <c r="AL15" s="72">
        <v>0</v>
      </c>
      <c r="AM15" s="22">
        <f>+IF($H$17-(0.5*$O$43)&gt;$D$30/100,$H$17-(0.5*$O$43),-($H$17-(0.5*$O$43)))*100</f>
        <v>40</v>
      </c>
      <c r="AO15" s="22">
        <f>+IF($AM$15=0,$AJ$15/2,IF($AM$15&gt;15,$AJ$15,IF($AM$15=0,0.5*$AJ$15,IF($AM$15&gt;ABS(-15),0,AKJ15*($AM$15+15)/30))))*2</f>
        <v>4.4722222222222223</v>
      </c>
      <c r="AP15" s="22"/>
      <c r="AQ15" s="170">
        <f>+$AO$15</f>
        <v>4.4722222222222223</v>
      </c>
      <c r="AR15" s="22">
        <f>+IF($H$17-(0.5*$O$43)&gt;$D$30*0.01*0.5,$H$17-(0.5*$O$43),-($H$17-(0.5*$O$43)))*100</f>
        <v>40</v>
      </c>
      <c r="AS15" s="18"/>
      <c r="AT15" s="22">
        <f>+IF($AR$15=0,$AJ$15/2,IF($AR$15&gt;15,$AJ$15,IF($AR$15=0,0.5*$AJ$15,IF($AR$15&gt;ABS(-15),0,AKO15*($AR$15+15)/30))))*2</f>
        <v>4.4722222222222223</v>
      </c>
      <c r="AU15" s="18"/>
      <c r="AV15" s="173">
        <f>+$AT$15</f>
        <v>4.4722222222222223</v>
      </c>
    </row>
    <row r="16" spans="1:48" ht="17.25">
      <c r="A16" s="8" t="s">
        <v>90</v>
      </c>
      <c r="C16" s="3" t="s">
        <v>12</v>
      </c>
      <c r="D16" s="46">
        <f>0.15*($D$8)</f>
        <v>2.625</v>
      </c>
      <c r="E16" s="171" t="s">
        <v>134</v>
      </c>
      <c r="F16" t="s">
        <v>26</v>
      </c>
      <c r="H16" s="46">
        <f>3*$D$14</f>
        <v>0.44999999999999996</v>
      </c>
      <c r="I16" s="171" t="s">
        <v>3</v>
      </c>
      <c r="K16" s="185" t="s">
        <v>189</v>
      </c>
      <c r="L16" s="186"/>
      <c r="M16" s="186"/>
      <c r="N16" s="186"/>
      <c r="O16" s="187"/>
      <c r="Q16" s="185" t="s">
        <v>169</v>
      </c>
      <c r="R16" s="186"/>
      <c r="S16" s="186"/>
      <c r="T16" s="187"/>
      <c r="Z16" s="53">
        <v>9</v>
      </c>
      <c r="AA16" s="53">
        <v>12</v>
      </c>
      <c r="AB16" s="72">
        <f t="shared" si="0"/>
        <v>1.6770833333333333</v>
      </c>
      <c r="AC16" s="72">
        <f>+(($D$8)/$AA$16)+(($D$9*1.5*$H$17)/((6*1.5*$H$17*1.5*$H$17)+(6*0.5*$H$17*0.5*$H$17)))</f>
        <v>1.4583333333333333</v>
      </c>
      <c r="AD16" s="53">
        <v>6</v>
      </c>
      <c r="AE16" s="167">
        <f>+(AJ16*3*(0.5*H17-0.5*O43))+(AK16*3*(1.5*H17-0.5*O43))</f>
        <v>4.0250000000000004</v>
      </c>
      <c r="AF16" s="53">
        <v>4</v>
      </c>
      <c r="AG16" s="22">
        <f>+(AH16+AI16+AJ16+AK16)*(H17-(0.5*R43))</f>
        <v>2.6833333333333336</v>
      </c>
      <c r="AH16" s="72">
        <f>+(($D$8+$D$16)/$AA$16)-(($D$9*1.5*$H$17)/((6*1.5*$H$17*1.5*$H$17)+(6*0.5*$H$17*0.5*$H$17)))</f>
        <v>1.6770833333333333</v>
      </c>
      <c r="AI16" s="72">
        <f>+(($D$8+$D$16)/$AA$16)-(($D$9*0.5*$H$17)/((6*1.5*$H$17*1.5*$H$17)+(6*0.5*$H$17*0.5*$H$17)))</f>
        <v>1.6770833333333333</v>
      </c>
      <c r="AJ16" s="72">
        <f>+(($D$8+$D$16)/$AA$16)+(($D$9*0.5*$H$17)/((6*1.5*$H$17*1.5*$H$17)+(6*0.5*$H$17*0.5*$H$17)))</f>
        <v>1.6770833333333333</v>
      </c>
      <c r="AK16" s="168">
        <f>+(($D$8+$D$16)/$AA$16)+(($D$9*1.5*$H$17)/((6*1.5*$H$17*1.5*$H$17)+(6*0.5*$H$17*0.5*$H$17)))</f>
        <v>1.6770833333333333</v>
      </c>
      <c r="AL16" s="72">
        <v>0</v>
      </c>
      <c r="AM16" s="22">
        <f>+IF((0.5*$H$17-0.5*$O$43)&gt;$D$30*0.01,(0.5*$H$17-0.5*$O$43),-(0.5*$H$17-0.5*$O$43))*100</f>
        <v>-15</v>
      </c>
      <c r="AN16" s="22">
        <f>+IF((1.5*$H$17-0.5*$O$43)&gt;$D$30/100,(1.5*$H$17-0.5*$O$43),-(1.5*$H$17-0.5*$O$43))*100</f>
        <v>65</v>
      </c>
      <c r="AO16" s="22">
        <f>+IF($AM$16=0,$AJ$16/2,IF($AM$16&gt;15,$AJ$16,IF($AM$16=0,0.5*$AJ$16,IF($AM$16&gt;ABS(-15),0,$AJ$16*($AM$16+15)/30))))*3</f>
        <v>0</v>
      </c>
      <c r="AP16" s="22">
        <f>+IF($AN$16=0,$AK$16/2,IF($AN$16&gt;15,$AK$16,IF($AN$16=0,0.5*$AK$16,IF($AN$16&gt;ABS(-15),0,$AK$16*($AN$16+15)/30))))*3</f>
        <v>5.03125</v>
      </c>
      <c r="AQ16" s="170">
        <f>+$AO$16+$AP$16</f>
        <v>5.03125</v>
      </c>
      <c r="AR16" s="22">
        <f>+IF((0.5*$H$17-0.5*$O$43)&gt;$D$30*0.01*0.5,(0.5*$H$17-0.5*$O$43),-(0.5*$H$17-0.5*$O$43))*100</f>
        <v>15</v>
      </c>
      <c r="AS16" s="22">
        <f>+IF((1.5*$H$17-0.5*$O$43)&gt;$D$30*0.01*0.5,(1.5*$H$17-0.5*$O$43),-(1.5*$H$17-0.5*$O$43))*100</f>
        <v>65</v>
      </c>
      <c r="AT16" s="22">
        <f>+IF($AR$16=0,$AJ$16/2,IF($AR$16&gt;15,$AJ$16,IF($AR$16=0,0.5*$AJ$16,IF($AR$16&gt;ABS(-15),0,$AJ$16*($AR$16+15)/30))))*3</f>
        <v>5.03125</v>
      </c>
      <c r="AU16" s="22">
        <f>+IF($AS$16=0,$AK$16/2,IF($AS$16&gt;15,$AK$16,IF($AS$16=0,0.5*$AK$16,IF($AS$16&gt;ABS(-15),0,$AK$16*($AS$16+15)/30))))*3</f>
        <v>5.03125</v>
      </c>
      <c r="AV16" s="173">
        <f>+$AT$16+$AU$16</f>
        <v>10.0625</v>
      </c>
    </row>
    <row r="17" spans="1:48">
      <c r="A17" s="9" t="s">
        <v>11</v>
      </c>
      <c r="C17" s="3" t="s">
        <v>12</v>
      </c>
      <c r="D17" s="46">
        <f>+ROUNDUP(($D$8+$D$9+$D$16)/$D$12,0)</f>
        <v>12</v>
      </c>
      <c r="E17" s="171" t="s">
        <v>1</v>
      </c>
      <c r="F17" s="103" t="s">
        <v>107</v>
      </c>
      <c r="H17" s="66">
        <v>0.5</v>
      </c>
      <c r="I17" s="171" t="s">
        <v>3</v>
      </c>
      <c r="K17" s="185" t="s">
        <v>157</v>
      </c>
      <c r="L17" s="186"/>
      <c r="M17" s="186"/>
      <c r="N17" s="186"/>
      <c r="O17" s="187"/>
      <c r="Q17" s="185" t="s">
        <v>166</v>
      </c>
      <c r="R17" s="186"/>
      <c r="S17" s="186"/>
      <c r="T17" s="187"/>
      <c r="Z17" s="53">
        <v>10</v>
      </c>
      <c r="AA17" s="53">
        <v>16</v>
      </c>
      <c r="AB17" s="72">
        <f t="shared" si="0"/>
        <v>1.2578125</v>
      </c>
      <c r="AC17" s="72">
        <f>+(($D$8)/$AA$17)+(($D$9*1.5*$H$17)/((8*1.5*$H$17*1.5*$H$17)+(8*0.5*$H$17*0.5*$H$17)))</f>
        <v>1.09375</v>
      </c>
      <c r="AD17" s="53">
        <v>8</v>
      </c>
      <c r="AE17" s="167">
        <f>+(AJ17*4*(0.5*H17-0.5*O43))+(AK17*4*(1.5*H17-0.5*O43))</f>
        <v>4.0250000000000004</v>
      </c>
      <c r="AF17" s="53">
        <v>8</v>
      </c>
      <c r="AG17" s="22">
        <f>+((AH17+AI17+AJ17+AK17)*(1.5*H17-0.5*R43))+((AH17+AI17+AJ17+AK17)*(0.5*H17-0.5*R43))</f>
        <v>4.0250000000000004</v>
      </c>
      <c r="AH17" s="72">
        <f>+(($D$8+$D$16)/$AA$17)-(($D$9*1.5*$H$17)/((8*1.5*$H$17*1.5*$H$17)+(8*0.5*$H$17*0.5*$H$17)))</f>
        <v>1.2578125</v>
      </c>
      <c r="AI17" s="72">
        <f>+(($D$8+$D$16)/$AA$17)-(($D$9*0.5*$H$17)/((8*1.5*$H$17*1.5*$H$17)+(8*0.5*$H$17*0.5*$H$17)))</f>
        <v>1.2578125</v>
      </c>
      <c r="AJ17" s="72">
        <f>+(($D$8+$D$16)/$AA$17)+(($D$9*0.5*$H$17)/((8*1.5*$H$17*1.5*$H$17)+(8*0.5*$H$17*0.5*$H$17)))</f>
        <v>1.2578125</v>
      </c>
      <c r="AK17" s="168">
        <f>+(($D$8+$D$16)/$AA$17)+(($D$9*1.5*$H$17)/((8*1.5*$H$17*1.5*$H$17)+(8*0.5*$H$17*0.5*$H$17)))</f>
        <v>1.2578125</v>
      </c>
      <c r="AL17" s="72">
        <v>0</v>
      </c>
      <c r="AM17" s="22">
        <f>+IF(0.5*$H$17-0.5*$O$43&gt;$D$30/100,(0.5*$H$17-0.5*$O$43),-(0.5*$H$17-0.5*$O$43))*100</f>
        <v>-15</v>
      </c>
      <c r="AN17" s="22">
        <f>+IF((1.5*$H$17)-(0.5*$O$43)&gt;$D$30/100,(1.5*$H$17)-(0.5*$O$43),-((1.5*$H$17)-(0.5*$O$43)))*100</f>
        <v>65</v>
      </c>
      <c r="AO17" s="22">
        <f>+IF($AM$17=0,$AJ$17/2,IF($AM$17&gt;15,$AJ$17,IF($AM$17=0,0.5*$AJ$17,IF($AM$17&gt;ABS(-15),0,$AJ$17*($AM$17+15)/30))))*3</f>
        <v>0</v>
      </c>
      <c r="AP17" s="22">
        <f>+IF($AN$17=0,$AK$17/2,IF($AN$17&gt;15,$AK$17,IF($AN$17=0,0.5*$AK$17,IF($AN$17&gt;ABS(-15),0,$AK$17*($AN$17+15)/30))))*3</f>
        <v>3.7734375</v>
      </c>
      <c r="AQ17" s="170">
        <f>+$AO$17+$AP$17</f>
        <v>3.7734375</v>
      </c>
      <c r="AR17" s="22">
        <f>+IF(0.5*$H$17-0.5*$O$43&gt;$D$30*0.01*0.5,(0.5*$H$17-0.5*$O$43),-(0.5*$H$17-0.5*$O$43))*100</f>
        <v>15</v>
      </c>
      <c r="AS17" s="22">
        <f>+IF((1.5*$H$17)-(0.5*$O$43)&gt;$D$30*0.01*0.5,(1.5*$H$17)-(0.5*$O$43),-((1.5*$H$17)-(0.5*$O$43)))*100</f>
        <v>65</v>
      </c>
      <c r="AT17" s="22">
        <f>+IF($AR$17=0,$AJ$17/2,IF($AR$17&gt;15,$AJ$17,IF($AR$17=0,0.5*$AJ$17,IF($AR$17&gt;ABS(-15),0,$AJ$17*($AR$17+15)/30))))*3</f>
        <v>3.7734375</v>
      </c>
      <c r="AU17" s="22">
        <f>+IF($AS$17=0,$AK$17/2,IF($AS$17&gt;15,$AK$17,IF($AS$17=0,0.5*$AK$17,IF($AS$17&gt;ABS(-15),0,$AK$17*($AS$17+15)/30))))*3</f>
        <v>3.7734375</v>
      </c>
      <c r="AV17" s="173">
        <f>+$AT$17+$AU$17</f>
        <v>7.546875</v>
      </c>
    </row>
    <row r="18" spans="1:48" ht="15.75">
      <c r="A18" s="56" t="s">
        <v>126</v>
      </c>
      <c r="C18" s="3" t="s">
        <v>12</v>
      </c>
      <c r="D18" s="120"/>
      <c r="E18" s="100" t="s">
        <v>1</v>
      </c>
      <c r="F18" s="63" t="s">
        <v>108</v>
      </c>
      <c r="G18" s="64" t="s">
        <v>12</v>
      </c>
      <c r="H18" s="24"/>
      <c r="I18" s="171" t="s">
        <v>70</v>
      </c>
      <c r="K18" s="185" t="s">
        <v>190</v>
      </c>
      <c r="L18" s="186"/>
      <c r="M18" s="186"/>
      <c r="N18" s="186"/>
      <c r="O18" s="187"/>
      <c r="Q18" s="185"/>
      <c r="R18" s="186"/>
      <c r="S18" s="186"/>
      <c r="T18" s="187"/>
      <c r="Z18" s="112"/>
      <c r="AA18" s="17"/>
      <c r="AB18" s="17"/>
      <c r="AC18" s="17"/>
      <c r="AD18" s="17"/>
      <c r="AE18" s="43"/>
      <c r="AF18" s="164"/>
      <c r="AG18" s="136"/>
      <c r="AH18" s="17"/>
      <c r="AI18" s="17"/>
      <c r="AJ18" s="17"/>
      <c r="AK18" s="17"/>
      <c r="AL18" s="17"/>
      <c r="AM18" s="18"/>
      <c r="AN18" s="18"/>
      <c r="AO18" s="18"/>
      <c r="AP18" s="22"/>
      <c r="AQ18" s="170"/>
      <c r="AR18" s="22"/>
      <c r="AS18" s="18"/>
      <c r="AT18" s="18"/>
      <c r="AU18" s="18"/>
      <c r="AV18" s="18"/>
    </row>
    <row r="19" spans="1:48" ht="16.5" customHeight="1">
      <c r="A19" s="56" t="s">
        <v>16</v>
      </c>
      <c r="C19" s="3" t="s">
        <v>12</v>
      </c>
      <c r="D19" s="171"/>
      <c r="E19" s="3" t="s">
        <v>24</v>
      </c>
      <c r="F19" s="171" t="s">
        <v>3</v>
      </c>
      <c r="K19" s="185" t="s">
        <v>158</v>
      </c>
      <c r="L19" s="186"/>
      <c r="M19" s="186"/>
      <c r="N19" s="186"/>
      <c r="O19" s="187"/>
      <c r="Q19" s="195"/>
      <c r="R19" s="191"/>
      <c r="S19" s="191"/>
      <c r="T19" s="192"/>
    </row>
    <row r="20" spans="1:48">
      <c r="D20" s="171"/>
      <c r="K20" s="185" t="s">
        <v>191</v>
      </c>
      <c r="L20" s="186"/>
      <c r="M20" s="186"/>
      <c r="N20" s="186"/>
      <c r="O20" s="187"/>
    </row>
    <row r="21" spans="1:48">
      <c r="A21" s="9" t="s">
        <v>68</v>
      </c>
      <c r="B21" s="53" t="s">
        <v>67</v>
      </c>
      <c r="C21" s="3" t="s">
        <v>12</v>
      </c>
      <c r="D21" s="49">
        <f>+$AB$21*1000</f>
        <v>1677.0833333333333</v>
      </c>
      <c r="E21" s="171" t="s">
        <v>0</v>
      </c>
      <c r="F21" s="61" t="str">
        <f>+IF(D21&lt;D12*1000," &lt;&lt;  น้อยกว่า  &gt;&gt; "," &lt;&lt;  มากกว่า  &gt;&gt;")</f>
        <v xml:space="preserve"> &lt;&lt;  น้อยกว่า  &gt;&gt; </v>
      </c>
      <c r="G21" s="44">
        <f>+$D$12*1000</f>
        <v>1700</v>
      </c>
      <c r="H21" s="61" t="str">
        <f>+IF($D$21&lt;$G$21,"O.K.","NO")</f>
        <v>O.K.</v>
      </c>
      <c r="K21" s="185" t="s">
        <v>192</v>
      </c>
      <c r="L21" s="186"/>
      <c r="M21" s="186"/>
      <c r="N21" s="186"/>
      <c r="O21" s="187"/>
      <c r="Y21" t="s">
        <v>105</v>
      </c>
      <c r="AA21" s="53">
        <v>9</v>
      </c>
      <c r="AB21" s="72">
        <f>+VLOOKUP(AA21,Z8:AB17,3)</f>
        <v>1.6770833333333333</v>
      </c>
    </row>
    <row r="22" spans="1:48">
      <c r="B22" s="171"/>
      <c r="C22" s="171"/>
      <c r="K22" s="185" t="s">
        <v>159</v>
      </c>
      <c r="L22" s="186"/>
      <c r="M22" s="186"/>
      <c r="N22" s="186"/>
      <c r="O22" s="187"/>
    </row>
    <row r="23" spans="1:48">
      <c r="A23" s="70" t="s">
        <v>18</v>
      </c>
      <c r="B23" s="171"/>
      <c r="C23" s="171"/>
      <c r="K23" s="189" t="s">
        <v>197</v>
      </c>
      <c r="L23" s="189"/>
      <c r="M23" s="189"/>
      <c r="N23" s="185"/>
      <c r="O23" s="187"/>
      <c r="AB23" s="100"/>
      <c r="AC23" s="101"/>
    </row>
    <row r="24" spans="1:48">
      <c r="A24" s="9" t="s">
        <v>69</v>
      </c>
      <c r="B24" s="53" t="s">
        <v>67</v>
      </c>
      <c r="C24" s="171" t="s">
        <v>12</v>
      </c>
      <c r="D24" s="49">
        <f>+VLOOKUP(AA21,Z8:AC17,4)*1000</f>
        <v>1458.3333333333333</v>
      </c>
      <c r="E24" s="171" t="s">
        <v>103</v>
      </c>
      <c r="K24" s="189" t="s">
        <v>195</v>
      </c>
      <c r="L24" s="189"/>
      <c r="M24" s="189"/>
      <c r="N24" s="185"/>
      <c r="O24" s="187"/>
    </row>
    <row r="25" spans="1:48">
      <c r="C25" s="171"/>
      <c r="K25" s="189" t="s">
        <v>196</v>
      </c>
      <c r="L25" s="189"/>
      <c r="M25" s="185"/>
      <c r="N25" s="186"/>
      <c r="O25" s="187"/>
    </row>
    <row r="26" spans="1:48" ht="12.75" customHeight="1">
      <c r="A26" s="70" t="s">
        <v>19</v>
      </c>
      <c r="C26" s="171"/>
      <c r="K26" s="189" t="s">
        <v>194</v>
      </c>
      <c r="L26" s="186"/>
      <c r="M26" s="186"/>
      <c r="N26" s="186"/>
      <c r="O26" s="187"/>
    </row>
    <row r="27" spans="1:48" ht="14.25" customHeight="1">
      <c r="A27" s="71" t="s">
        <v>60</v>
      </c>
      <c r="B27" s="107" t="s">
        <v>114</v>
      </c>
      <c r="C27" s="171" t="s">
        <v>12</v>
      </c>
      <c r="D27" s="102">
        <f>+VLOOKUP($AA$21,Z8:AE18,6)*1000</f>
        <v>4025.0000000000005</v>
      </c>
      <c r="E27" s="171" t="s">
        <v>23</v>
      </c>
      <c r="F27" t="s">
        <v>22</v>
      </c>
      <c r="G27" s="171" t="s">
        <v>12</v>
      </c>
      <c r="H27" s="88">
        <f>+VLOOKUP(AA21,Z7:AD18,5)</f>
        <v>6</v>
      </c>
      <c r="I27" t="s">
        <v>1</v>
      </c>
      <c r="K27" s="190" t="s">
        <v>193</v>
      </c>
      <c r="L27" s="191"/>
      <c r="M27" s="191"/>
      <c r="N27" s="191"/>
      <c r="O27" s="192"/>
    </row>
    <row r="28" spans="1:48" ht="12.75" customHeight="1">
      <c r="A28" s="9" t="s">
        <v>46</v>
      </c>
      <c r="B28" s="53" t="s">
        <v>20</v>
      </c>
      <c r="C28" s="171" t="s">
        <v>12</v>
      </c>
      <c r="D28" s="22">
        <f>+SQRT($D$27/($H$12*$N$119))</f>
        <v>16.131772352984548</v>
      </c>
      <c r="E28" s="171" t="s">
        <v>2</v>
      </c>
      <c r="K28" s="188"/>
      <c r="L28" s="188"/>
      <c r="M28" s="188"/>
      <c r="N28" s="188"/>
      <c r="O28" s="188"/>
    </row>
    <row r="29" spans="1:48" ht="15" customHeight="1">
      <c r="A29" s="56" t="s">
        <v>27</v>
      </c>
      <c r="B29" s="89" t="s">
        <v>28</v>
      </c>
      <c r="C29" s="10" t="s">
        <v>12</v>
      </c>
      <c r="E29" s="3" t="s">
        <v>3</v>
      </c>
      <c r="F29" s="59" t="s">
        <v>85</v>
      </c>
      <c r="H29" s="3" t="s">
        <v>77</v>
      </c>
      <c r="L29" s="188"/>
      <c r="M29" s="188"/>
      <c r="N29" s="188"/>
      <c r="O29" s="188"/>
    </row>
    <row r="30" spans="1:48">
      <c r="A30" s="9" t="s">
        <v>45</v>
      </c>
      <c r="B30" s="53" t="s">
        <v>20</v>
      </c>
      <c r="C30" s="171" t="s">
        <v>12</v>
      </c>
      <c r="D30" s="22">
        <f>+$O$60*100-$H$6-$S$65/20</f>
        <v>18.75</v>
      </c>
      <c r="E30" s="3" t="s">
        <v>2</v>
      </c>
      <c r="P30" t="s">
        <v>21</v>
      </c>
    </row>
    <row r="31" spans="1:48">
      <c r="O31" s="171" t="s">
        <v>81</v>
      </c>
      <c r="R31" s="171" t="s">
        <v>82</v>
      </c>
    </row>
    <row r="32" spans="1:48">
      <c r="A32" s="69" t="s">
        <v>98</v>
      </c>
      <c r="B32" s="4"/>
      <c r="C32" s="4"/>
      <c r="D32" s="4"/>
      <c r="N32" s="11">
        <v>1</v>
      </c>
      <c r="O32" s="12">
        <v>0.2</v>
      </c>
      <c r="P32" s="13"/>
      <c r="Q32" s="11">
        <v>1</v>
      </c>
      <c r="R32" s="12">
        <v>0.2</v>
      </c>
    </row>
    <row r="33" spans="1:24" ht="17.25">
      <c r="A33" s="9" t="s">
        <v>49</v>
      </c>
      <c r="B33" s="165" t="s">
        <v>175</v>
      </c>
      <c r="C33" s="3" t="s">
        <v>12</v>
      </c>
      <c r="D33" s="22">
        <f>+VLOOKUP($AA$21,Z8:AM17,14)</f>
        <v>-15</v>
      </c>
      <c r="E33" s="3" t="s">
        <v>2</v>
      </c>
      <c r="F33" s="54"/>
      <c r="G33" s="100"/>
      <c r="H33" s="33"/>
      <c r="I33" s="100"/>
      <c r="N33" s="14">
        <v>2</v>
      </c>
      <c r="O33" s="15">
        <v>0.25</v>
      </c>
      <c r="P33" s="16"/>
      <c r="Q33" s="14">
        <v>2</v>
      </c>
      <c r="R33" s="15">
        <v>0.25</v>
      </c>
    </row>
    <row r="34" spans="1:24" ht="17.25">
      <c r="A34" s="9" t="s">
        <v>49</v>
      </c>
      <c r="B34" s="166" t="s">
        <v>176</v>
      </c>
      <c r="C34" s="171" t="s">
        <v>12</v>
      </c>
      <c r="D34" s="22">
        <f>+VLOOKUP($AA$21,Z8:AN17,15)</f>
        <v>65</v>
      </c>
      <c r="E34" s="3" t="s">
        <v>2</v>
      </c>
      <c r="F34" s="33"/>
      <c r="G34" s="33"/>
      <c r="H34" s="33"/>
      <c r="I34" s="33"/>
      <c r="N34" s="14">
        <v>3</v>
      </c>
      <c r="O34" s="15">
        <v>0.3</v>
      </c>
      <c r="P34" s="16"/>
      <c r="Q34" s="14">
        <v>3</v>
      </c>
      <c r="R34" s="15">
        <v>0.3</v>
      </c>
    </row>
    <row r="35" spans="1:24">
      <c r="A35" s="9" t="s">
        <v>47</v>
      </c>
      <c r="B35" s="88" t="s">
        <v>48</v>
      </c>
      <c r="C35" s="3" t="s">
        <v>12</v>
      </c>
      <c r="D35" s="47">
        <f>+VLOOKUP($AA$21,Z8:AQ17,18)*1000</f>
        <v>5031.25</v>
      </c>
      <c r="E35" s="3" t="s">
        <v>0</v>
      </c>
      <c r="N35" s="14">
        <v>4</v>
      </c>
      <c r="O35" s="15">
        <v>0.35</v>
      </c>
      <c r="P35" s="16"/>
      <c r="Q35" s="14">
        <v>4</v>
      </c>
      <c r="R35" s="15">
        <v>0.35</v>
      </c>
    </row>
    <row r="36" spans="1:24" ht="17.25">
      <c r="A36" s="9" t="s">
        <v>51</v>
      </c>
      <c r="B36" s="88" t="s">
        <v>50</v>
      </c>
      <c r="C36" s="171" t="s">
        <v>12</v>
      </c>
      <c r="D36" s="48">
        <f>0.29*SQRT($H$7)*$K$119*100*$D$30</f>
        <v>10634.448923486822</v>
      </c>
      <c r="E36" s="3" t="s">
        <v>0</v>
      </c>
      <c r="F36" s="61" t="str">
        <f>+IF($D$36&gt;$D$35, " &lt;&lt;  มากกว่า  &gt;&gt;  ","&lt;&lt;  น้อยกว่า  &gt;&gt;")</f>
        <v xml:space="preserve"> &lt;&lt;  มากกว่า  &gt;&gt;  </v>
      </c>
      <c r="G36" s="109">
        <f>+D35</f>
        <v>5031.25</v>
      </c>
      <c r="H36" s="61" t="str">
        <f>+IF($D$36&gt;$G$36,"O.K.","NO")</f>
        <v>O.K.</v>
      </c>
      <c r="N36" s="14">
        <v>5</v>
      </c>
      <c r="O36" s="15">
        <v>0.4</v>
      </c>
      <c r="P36" s="16"/>
      <c r="Q36" s="14">
        <v>5</v>
      </c>
      <c r="R36" s="15">
        <v>0.4</v>
      </c>
    </row>
    <row r="37" spans="1:24">
      <c r="A37" s="71" t="s">
        <v>53</v>
      </c>
      <c r="G37" s="171"/>
      <c r="N37" s="14">
        <v>6</v>
      </c>
      <c r="O37" s="15">
        <v>0.45</v>
      </c>
      <c r="P37" s="16"/>
      <c r="Q37" s="14">
        <v>6</v>
      </c>
      <c r="R37" s="15">
        <v>0.45</v>
      </c>
    </row>
    <row r="38" spans="1:24">
      <c r="A38" s="71" t="s">
        <v>61</v>
      </c>
      <c r="G38" s="171"/>
      <c r="N38" s="14">
        <v>7</v>
      </c>
      <c r="O38" s="15">
        <v>0.5</v>
      </c>
      <c r="P38" s="16"/>
      <c r="Q38" s="14">
        <v>7</v>
      </c>
      <c r="R38" s="15">
        <v>0.5</v>
      </c>
    </row>
    <row r="39" spans="1:24">
      <c r="B39" s="88" t="s">
        <v>55</v>
      </c>
      <c r="C39" s="171" t="s">
        <v>12</v>
      </c>
      <c r="D39" s="18">
        <f>+((2*$O$43)+(2*$R$43))*100 + ($D$30*4)</f>
        <v>155</v>
      </c>
      <c r="E39" s="3" t="s">
        <v>2</v>
      </c>
      <c r="G39" s="171"/>
      <c r="N39" s="14">
        <v>8</v>
      </c>
      <c r="O39" s="15">
        <v>0.55000000000000004</v>
      </c>
      <c r="P39" s="16"/>
      <c r="Q39" s="14">
        <v>8</v>
      </c>
      <c r="R39" s="15">
        <v>0.55000000000000004</v>
      </c>
    </row>
    <row r="40" spans="1:24" ht="17.25">
      <c r="A40" s="9" t="s">
        <v>49</v>
      </c>
      <c r="B40" s="88" t="s">
        <v>175</v>
      </c>
      <c r="C40" s="171" t="s">
        <v>12</v>
      </c>
      <c r="D40" s="22">
        <f>+VLOOKUP($AA$21,Z8:AR17,19)</f>
        <v>15</v>
      </c>
      <c r="E40" s="3" t="s">
        <v>2</v>
      </c>
      <c r="N40" s="14">
        <v>9</v>
      </c>
      <c r="O40" s="15">
        <v>0.6</v>
      </c>
      <c r="P40" s="16"/>
      <c r="Q40" s="14">
        <v>9</v>
      </c>
      <c r="R40" s="15">
        <v>0.6</v>
      </c>
    </row>
    <row r="41" spans="1:24" ht="17.25">
      <c r="A41" s="9" t="s">
        <v>49</v>
      </c>
      <c r="B41" s="166" t="s">
        <v>176</v>
      </c>
      <c r="C41" s="3" t="s">
        <v>12</v>
      </c>
      <c r="D41" s="22">
        <f>+VLOOKUP($AA$21,Z8:AS17,20)</f>
        <v>65</v>
      </c>
      <c r="E41" s="3" t="s">
        <v>2</v>
      </c>
      <c r="G41" s="171"/>
      <c r="N41" s="14">
        <v>10</v>
      </c>
      <c r="O41" s="15">
        <v>0.65</v>
      </c>
      <c r="P41" s="16"/>
      <c r="Q41" s="14">
        <v>10</v>
      </c>
      <c r="R41" s="15">
        <v>0.65</v>
      </c>
    </row>
    <row r="42" spans="1:24">
      <c r="A42" s="9" t="s">
        <v>47</v>
      </c>
      <c r="B42" s="88" t="s">
        <v>56</v>
      </c>
      <c r="C42" s="171" t="s">
        <v>12</v>
      </c>
      <c r="D42" s="104">
        <f>+VLOOKUP($AA$21,Z8:AV17,23)*1000</f>
        <v>10062.5</v>
      </c>
      <c r="E42" s="3" t="s">
        <v>0</v>
      </c>
      <c r="G42" s="171"/>
      <c r="N42" s="16"/>
      <c r="O42" s="16"/>
      <c r="P42" s="16"/>
      <c r="Q42" s="16"/>
      <c r="R42" s="16"/>
    </row>
    <row r="43" spans="1:24" ht="17.25">
      <c r="A43" s="9" t="s">
        <v>59</v>
      </c>
      <c r="B43" s="88" t="s">
        <v>50</v>
      </c>
      <c r="C43" s="171" t="s">
        <v>12</v>
      </c>
      <c r="D43" s="48">
        <f>0.53*SQRT($H$7)*($D$39*$D$30)</f>
        <v>20083.217909527411</v>
      </c>
      <c r="E43" s="3" t="s">
        <v>0</v>
      </c>
      <c r="F43" s="61" t="str">
        <f>+IF(D43&gt;$D$42,"&lt;&lt;  มากกว่า  &gt;&gt;","&lt;&lt;  น้อยกว่า  &gt;&gt;")</f>
        <v>&lt;&lt;  มากกว่า  &gt;&gt;</v>
      </c>
      <c r="G43" s="105">
        <f>+$D$42</f>
        <v>10062.5</v>
      </c>
      <c r="H43" s="61" t="str">
        <f>+IF($D$43&gt;$D$42,"O.K.","NO")</f>
        <v>O.K.</v>
      </c>
      <c r="N43" s="18">
        <v>1</v>
      </c>
      <c r="O43" s="72">
        <f>+VLOOKUP(N43,N32:O41,2)</f>
        <v>0.2</v>
      </c>
      <c r="P43" s="18"/>
      <c r="Q43" s="18">
        <v>1</v>
      </c>
      <c r="R43" s="72">
        <f>+VLOOKUP(Q43,Q32:R41,2)</f>
        <v>0.2</v>
      </c>
    </row>
    <row r="44" spans="1:24">
      <c r="N44" s="16"/>
      <c r="O44" s="16"/>
      <c r="P44" s="16"/>
      <c r="Q44" s="16"/>
      <c r="R44" s="16"/>
    </row>
    <row r="45" spans="1:24">
      <c r="A45" s="71" t="s">
        <v>62</v>
      </c>
      <c r="B45" s="88" t="s">
        <v>55</v>
      </c>
      <c r="C45" s="171" t="s">
        <v>12</v>
      </c>
      <c r="D45" s="18">
        <f>+($D$30*4)+($D$14*100*4)</f>
        <v>135</v>
      </c>
      <c r="E45" s="3" t="s">
        <v>2</v>
      </c>
      <c r="G45" s="171"/>
      <c r="H45" s="62"/>
      <c r="N45" s="17"/>
      <c r="O45" s="17"/>
      <c r="P45" s="17"/>
      <c r="Q45" s="17"/>
      <c r="R45" s="17"/>
    </row>
    <row r="46" spans="1:24">
      <c r="A46" s="9" t="s">
        <v>57</v>
      </c>
      <c r="B46" s="88" t="s">
        <v>58</v>
      </c>
      <c r="C46" s="171" t="s">
        <v>12</v>
      </c>
      <c r="D46" s="47">
        <f>+$D$24</f>
        <v>1458.3333333333333</v>
      </c>
      <c r="E46" s="3" t="s">
        <v>0</v>
      </c>
      <c r="G46" s="171"/>
      <c r="H46" s="62"/>
    </row>
    <row r="47" spans="1:24" ht="17.25">
      <c r="A47" s="9" t="s">
        <v>59</v>
      </c>
      <c r="B47" s="88" t="s">
        <v>50</v>
      </c>
      <c r="C47" s="171" t="s">
        <v>12</v>
      </c>
      <c r="D47" s="48">
        <f>0.53*SQRT($H$7)*$D$45*$D$30</f>
        <v>17491.834953459362</v>
      </c>
      <c r="E47" s="3" t="s">
        <v>0</v>
      </c>
      <c r="F47" s="61" t="str">
        <f>+IF($D$47&gt;$D$46,"&lt;&lt;  มากกว่า  &gt;&gt;"," &lt;&lt;  น้อยกว่า  &gt;&gt;")</f>
        <v>&lt;&lt;  มากกว่า  &gt;&gt;</v>
      </c>
      <c r="G47" s="45">
        <f>+$D$46</f>
        <v>1458.3333333333333</v>
      </c>
      <c r="H47" s="61" t="str">
        <f>+IF($D$47&gt;$D$46,"O.K.","NO")</f>
        <v>O.K.</v>
      </c>
      <c r="N47" s="23" t="s">
        <v>29</v>
      </c>
      <c r="O47" s="26"/>
    </row>
    <row r="48" spans="1:24">
      <c r="A48" s="69" t="s">
        <v>63</v>
      </c>
      <c r="H48" s="62"/>
      <c r="N48" s="86">
        <v>1</v>
      </c>
      <c r="O48" s="135">
        <v>0.2</v>
      </c>
      <c r="Q48" s="23"/>
      <c r="R48" s="24"/>
      <c r="S48" s="24"/>
      <c r="T48" s="24"/>
      <c r="U48" s="25"/>
      <c r="V48" s="25"/>
      <c r="W48" s="25" t="s">
        <v>30</v>
      </c>
      <c r="X48" s="26"/>
    </row>
    <row r="49" spans="1:24">
      <c r="A49" s="9" t="s">
        <v>64</v>
      </c>
      <c r="C49" s="171" t="s">
        <v>12</v>
      </c>
      <c r="D49" s="18">
        <f>+$O$60*$K$119*$N$119*2400</f>
        <v>1619.9999999999998</v>
      </c>
      <c r="E49" s="3" t="s">
        <v>0</v>
      </c>
      <c r="H49" s="62"/>
      <c r="N49" s="86">
        <v>2</v>
      </c>
      <c r="O49" s="135">
        <v>0.3</v>
      </c>
      <c r="Q49" s="27" t="s">
        <v>31</v>
      </c>
      <c r="R49" s="28" t="s">
        <v>32</v>
      </c>
      <c r="S49" s="29" t="s">
        <v>33</v>
      </c>
      <c r="T49" s="29" t="s">
        <v>34</v>
      </c>
      <c r="U49" s="29"/>
      <c r="V49" s="29"/>
      <c r="X49" s="30"/>
    </row>
    <row r="50" spans="1:24">
      <c r="A50" s="9" t="s">
        <v>65</v>
      </c>
      <c r="C50" s="171" t="s">
        <v>12</v>
      </c>
      <c r="D50" s="18">
        <f>+($D$13-$O$60)*$K$119*$N$119*$W$6</f>
        <v>900.00000000000034</v>
      </c>
      <c r="E50" s="3" t="s">
        <v>0</v>
      </c>
      <c r="H50" s="62"/>
      <c r="N50" s="86">
        <v>3</v>
      </c>
      <c r="O50" s="135">
        <v>0.4</v>
      </c>
      <c r="Q50" s="27">
        <v>1</v>
      </c>
      <c r="R50" s="31" t="s">
        <v>35</v>
      </c>
      <c r="S50" s="28">
        <v>6</v>
      </c>
      <c r="T50" s="28">
        <f>0.25*PI()*(S50*0.1)^2</f>
        <v>0.28274333882308145</v>
      </c>
      <c r="U50" s="29"/>
      <c r="V50" s="29"/>
      <c r="W50" s="28">
        <v>1</v>
      </c>
      <c r="X50" s="30"/>
    </row>
    <row r="51" spans="1:24">
      <c r="A51" s="9" t="s">
        <v>66</v>
      </c>
      <c r="C51" s="171" t="s">
        <v>12</v>
      </c>
      <c r="D51" s="18">
        <f>+$D$49+$D$50</f>
        <v>2520</v>
      </c>
      <c r="E51" s="3" t="s">
        <v>0</v>
      </c>
      <c r="F51" s="61" t="str">
        <f>+IF($D$51&lt;($D$16*1000),"&lt;&lt;  น้อยกว่า  &gt;&gt;"," &lt;&lt;  มากกว่า  &gt;&gt;")</f>
        <v>&lt;&lt;  น้อยกว่า  &gt;&gt;</v>
      </c>
      <c r="G51" s="44">
        <f>+$D$16*1000</f>
        <v>2625</v>
      </c>
      <c r="H51" s="61" t="str">
        <f>+IF($D$51&lt;$G$51,"O.K.","NO")</f>
        <v>O.K.</v>
      </c>
      <c r="N51" s="86">
        <v>4</v>
      </c>
      <c r="O51" s="135">
        <v>0.5</v>
      </c>
      <c r="Q51" s="27">
        <v>2</v>
      </c>
      <c r="R51" s="31" t="s">
        <v>36</v>
      </c>
      <c r="S51" s="28">
        <v>9</v>
      </c>
      <c r="T51" s="28">
        <f>0.25*PI()*(S51*0.1)^2</f>
        <v>0.63617251235193317</v>
      </c>
      <c r="U51" s="29"/>
      <c r="V51" s="29"/>
      <c r="W51" s="28">
        <v>2</v>
      </c>
      <c r="X51" s="30"/>
    </row>
    <row r="52" spans="1:24">
      <c r="N52" s="86">
        <v>5</v>
      </c>
      <c r="O52" s="135">
        <v>0.6</v>
      </c>
      <c r="Q52" s="27">
        <v>3</v>
      </c>
      <c r="R52" s="31" t="s">
        <v>37</v>
      </c>
      <c r="S52" s="28">
        <v>10</v>
      </c>
      <c r="T52" s="28">
        <f t="shared" ref="T52:T57" si="1">0.25*PI()*(S52*0.1)^2</f>
        <v>0.78539816339744828</v>
      </c>
      <c r="U52" s="29"/>
      <c r="V52" s="29"/>
      <c r="W52" s="28">
        <v>3</v>
      </c>
      <c r="X52" s="30"/>
    </row>
    <row r="53" spans="1:24">
      <c r="A53" s="69" t="s">
        <v>73</v>
      </c>
      <c r="N53" s="86">
        <v>6</v>
      </c>
      <c r="O53" s="135">
        <v>0.7</v>
      </c>
      <c r="Q53" s="27">
        <v>4</v>
      </c>
      <c r="R53" s="31" t="s">
        <v>38</v>
      </c>
      <c r="S53" s="28">
        <v>12</v>
      </c>
      <c r="T53" s="28">
        <f t="shared" si="1"/>
        <v>1.1309733552923258</v>
      </c>
      <c r="U53" s="29"/>
      <c r="V53" s="29"/>
      <c r="W53" s="28">
        <v>4</v>
      </c>
      <c r="X53" s="30"/>
    </row>
    <row r="54" spans="1:24" ht="15.75">
      <c r="A54" s="9" t="s">
        <v>94</v>
      </c>
      <c r="B54" s="53" t="s">
        <v>74</v>
      </c>
      <c r="C54" s="171" t="s">
        <v>12</v>
      </c>
      <c r="D54" s="106">
        <f>+$D$27*100/($H$9*$H$11*$D$30)</f>
        <v>20.396551724137936</v>
      </c>
      <c r="E54" s="3" t="s">
        <v>78</v>
      </c>
      <c r="F54" s="60" t="s">
        <v>84</v>
      </c>
      <c r="G54" s="3" t="s">
        <v>77</v>
      </c>
      <c r="N54" s="86">
        <v>7</v>
      </c>
      <c r="O54" s="135">
        <v>0.8</v>
      </c>
      <c r="Q54" s="27">
        <v>5</v>
      </c>
      <c r="R54" s="31" t="s">
        <v>39</v>
      </c>
      <c r="S54" s="28">
        <v>15</v>
      </c>
      <c r="T54" s="28">
        <f t="shared" si="1"/>
        <v>1.7671458676442586</v>
      </c>
      <c r="U54" s="29"/>
      <c r="V54" s="29"/>
      <c r="W54" s="28">
        <v>5</v>
      </c>
      <c r="X54" s="30"/>
    </row>
    <row r="55" spans="1:24" ht="15.75">
      <c r="A55" s="9" t="s">
        <v>75</v>
      </c>
      <c r="B55" s="53" t="s">
        <v>74</v>
      </c>
      <c r="C55" s="171" t="s">
        <v>12</v>
      </c>
      <c r="D55" s="22">
        <f>14*($N$119*100*$D$30)/$D$6</f>
        <v>16.40625</v>
      </c>
      <c r="E55" s="3" t="s">
        <v>78</v>
      </c>
      <c r="F55" s="60" t="s">
        <v>83</v>
      </c>
      <c r="G55" s="3" t="s">
        <v>76</v>
      </c>
      <c r="N55" s="86">
        <v>8</v>
      </c>
      <c r="O55" s="135">
        <v>0.9</v>
      </c>
      <c r="Q55" s="27">
        <v>6</v>
      </c>
      <c r="R55" s="31" t="s">
        <v>40</v>
      </c>
      <c r="S55" s="28">
        <v>16</v>
      </c>
      <c r="T55" s="28">
        <f t="shared" si="1"/>
        <v>2.0106192982974678</v>
      </c>
      <c r="U55" s="29"/>
      <c r="V55" s="29"/>
      <c r="W55" s="28">
        <v>6</v>
      </c>
      <c r="X55" s="30"/>
    </row>
    <row r="56" spans="1:24" ht="15.75">
      <c r="A56" s="9" t="s">
        <v>79</v>
      </c>
      <c r="B56" s="53" t="s">
        <v>74</v>
      </c>
      <c r="C56" s="171" t="s">
        <v>12</v>
      </c>
      <c r="D56" s="22">
        <f>+U92*$W$99</f>
        <v>26.13805087786708</v>
      </c>
      <c r="E56" s="3" t="s">
        <v>78</v>
      </c>
      <c r="F56" s="61" t="str">
        <f>+IF($D$56&gt;($D$54),"&lt;&lt;  มากกว่า  &gt;&gt;"," &lt;&lt;  น้อยกว่า  &gt;&gt;")</f>
        <v>&lt;&lt;  มากกว่า  &gt;&gt;</v>
      </c>
      <c r="G56" s="119">
        <f>+MAX($D$54,$D$55)</f>
        <v>20.396551724137936</v>
      </c>
      <c r="H56" s="61" t="str">
        <f>+IF($D$56&gt;$G$56,"O.K.","NO")</f>
        <v>O.K.</v>
      </c>
      <c r="N56" s="86">
        <v>9</v>
      </c>
      <c r="O56" s="135">
        <v>1</v>
      </c>
      <c r="Q56" s="27">
        <v>7</v>
      </c>
      <c r="R56" s="31" t="s">
        <v>41</v>
      </c>
      <c r="S56" s="28">
        <v>20</v>
      </c>
      <c r="T56" s="28">
        <f t="shared" si="1"/>
        <v>3.1415926535897931</v>
      </c>
      <c r="U56" s="29"/>
      <c r="V56" s="29"/>
      <c r="W56" s="28">
        <v>7</v>
      </c>
      <c r="X56" s="30"/>
    </row>
    <row r="57" spans="1:24" ht="18.75">
      <c r="A57" s="9" t="s">
        <v>79</v>
      </c>
      <c r="B57" s="55" t="s">
        <v>80</v>
      </c>
      <c r="C57" s="171" t="s">
        <v>12</v>
      </c>
      <c r="D57" s="22">
        <f>+VLOOKUP($T$92,Q78:U87,5)*$W$99</f>
        <v>65.345127194667697</v>
      </c>
      <c r="E57" s="3" t="s">
        <v>2</v>
      </c>
      <c r="N57" s="41"/>
      <c r="O57" s="43"/>
      <c r="Q57" s="27">
        <v>8</v>
      </c>
      <c r="R57" s="31" t="s">
        <v>42</v>
      </c>
      <c r="S57" s="28">
        <v>25</v>
      </c>
      <c r="T57" s="28">
        <f t="shared" si="1"/>
        <v>4.908738521234052</v>
      </c>
      <c r="U57" s="29"/>
      <c r="V57" s="29"/>
      <c r="W57" s="28">
        <v>8</v>
      </c>
      <c r="X57" s="30"/>
    </row>
    <row r="58" spans="1:24">
      <c r="A58" s="54" t="s">
        <v>109</v>
      </c>
      <c r="B58" s="53" t="s">
        <v>89</v>
      </c>
      <c r="C58" s="171" t="s">
        <v>12</v>
      </c>
      <c r="D58" s="22">
        <f>IF($V$90&lt;35,V90,35)</f>
        <v>26.321279711005694</v>
      </c>
      <c r="E58" s="3" t="s">
        <v>8</v>
      </c>
      <c r="Q58" s="27">
        <v>9</v>
      </c>
      <c r="R58" s="31" t="s">
        <v>43</v>
      </c>
      <c r="S58" s="28">
        <v>28</v>
      </c>
      <c r="T58" s="28">
        <f>0.25*PI()*(S58*0.1)^2</f>
        <v>6.1575216010359961</v>
      </c>
      <c r="U58" s="29"/>
      <c r="V58" s="29"/>
      <c r="W58" s="28">
        <v>9</v>
      </c>
      <c r="X58" s="30"/>
    </row>
    <row r="59" spans="1:24">
      <c r="Q59" s="27">
        <v>10</v>
      </c>
      <c r="R59" s="31" t="s">
        <v>44</v>
      </c>
      <c r="S59" s="28">
        <v>32</v>
      </c>
      <c r="T59" s="28">
        <f>0.25*PI()*(S59*0.1)^2</f>
        <v>8.0424771931898711</v>
      </c>
      <c r="U59" s="29"/>
      <c r="V59" s="29"/>
      <c r="W59" s="28">
        <v>10</v>
      </c>
      <c r="X59" s="30"/>
    </row>
    <row r="60" spans="1:24" ht="15.75">
      <c r="A60" s="9" t="s">
        <v>95</v>
      </c>
      <c r="B60" s="53" t="s">
        <v>74</v>
      </c>
      <c r="C60" s="171" t="s">
        <v>12</v>
      </c>
      <c r="D60" s="106">
        <f>+$D$10*100*1000/($H$9*$H$11*$D$30)</f>
        <v>13.597701149425291</v>
      </c>
      <c r="E60" s="3" t="s">
        <v>78</v>
      </c>
      <c r="F60" s="60" t="s">
        <v>84</v>
      </c>
      <c r="G60" s="3" t="s">
        <v>77</v>
      </c>
      <c r="N60" s="21">
        <v>2</v>
      </c>
      <c r="O60" s="22">
        <f>+VLOOKUP(N60,N48:O56,2)</f>
        <v>0.3</v>
      </c>
      <c r="Q60" s="86"/>
      <c r="U60" s="29"/>
      <c r="V60" s="29"/>
      <c r="W60" s="28">
        <v>11</v>
      </c>
      <c r="X60" s="30"/>
    </row>
    <row r="61" spans="1:24" ht="15.75">
      <c r="A61" s="9" t="s">
        <v>75</v>
      </c>
      <c r="B61" s="53" t="s">
        <v>74</v>
      </c>
      <c r="C61" s="171" t="s">
        <v>12</v>
      </c>
      <c r="D61" s="106">
        <f>MAX(14*($N$119*100*$D$30)/$D$6,0.002*$K$119*$D$30*100)</f>
        <v>16.40625</v>
      </c>
      <c r="E61" s="3" t="s">
        <v>78</v>
      </c>
      <c r="F61" s="60" t="s">
        <v>83</v>
      </c>
      <c r="G61" s="3" t="s">
        <v>76</v>
      </c>
      <c r="Q61" s="32"/>
      <c r="R61" s="33"/>
      <c r="S61" s="33"/>
      <c r="T61" s="33"/>
      <c r="U61" s="29"/>
      <c r="V61" s="29"/>
      <c r="W61" s="28">
        <v>12</v>
      </c>
      <c r="X61" s="30"/>
    </row>
    <row r="62" spans="1:24" ht="15.75">
      <c r="A62" s="9" t="s">
        <v>79</v>
      </c>
      <c r="B62" s="53" t="s">
        <v>74</v>
      </c>
      <c r="C62" s="171" t="s">
        <v>12</v>
      </c>
      <c r="D62" s="22">
        <f>+AB92*AF99</f>
        <v>26.13805087786708</v>
      </c>
      <c r="E62" s="3" t="s">
        <v>78</v>
      </c>
      <c r="F62" s="61" t="str">
        <f>+IF($D$62&gt;MAX($D$60,$D$61),"&lt;&lt;  มากกว่า  &gt;&gt;"," &lt;&lt;  น้อยกว่า  &gt;&gt;")</f>
        <v>&lt;&lt;  มากกว่า  &gt;&gt;</v>
      </c>
      <c r="G62" s="119">
        <f>+MAX($D$60,$D$61)</f>
        <v>16.40625</v>
      </c>
      <c r="H62" s="61" t="str">
        <f>+IF($D$62&gt;$G$62,"O.K.","NO")</f>
        <v>O.K.</v>
      </c>
      <c r="Q62" s="32"/>
      <c r="R62" s="33"/>
      <c r="S62" s="33"/>
      <c r="T62" s="33"/>
      <c r="U62" s="34"/>
      <c r="V62" s="34"/>
      <c r="W62" s="35">
        <v>13</v>
      </c>
      <c r="X62" s="30"/>
    </row>
    <row r="63" spans="1:24" ht="18.75">
      <c r="A63" s="9" t="s">
        <v>79</v>
      </c>
      <c r="B63" s="55" t="s">
        <v>80</v>
      </c>
      <c r="C63" s="171" t="s">
        <v>12</v>
      </c>
      <c r="D63" s="22">
        <f>+VLOOKUP($AA$92,Z78:AD87,5)*$AF$99</f>
        <v>65.345127194667697</v>
      </c>
      <c r="E63" s="3" t="s">
        <v>2</v>
      </c>
      <c r="J63" s="23"/>
      <c r="K63" s="145" t="s">
        <v>9</v>
      </c>
      <c r="L63" s="26"/>
      <c r="M63" s="24"/>
      <c r="N63" s="24" t="s">
        <v>10</v>
      </c>
      <c r="O63" s="26"/>
      <c r="Q63" s="32"/>
      <c r="R63" s="36">
        <v>8</v>
      </c>
      <c r="S63" s="37">
        <v>0</v>
      </c>
      <c r="T63" s="38"/>
      <c r="U63" s="29"/>
      <c r="V63" s="29"/>
      <c r="W63" s="28">
        <v>14</v>
      </c>
      <c r="X63" s="30"/>
    </row>
    <row r="64" spans="1:24">
      <c r="A64" s="54" t="s">
        <v>109</v>
      </c>
      <c r="B64" s="53" t="s">
        <v>89</v>
      </c>
      <c r="C64" s="171" t="s">
        <v>12</v>
      </c>
      <c r="D64" s="22">
        <f>+IF(AE90&lt;35,AE90,35)</f>
        <v>26.321279711005694</v>
      </c>
      <c r="E64" s="3" t="s">
        <v>8</v>
      </c>
      <c r="J64" s="86">
        <v>1</v>
      </c>
      <c r="K64" s="146">
        <v>0.5</v>
      </c>
      <c r="L64" s="30"/>
      <c r="M64" s="33">
        <v>1</v>
      </c>
      <c r="N64" s="147">
        <v>0.5</v>
      </c>
      <c r="O64" s="30"/>
      <c r="Q64" s="32"/>
      <c r="R64" s="28"/>
      <c r="S64" s="35"/>
      <c r="T64" s="34"/>
      <c r="U64" s="29"/>
      <c r="V64" s="29"/>
      <c r="W64" s="28">
        <v>15</v>
      </c>
      <c r="X64" s="30"/>
    </row>
    <row r="65" spans="1:33">
      <c r="J65" s="86">
        <v>2</v>
      </c>
      <c r="K65" s="146">
        <v>0.6</v>
      </c>
      <c r="L65" s="30"/>
      <c r="M65" s="33">
        <v>2</v>
      </c>
      <c r="N65" s="147">
        <v>0.6</v>
      </c>
      <c r="O65" s="30"/>
      <c r="Q65" s="32"/>
      <c r="R65" s="37">
        <v>1</v>
      </c>
      <c r="S65" s="39">
        <f>VLOOKUP(R63,Q50:S59,3)</f>
        <v>25</v>
      </c>
      <c r="T65" s="38"/>
      <c r="U65" s="29"/>
      <c r="V65" s="29"/>
      <c r="W65" s="28">
        <v>16</v>
      </c>
      <c r="X65" s="30"/>
    </row>
    <row r="66" spans="1:33">
      <c r="J66" s="86">
        <v>3</v>
      </c>
      <c r="K66" s="146">
        <v>0.7</v>
      </c>
      <c r="L66" s="30"/>
      <c r="M66" s="33">
        <v>3</v>
      </c>
      <c r="N66" s="147">
        <v>0.7</v>
      </c>
      <c r="O66" s="30"/>
      <c r="Q66" s="32"/>
      <c r="R66" s="29"/>
      <c r="S66" s="40"/>
      <c r="T66" s="29"/>
      <c r="U66" s="29"/>
      <c r="V66" s="29"/>
      <c r="W66" s="28">
        <v>17</v>
      </c>
      <c r="X66" s="30"/>
    </row>
    <row r="67" spans="1:33">
      <c r="A67" s="74" t="s">
        <v>118</v>
      </c>
      <c r="J67" s="86">
        <v>4</v>
      </c>
      <c r="K67" s="146">
        <v>0.8</v>
      </c>
      <c r="L67" s="30"/>
      <c r="M67" s="33">
        <v>4</v>
      </c>
      <c r="N67" s="147">
        <v>0.8</v>
      </c>
      <c r="O67" s="30"/>
      <c r="Q67" s="32"/>
      <c r="R67" s="37">
        <v>1</v>
      </c>
      <c r="S67" s="37">
        <f>VLOOKUP(R67,Q50:S59,3)</f>
        <v>6</v>
      </c>
      <c r="T67" s="38"/>
      <c r="U67" s="29"/>
      <c r="V67" s="29"/>
      <c r="W67" s="28">
        <v>18</v>
      </c>
      <c r="X67" s="30"/>
    </row>
    <row r="68" spans="1:33" ht="18.75">
      <c r="A68" s="9" t="s">
        <v>138</v>
      </c>
      <c r="B68" s="55" t="s">
        <v>80</v>
      </c>
      <c r="C68" s="3" t="s">
        <v>12</v>
      </c>
      <c r="D68" s="22">
        <f>+($D$24*$H$27*$S$65*0.1)/(3.23*SQRT($H$7)*$H$11*$D$30)</f>
        <v>31.585895273175922</v>
      </c>
      <c r="E68" s="3" t="s">
        <v>2</v>
      </c>
      <c r="F68" s="61" t="str">
        <f>+IF(D68&lt;D57,"&lt;&lt; น้อยกว่า &gt;&gt;","&lt;&lt; มากกว่า &gt;&gt;")</f>
        <v>&lt;&lt; น้อยกว่า &gt;&gt;</v>
      </c>
      <c r="G68" s="20">
        <f>+$D$57</f>
        <v>65.345127194667697</v>
      </c>
      <c r="H68" s="61" t="str">
        <f>+IF($D$68&lt;$D$57,"O.K.","NO")</f>
        <v>O.K.</v>
      </c>
      <c r="J68" s="86">
        <v>5</v>
      </c>
      <c r="K68" s="146">
        <v>0.9</v>
      </c>
      <c r="L68" s="30"/>
      <c r="M68" s="33">
        <v>5</v>
      </c>
      <c r="N68" s="147">
        <v>0.9</v>
      </c>
      <c r="O68" s="30"/>
      <c r="Q68" s="32"/>
      <c r="R68" s="29"/>
      <c r="S68" s="29"/>
      <c r="T68" s="29"/>
      <c r="U68" s="29"/>
      <c r="V68" s="29"/>
      <c r="W68" s="28">
        <v>19</v>
      </c>
      <c r="X68" s="30"/>
    </row>
    <row r="69" spans="1:33" ht="21" customHeight="1">
      <c r="A69" s="54" t="s">
        <v>86</v>
      </c>
      <c r="B69" s="87" t="s">
        <v>91</v>
      </c>
      <c r="C69" s="3" t="s">
        <v>12</v>
      </c>
      <c r="D69" s="22">
        <f>+$S$65*0.1*$H$9/(4*D58)</f>
        <v>28.494055313215</v>
      </c>
      <c r="E69" s="3" t="s">
        <v>2</v>
      </c>
      <c r="J69" s="86">
        <v>6</v>
      </c>
      <c r="K69" s="146">
        <v>1</v>
      </c>
      <c r="L69" s="30"/>
      <c r="M69" s="33">
        <v>6</v>
      </c>
      <c r="N69" s="147">
        <v>1</v>
      </c>
      <c r="O69" s="30"/>
      <c r="Q69" s="32"/>
      <c r="R69" s="38"/>
      <c r="S69" s="38"/>
      <c r="T69" s="38"/>
      <c r="U69" s="29"/>
      <c r="V69" s="29"/>
      <c r="W69" s="28">
        <v>20</v>
      </c>
      <c r="X69" s="30"/>
    </row>
    <row r="70" spans="1:33" ht="18" customHeight="1">
      <c r="A70" s="9" t="s">
        <v>87</v>
      </c>
      <c r="B70" s="87" t="s">
        <v>91</v>
      </c>
      <c r="C70" s="3" t="s">
        <v>12</v>
      </c>
      <c r="D70" s="18">
        <f>+(($K$119*0.5)-($O$43*0.5))*100-$H$6</f>
        <v>55</v>
      </c>
      <c r="E70" s="3" t="s">
        <v>2</v>
      </c>
      <c r="F70" s="61" t="str">
        <f>+IF(D70&gt;D69,"&lt;&lt; มากกว่า &gt;&gt;","&lt;&lt; น้อยกว่า &gt;&gt;")</f>
        <v>&lt;&lt; มากกว่า &gt;&gt;</v>
      </c>
      <c r="G70">
        <f>+$D$69</f>
        <v>28.494055313215</v>
      </c>
      <c r="H70" s="61" t="str">
        <f>+IF($D$70&gt;$D$69,"O.K.","NO")</f>
        <v>O.K.</v>
      </c>
      <c r="J70" s="86">
        <v>7</v>
      </c>
      <c r="K70" s="146">
        <v>1.1000000000000001</v>
      </c>
      <c r="L70" s="30"/>
      <c r="M70" s="33">
        <v>7</v>
      </c>
      <c r="N70" s="147">
        <v>1.1000000000000001</v>
      </c>
      <c r="O70" s="30"/>
      <c r="Q70" s="32"/>
      <c r="R70" s="29"/>
      <c r="S70" s="29"/>
      <c r="T70" s="29"/>
      <c r="U70" s="29"/>
      <c r="V70" s="29"/>
      <c r="W70" s="28"/>
      <c r="X70" s="30"/>
    </row>
    <row r="71" spans="1:33" ht="15" thickBot="1">
      <c r="J71" s="86">
        <v>8</v>
      </c>
      <c r="K71" s="146">
        <v>1.2</v>
      </c>
      <c r="L71" s="30"/>
      <c r="M71" s="33">
        <v>8</v>
      </c>
      <c r="N71" s="147">
        <v>1.2</v>
      </c>
      <c r="O71" s="30"/>
      <c r="Q71" s="32"/>
      <c r="R71" s="29"/>
      <c r="S71" s="40"/>
      <c r="T71" s="29"/>
      <c r="U71" s="29"/>
      <c r="V71" s="29"/>
      <c r="W71" s="37">
        <v>7</v>
      </c>
      <c r="X71" s="30"/>
    </row>
    <row r="72" spans="1:33" ht="15" thickTop="1">
      <c r="A72" s="122" t="s">
        <v>92</v>
      </c>
      <c r="B72" s="123">
        <f>+K119</f>
        <v>1.5</v>
      </c>
      <c r="C72" s="124" t="s">
        <v>24</v>
      </c>
      <c r="D72" s="125">
        <f>+N119</f>
        <v>1.5</v>
      </c>
      <c r="E72" s="124" t="s">
        <v>131</v>
      </c>
      <c r="F72" s="125">
        <f>+O60</f>
        <v>0.3</v>
      </c>
      <c r="G72" s="126"/>
      <c r="H72" s="127"/>
      <c r="J72" s="86">
        <v>9</v>
      </c>
      <c r="K72" s="146">
        <v>1.25</v>
      </c>
      <c r="L72" s="30"/>
      <c r="M72" s="33">
        <v>9</v>
      </c>
      <c r="N72" s="147">
        <v>1.25</v>
      </c>
      <c r="O72" s="30"/>
      <c r="Q72" s="41"/>
      <c r="R72" s="42"/>
      <c r="S72" s="42"/>
      <c r="T72" s="42"/>
      <c r="U72" s="42"/>
      <c r="V72" s="42"/>
      <c r="W72" s="42"/>
      <c r="X72" s="43"/>
    </row>
    <row r="73" spans="1:33">
      <c r="A73" s="128" t="s">
        <v>93</v>
      </c>
      <c r="B73" s="33">
        <f>+VLOOKUP($AA$21,Z8:AA17,2)</f>
        <v>12</v>
      </c>
      <c r="C73" s="33"/>
      <c r="D73" s="33" t="s">
        <v>130</v>
      </c>
      <c r="E73" s="33"/>
      <c r="F73" s="137">
        <f>+D14</f>
        <v>0.15</v>
      </c>
      <c r="G73" s="33" t="s">
        <v>132</v>
      </c>
      <c r="H73" s="153">
        <f>+$D$12</f>
        <v>1.7</v>
      </c>
      <c r="J73" s="86">
        <v>10</v>
      </c>
      <c r="K73" s="146">
        <v>1.3</v>
      </c>
      <c r="L73" s="30"/>
      <c r="M73" s="33">
        <v>10</v>
      </c>
      <c r="N73" s="147">
        <v>1.3</v>
      </c>
      <c r="O73" s="30"/>
    </row>
    <row r="74" spans="1:33">
      <c r="A74" s="128" t="s">
        <v>99</v>
      </c>
      <c r="B74" s="33">
        <f>+W99</f>
        <v>13</v>
      </c>
      <c r="C74" s="98" t="s">
        <v>101</v>
      </c>
      <c r="D74" s="99">
        <f>+VLOOKUP(T92,Q78:S87,3)</f>
        <v>16</v>
      </c>
      <c r="E74" s="3" t="s">
        <v>77</v>
      </c>
      <c r="F74" s="33"/>
      <c r="G74" s="33"/>
      <c r="H74" s="153" t="s">
        <v>133</v>
      </c>
      <c r="J74" s="86">
        <v>11</v>
      </c>
      <c r="K74" s="146">
        <v>1.35</v>
      </c>
      <c r="L74" s="30"/>
      <c r="M74" s="33">
        <v>11</v>
      </c>
      <c r="N74" s="147">
        <v>1.35</v>
      </c>
      <c r="O74" s="30"/>
      <c r="R74" t="s">
        <v>96</v>
      </c>
      <c r="AA74" t="s">
        <v>97</v>
      </c>
    </row>
    <row r="75" spans="1:33" ht="15" thickBot="1">
      <c r="A75" s="129" t="s">
        <v>100</v>
      </c>
      <c r="B75" s="130">
        <f>+AF99</f>
        <v>13</v>
      </c>
      <c r="C75" s="131" t="s">
        <v>101</v>
      </c>
      <c r="D75" s="131">
        <f>+VLOOKUP(AA92,Z78:AB87,3)</f>
        <v>16</v>
      </c>
      <c r="E75" s="131" t="s">
        <v>77</v>
      </c>
      <c r="F75" s="130"/>
      <c r="G75" s="130"/>
      <c r="H75" s="132"/>
      <c r="J75" s="86">
        <v>12</v>
      </c>
      <c r="K75" s="146">
        <v>1.4</v>
      </c>
      <c r="L75" s="30"/>
      <c r="M75" s="33">
        <v>12</v>
      </c>
      <c r="N75" s="147">
        <v>1.4</v>
      </c>
      <c r="O75" s="30"/>
    </row>
    <row r="76" spans="1:33" ht="15" thickTop="1">
      <c r="J76" s="86">
        <v>13</v>
      </c>
      <c r="K76" s="146">
        <v>1.45</v>
      </c>
      <c r="L76" s="30"/>
      <c r="M76" s="33">
        <v>13</v>
      </c>
      <c r="N76" s="147">
        <v>1.45</v>
      </c>
      <c r="O76" s="30"/>
      <c r="Q76" s="23"/>
      <c r="R76" s="24"/>
      <c r="S76" s="24"/>
      <c r="T76" s="24"/>
      <c r="U76" s="92"/>
      <c r="V76" s="25"/>
      <c r="W76" s="24"/>
      <c r="X76" s="26"/>
      <c r="Z76" s="23"/>
      <c r="AA76" s="24"/>
      <c r="AB76" s="24"/>
      <c r="AC76" s="24"/>
      <c r="AD76" s="92"/>
      <c r="AE76" s="25"/>
      <c r="AF76" s="24"/>
      <c r="AG76" s="26"/>
    </row>
    <row r="77" spans="1:33" ht="18.75">
      <c r="J77" s="86">
        <v>14</v>
      </c>
      <c r="K77" s="146">
        <v>1.5</v>
      </c>
      <c r="L77" s="30"/>
      <c r="M77" s="33">
        <v>14</v>
      </c>
      <c r="N77" s="147">
        <v>1.5</v>
      </c>
      <c r="O77" s="30"/>
      <c r="Q77" s="27" t="s">
        <v>31</v>
      </c>
      <c r="R77" s="28" t="s">
        <v>32</v>
      </c>
      <c r="S77" s="29" t="s">
        <v>33</v>
      </c>
      <c r="T77" s="29" t="s">
        <v>34</v>
      </c>
      <c r="U77" s="55" t="s">
        <v>80</v>
      </c>
      <c r="V77" s="28" t="s">
        <v>88</v>
      </c>
      <c r="W77" s="29" t="s">
        <v>30</v>
      </c>
      <c r="X77" s="113"/>
      <c r="Z77" s="27" t="s">
        <v>31</v>
      </c>
      <c r="AA77" s="28" t="s">
        <v>32</v>
      </c>
      <c r="AB77" s="29" t="s">
        <v>33</v>
      </c>
      <c r="AC77" s="29" t="s">
        <v>34</v>
      </c>
      <c r="AD77" s="55" t="s">
        <v>80</v>
      </c>
      <c r="AE77" s="28" t="s">
        <v>88</v>
      </c>
      <c r="AF77" s="29" t="s">
        <v>30</v>
      </c>
      <c r="AG77" s="113"/>
    </row>
    <row r="78" spans="1:33">
      <c r="J78" s="86">
        <v>15</v>
      </c>
      <c r="K78" s="146">
        <v>1.55</v>
      </c>
      <c r="L78" s="30"/>
      <c r="M78" s="33">
        <v>15</v>
      </c>
      <c r="N78" s="147">
        <v>1.55</v>
      </c>
      <c r="O78" s="30"/>
      <c r="Q78" s="83">
        <v>1</v>
      </c>
      <c r="R78" s="84" t="s">
        <v>35</v>
      </c>
      <c r="S78" s="82">
        <v>6</v>
      </c>
      <c r="T78" s="85">
        <f>0.25*PI()*(S78*0.1)^2</f>
        <v>0.28274333882308145</v>
      </c>
      <c r="U78" s="20">
        <f t="shared" ref="U78:U87" si="2">+PI()*S78/10</f>
        <v>1.8849555921538759</v>
      </c>
      <c r="V78" s="81">
        <f>3.23*SQRT($H$7)/($S78/10)</f>
        <v>70.190079229348527</v>
      </c>
      <c r="W78" s="82">
        <v>1</v>
      </c>
      <c r="X78" s="114"/>
      <c r="Z78" s="83">
        <v>1</v>
      </c>
      <c r="AA78" s="84" t="s">
        <v>35</v>
      </c>
      <c r="AB78" s="82">
        <v>6</v>
      </c>
      <c r="AC78" s="85">
        <f>0.25*PI()*(AB78*0.1)^2</f>
        <v>0.28274333882308145</v>
      </c>
      <c r="AD78" s="20">
        <f t="shared" ref="AD78:AD87" si="3">+PI()*AB78/10</f>
        <v>1.8849555921538759</v>
      </c>
      <c r="AE78" s="81">
        <f>3.23*SQRT($H$7)/($S78/10)</f>
        <v>70.190079229348527</v>
      </c>
      <c r="AF78" s="82">
        <v>1</v>
      </c>
      <c r="AG78" s="114"/>
    </row>
    <row r="79" spans="1:33">
      <c r="J79" s="86">
        <v>16</v>
      </c>
      <c r="K79" s="146">
        <v>1.6</v>
      </c>
      <c r="L79" s="33"/>
      <c r="M79" s="86">
        <v>16</v>
      </c>
      <c r="N79" s="147">
        <v>1.6</v>
      </c>
      <c r="O79" s="30"/>
      <c r="Q79" s="27">
        <v>2</v>
      </c>
      <c r="R79" s="31" t="s">
        <v>36</v>
      </c>
      <c r="S79" s="28">
        <v>9</v>
      </c>
      <c r="T79" s="29">
        <f>0.25*PI()*(S79*0.1)^2</f>
        <v>0.63617251235193317</v>
      </c>
      <c r="U79" s="20">
        <f t="shared" si="2"/>
        <v>2.8274333882308138</v>
      </c>
      <c r="V79" s="75">
        <f t="shared" ref="V79:V87" si="4">3.23*SQRT($H$7)/($S79/10)</f>
        <v>46.793386152899011</v>
      </c>
      <c r="W79" s="28">
        <v>2</v>
      </c>
      <c r="X79" s="115"/>
      <c r="Z79" s="27">
        <v>2</v>
      </c>
      <c r="AA79" s="31" t="s">
        <v>36</v>
      </c>
      <c r="AB79" s="28">
        <v>9</v>
      </c>
      <c r="AC79" s="29">
        <f>0.25*PI()*(AB79*0.1)^2</f>
        <v>0.63617251235193317</v>
      </c>
      <c r="AD79" s="20">
        <f t="shared" si="3"/>
        <v>2.8274333882308138</v>
      </c>
      <c r="AE79" s="75">
        <f t="shared" ref="AE79:AE87" si="5">3.23*SQRT($H$7)/($S79/10)</f>
        <v>46.793386152899011</v>
      </c>
      <c r="AF79" s="28">
        <v>2</v>
      </c>
      <c r="AG79" s="115"/>
    </row>
    <row r="80" spans="1:33">
      <c r="J80" s="86">
        <v>17</v>
      </c>
      <c r="K80" s="161">
        <v>1.65</v>
      </c>
      <c r="M80" s="86">
        <v>17</v>
      </c>
      <c r="N80" s="161">
        <v>1.65</v>
      </c>
      <c r="O80" s="30"/>
      <c r="Q80" s="27">
        <v>3</v>
      </c>
      <c r="R80" s="31" t="s">
        <v>37</v>
      </c>
      <c r="S80" s="28">
        <v>10</v>
      </c>
      <c r="T80" s="29">
        <f t="shared" ref="T80:T87" si="6">0.25*PI()*(S80*0.1)^2</f>
        <v>0.78539816339744828</v>
      </c>
      <c r="U80" s="20">
        <f t="shared" si="2"/>
        <v>3.1415926535897931</v>
      </c>
      <c r="V80" s="75">
        <f t="shared" si="4"/>
        <v>42.11404753760911</v>
      </c>
      <c r="W80" s="28">
        <v>3</v>
      </c>
      <c r="X80" s="115"/>
      <c r="Z80" s="27">
        <v>3</v>
      </c>
      <c r="AA80" s="31" t="s">
        <v>37</v>
      </c>
      <c r="AB80" s="28">
        <v>10</v>
      </c>
      <c r="AC80" s="29">
        <f t="shared" ref="AC80:AC87" si="7">0.25*PI()*(AB80*0.1)^2</f>
        <v>0.78539816339744828</v>
      </c>
      <c r="AD80" s="20">
        <f t="shared" si="3"/>
        <v>3.1415926535897931</v>
      </c>
      <c r="AE80" s="75">
        <f t="shared" si="5"/>
        <v>42.11404753760911</v>
      </c>
      <c r="AF80" s="28">
        <v>3</v>
      </c>
      <c r="AG80" s="115"/>
    </row>
    <row r="81" spans="10:33">
      <c r="J81" s="86">
        <v>18</v>
      </c>
      <c r="K81" s="161">
        <v>1.7</v>
      </c>
      <c r="L81" s="33"/>
      <c r="M81" s="86">
        <v>18</v>
      </c>
      <c r="N81" s="161">
        <v>1.7</v>
      </c>
      <c r="O81" s="30"/>
      <c r="Q81" s="27">
        <v>4</v>
      </c>
      <c r="R81" s="31" t="s">
        <v>38</v>
      </c>
      <c r="S81" s="28">
        <v>12</v>
      </c>
      <c r="T81" s="29">
        <f t="shared" si="6"/>
        <v>1.1309733552923258</v>
      </c>
      <c r="U81" s="20">
        <f t="shared" si="2"/>
        <v>3.7699111843077517</v>
      </c>
      <c r="V81" s="75">
        <f t="shared" si="4"/>
        <v>35.095039614674263</v>
      </c>
      <c r="W81" s="28">
        <v>4</v>
      </c>
      <c r="X81" s="115"/>
      <c r="Z81" s="27">
        <v>4</v>
      </c>
      <c r="AA81" s="31" t="s">
        <v>38</v>
      </c>
      <c r="AB81" s="28">
        <v>12</v>
      </c>
      <c r="AC81" s="29">
        <f t="shared" si="7"/>
        <v>1.1309733552923258</v>
      </c>
      <c r="AD81" s="20">
        <f t="shared" si="3"/>
        <v>3.7699111843077517</v>
      </c>
      <c r="AE81" s="75">
        <f t="shared" si="5"/>
        <v>35.095039614674263</v>
      </c>
      <c r="AF81" s="28">
        <v>4</v>
      </c>
      <c r="AG81" s="115"/>
    </row>
    <row r="82" spans="10:33">
      <c r="J82" s="86">
        <v>19</v>
      </c>
      <c r="K82" s="161">
        <v>1.75</v>
      </c>
      <c r="M82" s="86">
        <v>19</v>
      </c>
      <c r="N82" s="161">
        <v>1.75</v>
      </c>
      <c r="O82" s="30"/>
      <c r="Q82" s="27">
        <v>5</v>
      </c>
      <c r="R82" s="31" t="s">
        <v>39</v>
      </c>
      <c r="S82" s="28">
        <v>15</v>
      </c>
      <c r="T82" s="29">
        <f t="shared" si="6"/>
        <v>1.7671458676442586</v>
      </c>
      <c r="U82" s="20">
        <f t="shared" si="2"/>
        <v>4.7123889803846897</v>
      </c>
      <c r="V82" s="75">
        <f t="shared" si="4"/>
        <v>28.076031691739406</v>
      </c>
      <c r="W82" s="28">
        <v>5</v>
      </c>
      <c r="X82" s="115"/>
      <c r="Z82" s="27">
        <v>5</v>
      </c>
      <c r="AA82" s="31" t="s">
        <v>39</v>
      </c>
      <c r="AB82" s="28">
        <v>15</v>
      </c>
      <c r="AC82" s="29">
        <f t="shared" si="7"/>
        <v>1.7671458676442586</v>
      </c>
      <c r="AD82" s="20">
        <f t="shared" si="3"/>
        <v>4.7123889803846897</v>
      </c>
      <c r="AE82" s="75">
        <f t="shared" si="5"/>
        <v>28.076031691739406</v>
      </c>
      <c r="AF82" s="28">
        <v>5</v>
      </c>
      <c r="AG82" s="115"/>
    </row>
    <row r="83" spans="10:33">
      <c r="J83" s="86">
        <v>20</v>
      </c>
      <c r="K83" s="177">
        <v>1.8</v>
      </c>
      <c r="L83" s="174"/>
      <c r="M83" s="86">
        <v>20</v>
      </c>
      <c r="N83" s="177">
        <v>1.8</v>
      </c>
      <c r="O83" s="30"/>
      <c r="Q83" s="27">
        <v>6</v>
      </c>
      <c r="R83" s="31" t="s">
        <v>40</v>
      </c>
      <c r="S83" s="28">
        <v>16</v>
      </c>
      <c r="T83" s="29">
        <f t="shared" si="6"/>
        <v>2.0106192982974678</v>
      </c>
      <c r="U83" s="20">
        <f t="shared" si="2"/>
        <v>5.026548245743669</v>
      </c>
      <c r="V83" s="75">
        <f t="shared" si="4"/>
        <v>26.321279711005694</v>
      </c>
      <c r="W83" s="28">
        <v>6</v>
      </c>
      <c r="X83" s="115"/>
      <c r="Z83" s="27">
        <v>6</v>
      </c>
      <c r="AA83" s="31" t="s">
        <v>40</v>
      </c>
      <c r="AB83" s="28">
        <v>16</v>
      </c>
      <c r="AC83" s="29">
        <f t="shared" si="7"/>
        <v>2.0106192982974678</v>
      </c>
      <c r="AD83" s="20">
        <f t="shared" si="3"/>
        <v>5.026548245743669</v>
      </c>
      <c r="AE83" s="75">
        <f t="shared" si="5"/>
        <v>26.321279711005694</v>
      </c>
      <c r="AF83" s="28">
        <v>6</v>
      </c>
      <c r="AG83" s="115"/>
    </row>
    <row r="84" spans="10:33">
      <c r="J84" s="86">
        <v>21</v>
      </c>
      <c r="K84" s="161">
        <v>1.85</v>
      </c>
      <c r="M84" s="86">
        <v>21</v>
      </c>
      <c r="N84" s="161">
        <v>1.85</v>
      </c>
      <c r="O84" s="30"/>
      <c r="Q84" s="27">
        <v>7</v>
      </c>
      <c r="R84" s="31" t="s">
        <v>41</v>
      </c>
      <c r="S84" s="28">
        <v>20</v>
      </c>
      <c r="T84" s="29">
        <f t="shared" si="6"/>
        <v>3.1415926535897931</v>
      </c>
      <c r="U84" s="20">
        <f t="shared" si="2"/>
        <v>6.2831853071795862</v>
      </c>
      <c r="V84" s="75">
        <f t="shared" si="4"/>
        <v>21.057023768804555</v>
      </c>
      <c r="W84" s="28">
        <v>7</v>
      </c>
      <c r="X84" s="115"/>
      <c r="Z84" s="27">
        <v>7</v>
      </c>
      <c r="AA84" s="31" t="s">
        <v>41</v>
      </c>
      <c r="AB84" s="28">
        <v>20</v>
      </c>
      <c r="AC84" s="29">
        <f t="shared" si="7"/>
        <v>3.1415926535897931</v>
      </c>
      <c r="AD84" s="20">
        <f t="shared" si="3"/>
        <v>6.2831853071795862</v>
      </c>
      <c r="AE84" s="75">
        <f t="shared" si="5"/>
        <v>21.057023768804555</v>
      </c>
      <c r="AF84" s="28">
        <v>7</v>
      </c>
      <c r="AG84" s="115"/>
    </row>
    <row r="85" spans="10:33">
      <c r="J85" s="86">
        <v>22</v>
      </c>
      <c r="K85" s="161">
        <v>1.9</v>
      </c>
      <c r="M85" s="86">
        <v>22</v>
      </c>
      <c r="N85" s="161">
        <v>1.9</v>
      </c>
      <c r="O85" s="30"/>
      <c r="Q85" s="27">
        <v>8</v>
      </c>
      <c r="R85" s="31" t="s">
        <v>42</v>
      </c>
      <c r="S85" s="28">
        <v>25</v>
      </c>
      <c r="T85" s="29">
        <f t="shared" si="6"/>
        <v>4.908738521234052</v>
      </c>
      <c r="U85" s="20">
        <f t="shared" si="2"/>
        <v>7.8539816339744828</v>
      </c>
      <c r="V85" s="75">
        <f t="shared" si="4"/>
        <v>16.845619015043646</v>
      </c>
      <c r="W85" s="28">
        <v>8</v>
      </c>
      <c r="X85" s="115"/>
      <c r="Z85" s="27">
        <v>8</v>
      </c>
      <c r="AA85" s="31" t="s">
        <v>42</v>
      </c>
      <c r="AB85" s="28">
        <v>25</v>
      </c>
      <c r="AC85" s="29">
        <f t="shared" si="7"/>
        <v>4.908738521234052</v>
      </c>
      <c r="AD85" s="20">
        <f t="shared" si="3"/>
        <v>7.8539816339744828</v>
      </c>
      <c r="AE85" s="75">
        <f t="shared" si="5"/>
        <v>16.845619015043646</v>
      </c>
      <c r="AF85" s="28">
        <v>8</v>
      </c>
      <c r="AG85" s="115"/>
    </row>
    <row r="86" spans="10:33">
      <c r="J86" s="86">
        <v>23</v>
      </c>
      <c r="K86" s="161">
        <v>1.95</v>
      </c>
      <c r="M86" s="86">
        <v>23</v>
      </c>
      <c r="N86" s="161">
        <v>1.95</v>
      </c>
      <c r="O86" s="30"/>
      <c r="Q86" s="27">
        <v>9</v>
      </c>
      <c r="R86" s="31" t="s">
        <v>43</v>
      </c>
      <c r="S86" s="28">
        <v>28</v>
      </c>
      <c r="T86" s="29">
        <f t="shared" si="6"/>
        <v>6.1575216010359961</v>
      </c>
      <c r="U86" s="20">
        <f t="shared" si="2"/>
        <v>8.7964594300514207</v>
      </c>
      <c r="V86" s="75">
        <f t="shared" si="4"/>
        <v>15.040731263431827</v>
      </c>
      <c r="W86" s="28">
        <v>9</v>
      </c>
      <c r="X86" s="115"/>
      <c r="Z86" s="27">
        <v>9</v>
      </c>
      <c r="AA86" s="31" t="s">
        <v>43</v>
      </c>
      <c r="AB86" s="28">
        <v>28</v>
      </c>
      <c r="AC86" s="29">
        <f t="shared" si="7"/>
        <v>6.1575216010359961</v>
      </c>
      <c r="AD86" s="20">
        <f t="shared" si="3"/>
        <v>8.7964594300514207</v>
      </c>
      <c r="AE86" s="75">
        <f t="shared" si="5"/>
        <v>15.040731263431827</v>
      </c>
      <c r="AF86" s="28">
        <v>9</v>
      </c>
      <c r="AG86" s="115"/>
    </row>
    <row r="87" spans="10:33">
      <c r="J87" s="86">
        <v>24</v>
      </c>
      <c r="K87" s="161">
        <v>2</v>
      </c>
      <c r="M87" s="86">
        <v>24</v>
      </c>
      <c r="N87" s="161">
        <v>2</v>
      </c>
      <c r="O87" s="30"/>
      <c r="Q87" s="27">
        <v>10</v>
      </c>
      <c r="R87" s="31" t="s">
        <v>44</v>
      </c>
      <c r="S87" s="28">
        <v>32</v>
      </c>
      <c r="T87" s="29">
        <f t="shared" si="6"/>
        <v>8.0424771931898711</v>
      </c>
      <c r="U87" s="20">
        <f t="shared" si="2"/>
        <v>10.053096491487338</v>
      </c>
      <c r="V87" s="75">
        <f t="shared" si="4"/>
        <v>13.160639855502847</v>
      </c>
      <c r="W87" s="28">
        <v>10</v>
      </c>
      <c r="X87" s="115"/>
      <c r="Z87" s="27">
        <v>10</v>
      </c>
      <c r="AA87" s="31" t="s">
        <v>44</v>
      </c>
      <c r="AB87" s="28">
        <v>32</v>
      </c>
      <c r="AC87" s="29">
        <f t="shared" si="7"/>
        <v>8.0424771931898711</v>
      </c>
      <c r="AD87" s="20">
        <f t="shared" si="3"/>
        <v>10.053096491487338</v>
      </c>
      <c r="AE87" s="75">
        <f t="shared" si="5"/>
        <v>13.160639855502847</v>
      </c>
      <c r="AF87" s="28">
        <v>10</v>
      </c>
      <c r="AG87" s="115"/>
    </row>
    <row r="88" spans="10:33">
      <c r="J88" s="86">
        <v>25</v>
      </c>
      <c r="K88" s="161">
        <v>2.0499999999999998</v>
      </c>
      <c r="M88" s="86">
        <v>25</v>
      </c>
      <c r="N88" s="161">
        <v>2.0499999999999998</v>
      </c>
      <c r="O88" s="30"/>
      <c r="Q88" s="32"/>
      <c r="R88" s="33"/>
      <c r="S88" s="33"/>
      <c r="T88" s="33"/>
      <c r="U88" s="20"/>
      <c r="V88" s="29"/>
      <c r="W88" s="28">
        <v>11</v>
      </c>
      <c r="X88" s="115"/>
      <c r="Z88" s="32"/>
      <c r="AA88" s="33"/>
      <c r="AB88" s="33"/>
      <c r="AC88" s="33"/>
      <c r="AD88" s="20"/>
      <c r="AE88" s="29"/>
      <c r="AF88" s="28">
        <v>11</v>
      </c>
      <c r="AG88" s="115"/>
    </row>
    <row r="89" spans="10:33">
      <c r="J89" s="86">
        <v>26</v>
      </c>
      <c r="K89" s="161">
        <v>2.1</v>
      </c>
      <c r="M89" s="86">
        <v>26</v>
      </c>
      <c r="N89" s="161">
        <v>2.1</v>
      </c>
      <c r="O89" s="30"/>
      <c r="Q89" s="32"/>
      <c r="R89" s="33"/>
      <c r="S89" s="33"/>
      <c r="T89" s="33"/>
      <c r="U89" s="73"/>
      <c r="V89" s="34"/>
      <c r="W89" s="28">
        <v>12</v>
      </c>
      <c r="X89" s="115"/>
      <c r="Z89" s="32"/>
      <c r="AA89" s="33"/>
      <c r="AB89" s="33"/>
      <c r="AC89" s="33"/>
      <c r="AD89" s="73"/>
      <c r="AE89" s="34"/>
      <c r="AF89" s="28">
        <v>12</v>
      </c>
      <c r="AG89" s="115"/>
    </row>
    <row r="90" spans="10:33">
      <c r="J90" s="86">
        <v>27</v>
      </c>
      <c r="K90" s="161">
        <v>2.15</v>
      </c>
      <c r="M90" s="86">
        <v>27</v>
      </c>
      <c r="N90" s="161">
        <v>2.15</v>
      </c>
      <c r="O90" s="30"/>
      <c r="Q90" s="32"/>
      <c r="R90" s="36">
        <v>5</v>
      </c>
      <c r="S90" s="37">
        <v>1</v>
      </c>
      <c r="T90" s="76">
        <v>1</v>
      </c>
      <c r="U90" s="77">
        <f>+VLOOKUP(T90,Q78:U87,5)</f>
        <v>1.8849555921538759</v>
      </c>
      <c r="V90" s="77">
        <f>+VLOOKUP(T92,Q78:V87,6)</f>
        <v>26.321279711005694</v>
      </c>
      <c r="W90" s="35">
        <v>13</v>
      </c>
      <c r="X90" s="116"/>
      <c r="Z90" s="32"/>
      <c r="AA90" s="36">
        <v>5</v>
      </c>
      <c r="AB90" s="37">
        <v>1</v>
      </c>
      <c r="AC90" s="76">
        <v>1</v>
      </c>
      <c r="AD90" s="77">
        <f>+VLOOKUP(AC90,Z78:AD87,5)</f>
        <v>1.8849555921538759</v>
      </c>
      <c r="AE90" s="77">
        <f>+VLOOKUP(AA92,Z78:AE87,6)</f>
        <v>26.321279711005694</v>
      </c>
      <c r="AF90" s="35">
        <v>13</v>
      </c>
      <c r="AG90" s="116"/>
    </row>
    <row r="91" spans="10:33">
      <c r="J91" s="86">
        <v>28</v>
      </c>
      <c r="K91" s="161">
        <v>2.2000000000000002</v>
      </c>
      <c r="M91" s="86">
        <v>28</v>
      </c>
      <c r="N91" s="161">
        <v>2.2000000000000002</v>
      </c>
      <c r="O91" s="30"/>
      <c r="Q91" s="32"/>
      <c r="R91" s="28"/>
      <c r="S91" s="35"/>
      <c r="T91" s="34"/>
      <c r="U91" s="29"/>
      <c r="V91" s="29"/>
      <c r="W91" s="28">
        <v>14</v>
      </c>
      <c r="X91" s="115"/>
      <c r="Z91" s="32"/>
      <c r="AA91" s="28"/>
      <c r="AB91" s="35"/>
      <c r="AC91" s="34"/>
      <c r="AD91" s="29"/>
      <c r="AE91" s="29"/>
      <c r="AF91" s="28">
        <v>14</v>
      </c>
      <c r="AG91" s="115"/>
    </row>
    <row r="92" spans="10:33">
      <c r="J92" s="86">
        <v>29</v>
      </c>
      <c r="K92" s="161">
        <v>2.25</v>
      </c>
      <c r="M92" s="86">
        <v>29</v>
      </c>
      <c r="N92" s="161">
        <v>2.25</v>
      </c>
      <c r="O92" s="30"/>
      <c r="Q92" s="32"/>
      <c r="R92" s="79">
        <v>2</v>
      </c>
      <c r="S92" s="78">
        <f>VLOOKUP(R92,Q78:T87,4)</f>
        <v>0.63617251235193317</v>
      </c>
      <c r="T92" s="38">
        <v>6</v>
      </c>
      <c r="U92" s="80">
        <f>+VLOOKUP(T92,Q78:T87,4)</f>
        <v>2.0106192982974678</v>
      </c>
      <c r="W92" s="28">
        <v>15</v>
      </c>
      <c r="X92" s="115"/>
      <c r="Z92" s="32"/>
      <c r="AA92" s="79">
        <v>6</v>
      </c>
      <c r="AB92" s="78">
        <f>VLOOKUP(AA92,Z78:AC87,4)</f>
        <v>2.0106192982974678</v>
      </c>
      <c r="AC92" s="38">
        <v>7</v>
      </c>
      <c r="AD92" s="80">
        <f>+VLOOKUP(AC92,Z78:AC87,4)</f>
        <v>3.1415926535897931</v>
      </c>
      <c r="AF92" s="28">
        <v>15</v>
      </c>
      <c r="AG92" s="115"/>
    </row>
    <row r="93" spans="10:33">
      <c r="J93" s="86">
        <v>30</v>
      </c>
      <c r="K93" s="161">
        <v>2.2999999999999998</v>
      </c>
      <c r="M93" s="86">
        <v>30</v>
      </c>
      <c r="N93" s="161">
        <v>2.2999999999999998</v>
      </c>
      <c r="O93" s="30"/>
      <c r="Q93" s="32"/>
      <c r="R93" s="29"/>
      <c r="S93" s="40"/>
      <c r="T93" s="29"/>
      <c r="U93" s="29"/>
      <c r="V93" s="29"/>
      <c r="W93" s="28">
        <v>16</v>
      </c>
      <c r="X93" s="115"/>
      <c r="Z93" s="32"/>
      <c r="AA93" s="29"/>
      <c r="AB93" s="40"/>
      <c r="AC93" s="29"/>
      <c r="AD93" s="29"/>
      <c r="AE93" s="29"/>
      <c r="AF93" s="28">
        <v>16</v>
      </c>
      <c r="AG93" s="115"/>
    </row>
    <row r="94" spans="10:33">
      <c r="J94" s="86">
        <v>31</v>
      </c>
      <c r="K94" s="161">
        <v>2.35</v>
      </c>
      <c r="M94" s="86">
        <v>31</v>
      </c>
      <c r="N94" s="161">
        <v>2.35</v>
      </c>
      <c r="O94" s="30"/>
      <c r="Q94" s="32"/>
      <c r="R94" s="37">
        <v>1</v>
      </c>
      <c r="S94" s="37">
        <f>VLOOKUP(R94,Q78:S87,3)</f>
        <v>6</v>
      </c>
      <c r="T94" s="38"/>
      <c r="U94" s="29"/>
      <c r="V94" s="29"/>
      <c r="W94" s="28">
        <v>17</v>
      </c>
      <c r="X94" s="115"/>
      <c r="Z94" s="32"/>
      <c r="AA94" s="35">
        <v>1</v>
      </c>
      <c r="AB94" s="35">
        <f>VLOOKUP(AA94,Z78:AB87,3)</f>
        <v>6</v>
      </c>
      <c r="AC94" s="94"/>
      <c r="AD94" s="94"/>
      <c r="AE94" s="29"/>
      <c r="AF94" s="28">
        <v>17</v>
      </c>
      <c r="AG94" s="115"/>
    </row>
    <row r="95" spans="10:33">
      <c r="J95" s="86">
        <v>32</v>
      </c>
      <c r="K95" s="161">
        <v>2.4</v>
      </c>
      <c r="M95" s="86">
        <v>32</v>
      </c>
      <c r="N95" s="161">
        <v>2.4</v>
      </c>
      <c r="O95" s="30"/>
      <c r="Q95" s="32"/>
      <c r="R95" s="29"/>
      <c r="S95" s="29"/>
      <c r="T95" s="29"/>
      <c r="U95" s="29"/>
      <c r="V95" s="29"/>
      <c r="W95" s="28">
        <v>18</v>
      </c>
      <c r="X95" s="115"/>
      <c r="Z95" s="32"/>
      <c r="AA95" s="29"/>
      <c r="AB95" s="29"/>
      <c r="AC95" s="29"/>
      <c r="AD95" s="29"/>
      <c r="AE95" s="77"/>
      <c r="AF95" s="28">
        <v>18</v>
      </c>
      <c r="AG95" s="115"/>
    </row>
    <row r="96" spans="10:33">
      <c r="J96" s="86">
        <v>33</v>
      </c>
      <c r="K96" s="161">
        <v>2.4500000000000002</v>
      </c>
      <c r="M96" s="86">
        <v>33</v>
      </c>
      <c r="N96" s="161">
        <v>2.4500000000000002</v>
      </c>
      <c r="O96" s="30"/>
      <c r="Q96" s="32"/>
      <c r="R96" s="38"/>
      <c r="S96" s="38"/>
      <c r="T96" s="91">
        <v>7</v>
      </c>
      <c r="U96" s="90">
        <f>+VLOOKUP(T96,Q78:U87,5)</f>
        <v>6.2831853071795862</v>
      </c>
      <c r="V96" s="90">
        <f>+VLOOKUP(T96,Q78:V87,6)</f>
        <v>21.057023768804555</v>
      </c>
      <c r="W96" s="28">
        <v>19</v>
      </c>
      <c r="X96" s="115"/>
      <c r="Z96" s="32"/>
      <c r="AA96" s="94"/>
      <c r="AB96" s="94"/>
      <c r="AC96" s="94"/>
      <c r="AD96" s="95"/>
      <c r="AE96" s="95"/>
      <c r="AF96" s="28">
        <v>19</v>
      </c>
      <c r="AG96" s="115"/>
    </row>
    <row r="97" spans="10:33">
      <c r="J97" s="86">
        <v>34</v>
      </c>
      <c r="K97" s="161">
        <v>2.5</v>
      </c>
      <c r="M97" s="86">
        <v>34</v>
      </c>
      <c r="N97" s="161">
        <v>2.5</v>
      </c>
      <c r="O97" s="30"/>
      <c r="Q97" s="32"/>
      <c r="R97" s="29"/>
      <c r="S97" s="29"/>
      <c r="T97" s="29"/>
      <c r="U97" s="29"/>
      <c r="V97" s="29"/>
      <c r="W97" s="28">
        <v>20</v>
      </c>
      <c r="X97" s="115"/>
      <c r="Z97" s="32"/>
      <c r="AA97" s="94"/>
      <c r="AB97" s="94"/>
      <c r="AC97" s="94"/>
      <c r="AD97" s="94"/>
      <c r="AE97" s="94"/>
      <c r="AF97" s="28">
        <v>20</v>
      </c>
      <c r="AG97" s="115"/>
    </row>
    <row r="98" spans="10:33">
      <c r="J98" s="86">
        <v>35</v>
      </c>
      <c r="K98" s="161">
        <v>2.5499999999999998</v>
      </c>
      <c r="M98" s="86">
        <v>35</v>
      </c>
      <c r="N98" s="161">
        <v>2.5499999999999998</v>
      </c>
      <c r="O98" s="30"/>
      <c r="Q98" s="32"/>
      <c r="R98" s="29"/>
      <c r="S98" s="40"/>
      <c r="T98" s="38"/>
      <c r="U98" s="80"/>
      <c r="V98" s="29"/>
      <c r="X98" s="30"/>
      <c r="Z98" s="32"/>
      <c r="AA98" s="94"/>
      <c r="AB98" s="96"/>
      <c r="AC98" s="94"/>
      <c r="AD98" s="93"/>
      <c r="AE98" s="94"/>
      <c r="AG98" s="30"/>
    </row>
    <row r="99" spans="10:33">
      <c r="J99" s="86">
        <v>36</v>
      </c>
      <c r="K99" s="161">
        <v>2.6</v>
      </c>
      <c r="M99" s="86">
        <v>36</v>
      </c>
      <c r="N99" s="161">
        <v>2.6</v>
      </c>
      <c r="O99" s="30"/>
      <c r="Q99" s="41"/>
      <c r="R99" s="42"/>
      <c r="S99" s="42"/>
      <c r="T99" s="42"/>
      <c r="U99" s="42"/>
      <c r="V99" s="42"/>
      <c r="W99" s="118">
        <v>13</v>
      </c>
      <c r="X99" s="117"/>
      <c r="Z99" s="41"/>
      <c r="AA99" s="42"/>
      <c r="AB99" s="42"/>
      <c r="AC99" s="42"/>
      <c r="AD99" s="42"/>
      <c r="AE99" s="42"/>
      <c r="AF99" s="118">
        <v>13</v>
      </c>
      <c r="AG99" s="117"/>
    </row>
    <row r="100" spans="10:33">
      <c r="J100" s="86">
        <v>37</v>
      </c>
      <c r="K100" s="161">
        <v>2.65</v>
      </c>
      <c r="M100" s="86">
        <v>37</v>
      </c>
      <c r="N100" s="161">
        <v>2.65</v>
      </c>
      <c r="O100" s="30"/>
    </row>
    <row r="101" spans="10:33">
      <c r="J101" s="86">
        <v>38</v>
      </c>
      <c r="K101" s="161">
        <v>2.7</v>
      </c>
      <c r="M101" s="86">
        <v>38</v>
      </c>
      <c r="N101" s="161">
        <v>2.7</v>
      </c>
      <c r="O101" s="30"/>
    </row>
    <row r="102" spans="10:33">
      <c r="J102" s="86">
        <v>39</v>
      </c>
      <c r="K102" s="161">
        <v>2.75</v>
      </c>
      <c r="M102" s="86">
        <v>39</v>
      </c>
      <c r="N102" s="161">
        <v>2.75</v>
      </c>
      <c r="O102" s="30"/>
    </row>
    <row r="103" spans="10:33">
      <c r="J103" s="86">
        <v>40</v>
      </c>
      <c r="K103" s="161">
        <v>2.8</v>
      </c>
      <c r="M103" s="86">
        <v>40</v>
      </c>
      <c r="N103" s="161">
        <v>2.8</v>
      </c>
      <c r="O103" s="30"/>
    </row>
    <row r="104" spans="10:33">
      <c r="J104" s="86">
        <v>41</v>
      </c>
      <c r="K104" s="161">
        <v>2.85</v>
      </c>
      <c r="M104" s="86">
        <v>41</v>
      </c>
      <c r="N104" s="161">
        <v>2.85</v>
      </c>
      <c r="O104" s="30"/>
    </row>
    <row r="105" spans="10:33">
      <c r="J105" s="86">
        <v>42</v>
      </c>
      <c r="K105" s="161">
        <v>2.9</v>
      </c>
      <c r="M105" s="86">
        <v>42</v>
      </c>
      <c r="N105" s="161">
        <v>2.9</v>
      </c>
      <c r="O105" s="30"/>
    </row>
    <row r="106" spans="10:33">
      <c r="J106" s="86">
        <v>43</v>
      </c>
      <c r="K106" s="161">
        <v>2.95</v>
      </c>
      <c r="M106" s="86">
        <v>43</v>
      </c>
      <c r="N106" s="161">
        <v>2.95</v>
      </c>
      <c r="O106" s="30"/>
    </row>
    <row r="107" spans="10:33">
      <c r="J107" s="86">
        <v>44</v>
      </c>
      <c r="K107" s="161">
        <v>3</v>
      </c>
      <c r="M107" s="86">
        <v>44</v>
      </c>
      <c r="N107" s="161">
        <v>3</v>
      </c>
      <c r="O107" s="30"/>
    </row>
    <row r="108" spans="10:33">
      <c r="J108" s="86">
        <v>45</v>
      </c>
      <c r="K108" s="161">
        <v>3.05</v>
      </c>
      <c r="M108" s="86">
        <v>45</v>
      </c>
      <c r="N108" s="161">
        <v>3.05</v>
      </c>
      <c r="O108" s="30"/>
    </row>
    <row r="109" spans="10:33">
      <c r="J109" s="86">
        <v>46</v>
      </c>
      <c r="K109" s="161">
        <v>3.1</v>
      </c>
      <c r="M109" s="86">
        <v>46</v>
      </c>
      <c r="N109" s="161">
        <v>3.1</v>
      </c>
      <c r="O109" s="30"/>
    </row>
    <row r="110" spans="10:33">
      <c r="J110" s="86">
        <v>47</v>
      </c>
      <c r="K110" s="161">
        <v>3.15</v>
      </c>
      <c r="M110" s="86">
        <v>47</v>
      </c>
      <c r="N110" s="161">
        <v>3.15</v>
      </c>
      <c r="O110" s="30"/>
    </row>
    <row r="111" spans="10:33">
      <c r="J111" s="86">
        <v>48</v>
      </c>
      <c r="K111" s="161">
        <v>3.2</v>
      </c>
      <c r="M111" s="86">
        <v>48</v>
      </c>
      <c r="N111" s="161">
        <v>3.2</v>
      </c>
      <c r="O111" s="30"/>
    </row>
    <row r="112" spans="10:33">
      <c r="J112" s="86">
        <v>49</v>
      </c>
      <c r="K112" s="161">
        <v>3.25</v>
      </c>
      <c r="M112" s="86">
        <v>49</v>
      </c>
      <c r="N112" s="161">
        <v>3.25</v>
      </c>
      <c r="O112" s="30"/>
    </row>
    <row r="113" spans="10:15">
      <c r="J113" s="86">
        <v>50</v>
      </c>
      <c r="K113" s="161">
        <v>3.3</v>
      </c>
      <c r="M113" s="86">
        <v>50</v>
      </c>
      <c r="N113" s="161">
        <v>3.3</v>
      </c>
      <c r="O113" s="30"/>
    </row>
    <row r="114" spans="10:15">
      <c r="J114" s="86">
        <v>51</v>
      </c>
      <c r="K114" s="161">
        <v>3.35</v>
      </c>
      <c r="M114" s="86">
        <v>51</v>
      </c>
      <c r="N114" s="161">
        <v>3.35</v>
      </c>
      <c r="O114" s="30"/>
    </row>
    <row r="115" spans="10:15">
      <c r="J115" s="86">
        <v>52</v>
      </c>
      <c r="K115" s="161">
        <v>3.4</v>
      </c>
      <c r="M115" s="86">
        <v>52</v>
      </c>
      <c r="N115" s="161">
        <v>3.4</v>
      </c>
      <c r="O115" s="30"/>
    </row>
    <row r="116" spans="10:15">
      <c r="J116" s="41">
        <v>53</v>
      </c>
      <c r="K116" s="175">
        <v>3.45</v>
      </c>
      <c r="L116" s="42"/>
      <c r="M116" s="41">
        <v>53</v>
      </c>
      <c r="N116" s="176">
        <v>3.45</v>
      </c>
      <c r="O116" s="43"/>
    </row>
    <row r="119" spans="10:15">
      <c r="J119" s="158">
        <v>14</v>
      </c>
      <c r="K119" s="159">
        <f>+VLOOKUP(J119,J64:K116,2)</f>
        <v>1.5</v>
      </c>
      <c r="L119" s="160"/>
      <c r="M119" s="159">
        <v>14</v>
      </c>
      <c r="N119" s="159">
        <f>+VLOOKUP(M119,M64:N116,2)</f>
        <v>1.5</v>
      </c>
      <c r="O119" s="160"/>
    </row>
  </sheetData>
  <sheetProtection password="C649" sheet="1" objects="1" scenarios="1"/>
  <mergeCells count="1">
    <mergeCell ref="A1:I1"/>
  </mergeCells>
  <pageMargins left="1.2204724409448819" right="0.74803149606299213" top="0.55118110236220474" bottom="0.74803149606299213" header="0.31496062992125984" footer="0.31496062992125984"/>
  <pageSetup paperSize="9" scale="65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19"/>
  <sheetViews>
    <sheetView showGridLines="0" workbookViewId="0">
      <selection activeCell="G10" sqref="G10"/>
    </sheetView>
  </sheetViews>
  <sheetFormatPr defaultRowHeight="14.25"/>
  <cols>
    <col min="1" max="1" width="38.75" customWidth="1"/>
    <col min="2" max="2" width="5.5" customWidth="1"/>
    <col min="3" max="3" width="3.5" customWidth="1"/>
    <col min="4" max="4" width="10.25" customWidth="1"/>
    <col min="5" max="5" width="7.375" customWidth="1"/>
    <col min="6" max="6" width="21.875" customWidth="1"/>
    <col min="7" max="7" width="10.125" customWidth="1"/>
    <col min="8" max="8" width="7.625" customWidth="1"/>
    <col min="16" max="16" width="14.5" customWidth="1"/>
    <col min="17" max="17" width="8" customWidth="1"/>
    <col min="18" max="18" width="14.625" customWidth="1"/>
    <col min="22" max="22" width="10.125" bestFit="1" customWidth="1"/>
    <col min="27" max="27" width="9.75" customWidth="1"/>
    <col min="28" max="28" width="11" customWidth="1"/>
    <col min="30" max="30" width="14.125" customWidth="1"/>
    <col min="31" max="31" width="9.75" customWidth="1"/>
    <col min="32" max="32" width="13.375" customWidth="1"/>
    <col min="33" max="33" width="10" customWidth="1"/>
  </cols>
  <sheetData>
    <row r="1" spans="1:48" ht="18">
      <c r="A1" s="196" t="s">
        <v>137</v>
      </c>
      <c r="B1" s="197"/>
      <c r="C1" s="197"/>
      <c r="D1" s="197"/>
      <c r="E1" s="197"/>
      <c r="F1" s="197"/>
      <c r="G1" s="197"/>
      <c r="H1" s="197"/>
      <c r="I1" s="198"/>
      <c r="K1" s="188" t="s">
        <v>199</v>
      </c>
    </row>
    <row r="2" spans="1:48" ht="9.75" customHeight="1">
      <c r="Q2" s="148">
        <v>1</v>
      </c>
      <c r="R2" s="149" t="s">
        <v>13</v>
      </c>
      <c r="S2" s="150">
        <f>0.45*$H$7</f>
        <v>108</v>
      </c>
      <c r="V2" s="138">
        <v>1</v>
      </c>
      <c r="W2" s="139" t="s">
        <v>72</v>
      </c>
      <c r="X2" s="140">
        <v>1600</v>
      </c>
    </row>
    <row r="3" spans="1:48">
      <c r="A3" s="68" t="s">
        <v>54</v>
      </c>
      <c r="F3" s="9" t="s">
        <v>81</v>
      </c>
      <c r="H3" s="155" t="s">
        <v>82</v>
      </c>
      <c r="Q3" s="112">
        <v>2</v>
      </c>
      <c r="R3" s="151" t="s">
        <v>14</v>
      </c>
      <c r="S3" s="152">
        <f>0.375*$H$7</f>
        <v>90</v>
      </c>
      <c r="V3" s="111">
        <v>2</v>
      </c>
      <c r="W3" s="141" t="s">
        <v>71</v>
      </c>
      <c r="X3" s="142">
        <v>1900</v>
      </c>
      <c r="AE3" s="119"/>
      <c r="AF3" s="33"/>
    </row>
    <row r="4" spans="1:48" ht="19.5" customHeight="1">
      <c r="A4" s="56" t="s">
        <v>52</v>
      </c>
      <c r="F4" s="60" t="s">
        <v>125</v>
      </c>
      <c r="G4" s="155" t="s">
        <v>24</v>
      </c>
      <c r="K4" s="178" t="s">
        <v>152</v>
      </c>
      <c r="L4" s="13"/>
      <c r="M4" s="23"/>
      <c r="N4" s="24"/>
      <c r="O4" s="26"/>
      <c r="V4" s="112"/>
      <c r="W4" s="143"/>
      <c r="X4" s="144"/>
      <c r="AF4" s="33"/>
    </row>
    <row r="5" spans="1:48" ht="12" customHeight="1">
      <c r="K5" s="86"/>
      <c r="L5" s="33"/>
      <c r="M5" s="33"/>
      <c r="N5" s="33"/>
      <c r="O5" s="30"/>
      <c r="Q5" s="5">
        <v>1</v>
      </c>
      <c r="R5" s="6">
        <f>+VLOOKUP(Q5,Q2:S3,3)</f>
        <v>108</v>
      </c>
      <c r="S5" s="7"/>
      <c r="AE5" s="119"/>
      <c r="AF5" s="33"/>
    </row>
    <row r="6" spans="1:48">
      <c r="A6" s="133" t="s">
        <v>122</v>
      </c>
      <c r="B6" s="89" t="s">
        <v>15</v>
      </c>
      <c r="C6" s="155" t="s">
        <v>12</v>
      </c>
      <c r="D6" s="65">
        <v>3000</v>
      </c>
      <c r="E6" s="155" t="s">
        <v>8</v>
      </c>
      <c r="F6" s="57" t="s">
        <v>119</v>
      </c>
      <c r="G6" s="1"/>
      <c r="H6" s="67">
        <v>10</v>
      </c>
      <c r="I6" t="s">
        <v>2</v>
      </c>
      <c r="K6" s="86" t="s">
        <v>185</v>
      </c>
      <c r="O6" s="30"/>
      <c r="V6" s="53">
        <v>1</v>
      </c>
      <c r="W6" s="53">
        <f>+VLOOKUP(V6,V2:X3,3)</f>
        <v>1600</v>
      </c>
      <c r="X6" s="18"/>
      <c r="AC6" s="33"/>
      <c r="AM6" t="s">
        <v>182</v>
      </c>
      <c r="AR6" t="s">
        <v>183</v>
      </c>
    </row>
    <row r="7" spans="1:48">
      <c r="A7" s="134"/>
      <c r="B7" s="46" t="s">
        <v>25</v>
      </c>
      <c r="C7" s="155" t="s">
        <v>12</v>
      </c>
      <c r="D7" s="121">
        <f>+$R$5</f>
        <v>108</v>
      </c>
      <c r="E7" s="155" t="s">
        <v>8</v>
      </c>
      <c r="F7" s="58" t="s">
        <v>120</v>
      </c>
      <c r="G7" s="19"/>
      <c r="H7" s="67">
        <v>240</v>
      </c>
      <c r="I7" t="s">
        <v>8</v>
      </c>
      <c r="K7" s="86" t="s">
        <v>186</v>
      </c>
      <c r="L7" s="33"/>
      <c r="M7" s="33"/>
      <c r="N7" s="33"/>
      <c r="O7" s="30"/>
      <c r="Z7" s="53" t="s">
        <v>117</v>
      </c>
      <c r="AA7" s="53" t="s">
        <v>102</v>
      </c>
      <c r="AB7" s="53" t="s">
        <v>104</v>
      </c>
      <c r="AC7" s="53" t="s">
        <v>106</v>
      </c>
      <c r="AD7" s="53" t="s">
        <v>128</v>
      </c>
      <c r="AE7" s="88" t="s">
        <v>112</v>
      </c>
      <c r="AF7" s="53" t="s">
        <v>129</v>
      </c>
      <c r="AG7" s="88" t="s">
        <v>113</v>
      </c>
      <c r="AH7" s="88" t="s">
        <v>170</v>
      </c>
      <c r="AI7" s="88" t="s">
        <v>171</v>
      </c>
      <c r="AJ7" s="88" t="s">
        <v>172</v>
      </c>
      <c r="AK7" s="88" t="s">
        <v>173</v>
      </c>
      <c r="AL7" s="88" t="s">
        <v>174</v>
      </c>
      <c r="AM7" s="88" t="s">
        <v>180</v>
      </c>
      <c r="AN7" s="88" t="s">
        <v>181</v>
      </c>
      <c r="AO7" s="88" t="s">
        <v>179</v>
      </c>
      <c r="AP7" s="88" t="s">
        <v>178</v>
      </c>
      <c r="AQ7" s="169" t="s">
        <v>177</v>
      </c>
      <c r="AR7" s="88" t="s">
        <v>180</v>
      </c>
      <c r="AS7" s="88" t="s">
        <v>181</v>
      </c>
      <c r="AT7" s="88" t="s">
        <v>179</v>
      </c>
      <c r="AU7" s="88" t="s">
        <v>178</v>
      </c>
      <c r="AV7" s="172" t="s">
        <v>177</v>
      </c>
    </row>
    <row r="8" spans="1:48" ht="17.25">
      <c r="A8" s="133" t="s">
        <v>122</v>
      </c>
      <c r="B8" s="89" t="s">
        <v>110</v>
      </c>
      <c r="C8" s="155" t="s">
        <v>12</v>
      </c>
      <c r="D8" s="65">
        <v>256.5</v>
      </c>
      <c r="E8" s="155" t="s">
        <v>134</v>
      </c>
      <c r="F8" s="2" t="s">
        <v>4</v>
      </c>
      <c r="G8" s="19"/>
      <c r="H8" s="50">
        <f>ROUNDUP(2040000/(15210*SQRT(H7)),0)</f>
        <v>9</v>
      </c>
      <c r="K8" s="86" t="s">
        <v>153</v>
      </c>
      <c r="L8" s="33"/>
      <c r="M8" s="33"/>
      <c r="N8" s="33"/>
      <c r="O8" s="30"/>
      <c r="Z8" s="111">
        <v>1</v>
      </c>
      <c r="AA8" s="11">
        <v>2</v>
      </c>
      <c r="AB8" s="12">
        <f t="shared" ref="AB8:AB17" si="0">+MAX(AH8,AI8,AJ8,AK8,AL8)</f>
        <v>159.36250000000001</v>
      </c>
      <c r="AC8" s="12">
        <f>+(($D$8)/$AA$8)+(($D$9*0.5*$H$17)/(2*0.5*$H$17*0.5*$H$17))</f>
        <v>140.125</v>
      </c>
      <c r="AD8" s="11">
        <v>1</v>
      </c>
      <c r="AE8" s="110">
        <f>+AI8*(0.5*H17-0.5*O43)</f>
        <v>15.936250000000006</v>
      </c>
      <c r="AF8" s="11">
        <v>0</v>
      </c>
      <c r="AG8" s="30">
        <v>0</v>
      </c>
      <c r="AH8" s="162">
        <f>+(($D$8+$D$16)/$AA$8)-(($D$9*(0.5*$H$17))/(2*POWER(0.5*$H$17,2)))</f>
        <v>135.61250000000001</v>
      </c>
      <c r="AI8" s="163">
        <f>+(($D$8+$D$16)/$AA$8)+(($D$9*(0.5*$H$17))/(2*POWER(0.5*$H$17,2)))</f>
        <v>159.36250000000001</v>
      </c>
      <c r="AJ8" s="12">
        <v>0</v>
      </c>
      <c r="AK8" s="12">
        <v>0</v>
      </c>
      <c r="AL8" s="12">
        <v>0</v>
      </c>
      <c r="AM8" s="22">
        <f>+IF(0.5*$H$17-0.5*$O$43&gt;$D$30/100,(0.5*$H$17-0.5*$O$43),-(0.5*$H$17-0.5*$O$43))*100</f>
        <v>-10.000000000000004</v>
      </c>
      <c r="AN8" s="18"/>
      <c r="AO8" s="22">
        <f>+IF($AM$8=0,$AI$8/2,IF($AM$8&gt;15,$AI$8,IF($AM$8=0,0.5*$AI$8,IF($AM$8&gt;ABS(-15),0,$AI$8*($AM$8+15)/30))))</f>
        <v>26.560416666666651</v>
      </c>
      <c r="AP8" s="18"/>
      <c r="AQ8" s="170">
        <f>+$AO$8</f>
        <v>26.560416666666651</v>
      </c>
      <c r="AR8" s="22">
        <f>+IF(0.5*$H$17-0.5*$O$43&gt;$D$30*0.01*0.5,(0.5*$H$17-0.5*$O$43),-(0.5*$H$17-0.5*$O$43))*100</f>
        <v>-10.000000000000004</v>
      </c>
      <c r="AS8" s="18"/>
      <c r="AT8" s="22">
        <f>+IF($AR$8=0,$AI$8/2,IF($AR$8&gt;15,$AI$8,IF($AR$8=0,0.5*$AI$8,IF($AR$8&gt;ABS(-15),0,$AI$8*($AR$8+15)/30))))</f>
        <v>26.560416666666651</v>
      </c>
      <c r="AU8" s="18"/>
      <c r="AV8" s="173">
        <f>+$AT$8</f>
        <v>26.560416666666651</v>
      </c>
    </row>
    <row r="9" spans="1:48" ht="17.25">
      <c r="A9" s="133" t="s">
        <v>122</v>
      </c>
      <c r="B9" s="97" t="s">
        <v>111</v>
      </c>
      <c r="C9" s="155" t="s">
        <v>12</v>
      </c>
      <c r="D9" s="65">
        <v>9.5</v>
      </c>
      <c r="E9" s="155" t="s">
        <v>134</v>
      </c>
      <c r="F9" s="58" t="s">
        <v>121</v>
      </c>
      <c r="G9" s="19"/>
      <c r="H9" s="67">
        <v>1500</v>
      </c>
      <c r="I9" t="s">
        <v>8</v>
      </c>
      <c r="K9" s="86" t="s">
        <v>187</v>
      </c>
      <c r="L9" s="33"/>
      <c r="M9" s="33"/>
      <c r="N9" s="33"/>
      <c r="O9" s="30"/>
      <c r="Q9" s="156" t="s">
        <v>163</v>
      </c>
      <c r="R9" s="24"/>
      <c r="S9" s="24"/>
      <c r="T9" s="26"/>
      <c r="Z9" s="53">
        <v>2</v>
      </c>
      <c r="AA9" s="53">
        <v>3</v>
      </c>
      <c r="AB9" s="72">
        <f t="shared" si="0"/>
        <v>110.2</v>
      </c>
      <c r="AC9" s="72">
        <f>+(($D$8)/$AA$9)+(($D$9*0.5*$H$17)/(2*0.5*$H$17*0.5*$H$17))</f>
        <v>97.375</v>
      </c>
      <c r="AD9" s="53">
        <v>1</v>
      </c>
      <c r="AE9" s="167">
        <f>+(AJ9*(0.5*H17-0.5*O43))</f>
        <v>11.020000000000003</v>
      </c>
      <c r="AF9" s="53">
        <v>1</v>
      </c>
      <c r="AG9" s="22">
        <f>+MAX((AH9+AJ9)*(H17/3-R43/2),AI9*((2*H17/3)-(0.5*R43)))</f>
        <v>37.691249999999997</v>
      </c>
      <c r="AH9" s="72">
        <f>+(($D$8+$D$16)/$AA$9)-(($D$9*0.5*$H$17)/(2*0.5*$H$17*0.5*$H$17))</f>
        <v>86.45</v>
      </c>
      <c r="AI9" s="72">
        <f>+(($D$8+$D$16)/$AA$9)</f>
        <v>98.325000000000003</v>
      </c>
      <c r="AJ9" s="168">
        <f>+(($D$8+$D$16)/$AA$9)+(($D$9*0.5*$H$17)/(2*0.5*$H$17*0.5*$H$17))</f>
        <v>110.2</v>
      </c>
      <c r="AK9" s="72">
        <v>0</v>
      </c>
      <c r="AL9" s="72">
        <v>0</v>
      </c>
      <c r="AM9" s="22">
        <f>+IF(0.5*$H$17-0.5*$O$43&gt;$D$30/100,(0.5*$H$17-0.5*$O$43),-(0.5*$H$17-0.5*$O$43))*100</f>
        <v>-10.000000000000004</v>
      </c>
      <c r="AN9" s="18"/>
      <c r="AO9" s="22">
        <f>+IF($AM$9=0,$AJ$9/2,IF($AM$9&gt;15,$AJ$9,IF($AM$9=0,0.5*$AJ$9,IF($AM$9&gt;ABS(-15),0,$AJ$9*($AM$9+15)/30))))</f>
        <v>18.366666666666656</v>
      </c>
      <c r="AP9" s="18"/>
      <c r="AQ9" s="170">
        <f>+$AO$9</f>
        <v>18.366666666666656</v>
      </c>
      <c r="AR9" s="22">
        <f>+IF(0.5*$H$17-0.5*$O$43&gt;$D$30*0.01*0.5,(0.5*$H$17-0.5*$O$43),-(0.5*$H$17-0.5*$O$43))*100</f>
        <v>-10.000000000000004</v>
      </c>
      <c r="AS9" s="18"/>
      <c r="AT9" s="22">
        <f>+IF($AR$9=0,$AJ$9/2,IF($AR$9&gt;15,$AJ$9,IF($AR$9=0,0.5*$AJ$9,IF($AR$9&gt;ABS(-15),0,$AJ$9*($AR$9+15)/30))))</f>
        <v>18.366666666666656</v>
      </c>
      <c r="AU9" s="18"/>
      <c r="AV9" s="173">
        <f>+$AT$9</f>
        <v>18.366666666666656</v>
      </c>
    </row>
    <row r="10" spans="1:48" ht="17.25">
      <c r="B10" s="46" t="s">
        <v>115</v>
      </c>
      <c r="C10" s="155" t="s">
        <v>12</v>
      </c>
      <c r="D10" s="108">
        <f>+VLOOKUP($AA$21,Z7:AG18,8)</f>
        <v>63.911250000000003</v>
      </c>
      <c r="E10" s="155" t="s">
        <v>135</v>
      </c>
      <c r="F10" s="2" t="s">
        <v>5</v>
      </c>
      <c r="G10" s="19"/>
      <c r="H10" s="51">
        <f>1/(1+(H9/(H8*$D$7)))</f>
        <v>0.39320388349514568</v>
      </c>
      <c r="K10" s="86" t="s">
        <v>154</v>
      </c>
      <c r="L10" s="33"/>
      <c r="M10" s="33"/>
      <c r="N10" s="33"/>
      <c r="O10" s="30"/>
      <c r="Q10" s="157" t="s">
        <v>184</v>
      </c>
      <c r="R10" s="33"/>
      <c r="S10" s="33"/>
      <c r="T10" s="30"/>
      <c r="Z10" s="53">
        <v>3</v>
      </c>
      <c r="AA10" s="53">
        <v>4</v>
      </c>
      <c r="AB10" s="72">
        <f t="shared" si="0"/>
        <v>79.681250000000006</v>
      </c>
      <c r="AC10" s="72">
        <f>+(($D$8)/$AA$10)+(($D$9*0.5*$H$17)/(4*0.5*$H$17*0.5*$H$17))</f>
        <v>70.0625</v>
      </c>
      <c r="AD10" s="53">
        <v>2</v>
      </c>
      <c r="AE10" s="167">
        <f>+(AI10*2*(0.5*H17-0.5*O43))</f>
        <v>15.936250000000006</v>
      </c>
      <c r="AF10" s="53">
        <v>2</v>
      </c>
      <c r="AG10" s="22">
        <f>+(AH10+AI10)*(0.5*H17-0.5*R43)</f>
        <v>36.871875000000003</v>
      </c>
      <c r="AH10" s="72">
        <f>+(($D$8+$D$16)/$AA$10)-(($D$9*0.5*$H$17)/(4*0.5*$H$17*0.5*$H$17))</f>
        <v>67.806250000000006</v>
      </c>
      <c r="AI10" s="168">
        <f>+(($D$8+$D$16)/$AA$10)+(($D$9*0.5*$H$17)/(4*0.5*$H$17*0.5*$H$17))</f>
        <v>79.681250000000006</v>
      </c>
      <c r="AJ10" s="72">
        <v>0</v>
      </c>
      <c r="AK10" s="72">
        <v>0</v>
      </c>
      <c r="AL10" s="72">
        <v>0</v>
      </c>
      <c r="AM10" s="22">
        <f>+IF(0.5*$H$17-0.5*$O$43&gt;$D$30/100,(0.5*$H$17-0.5*$O$43),-(0.5*$H$17-0.5*$O$43))*100</f>
        <v>-10.000000000000004</v>
      </c>
      <c r="AN10" s="18"/>
      <c r="AO10" s="22">
        <f>+IF($AM$10=0,$AI$10/2,IF($AM$10&gt;15,$AI$10,IF($AM$10=0,0.5*$AI$10,IF($AM$10&gt;ABS(-15),0,$AI$10*($AM$10+15)/30))))*2</f>
        <v>26.560416666666651</v>
      </c>
      <c r="AP10" s="18"/>
      <c r="AQ10" s="170">
        <f>+$AO$10</f>
        <v>26.560416666666651</v>
      </c>
      <c r="AR10" s="22">
        <f>+IF(0.5*$H$17-0.5*$O$43&gt;$D$30*0.01*0.5,(0.5*$H$17-0.5*$O$43),-(0.5*$H$17-0.5*$O$43))*100</f>
        <v>-10.000000000000004</v>
      </c>
      <c r="AS10" s="18"/>
      <c r="AT10" s="22">
        <f>+IF($AR$10=0,$AI$10/2,IF($AR$10&gt;15,$AI$10,IF($AR$10=0,0.5*$AI$10,IF($AR$10&gt;ABS(-15),0,$AI$10*($AR$10+15)/30))))*2</f>
        <v>26.560416666666651</v>
      </c>
      <c r="AU10" s="18"/>
      <c r="AV10" s="173">
        <f>+$AT$10</f>
        <v>26.560416666666651</v>
      </c>
    </row>
    <row r="11" spans="1:48" ht="17.25">
      <c r="B11" s="46" t="s">
        <v>116</v>
      </c>
      <c r="C11" s="155" t="s">
        <v>12</v>
      </c>
      <c r="D11" s="108">
        <f>+VLOOKUP($AA$21,Z8:AE18,6)</f>
        <v>77.068750000000023</v>
      </c>
      <c r="E11" s="155" t="s">
        <v>135</v>
      </c>
      <c r="F11" s="2" t="s">
        <v>6</v>
      </c>
      <c r="G11" s="19"/>
      <c r="H11" s="51">
        <f>1-H10/3</f>
        <v>0.8689320388349514</v>
      </c>
      <c r="K11" s="86" t="s">
        <v>188</v>
      </c>
      <c r="L11" s="33"/>
      <c r="M11" s="33"/>
      <c r="N11" s="33"/>
      <c r="O11" s="30"/>
      <c r="Q11" s="86" t="s">
        <v>160</v>
      </c>
      <c r="R11" s="33"/>
      <c r="S11" s="33"/>
      <c r="T11" s="30"/>
      <c r="Z11" s="53">
        <v>4</v>
      </c>
      <c r="AA11" s="53">
        <v>5</v>
      </c>
      <c r="AB11" s="72">
        <f t="shared" si="0"/>
        <v>64.932500000000005</v>
      </c>
      <c r="AC11" s="72">
        <f>+(($D$8)/$AA$11)+(($D$9*0.5*$H$17)/(4*0.5*$H$17*0.5*$H$17))</f>
        <v>57.237499999999997</v>
      </c>
      <c r="AD11" s="53">
        <v>2</v>
      </c>
      <c r="AE11" s="167">
        <f>+(AJ11*2*(0.5*H17-0.5*O43))</f>
        <v>12.986500000000005</v>
      </c>
      <c r="AF11" s="53">
        <v>2</v>
      </c>
      <c r="AG11" s="22">
        <f>+(AH11+AI11)*(0.5*H17-0.5*R43)</f>
        <v>28.013125000000002</v>
      </c>
      <c r="AH11" s="72">
        <f>+(($D$8+$D$16)/$AA$11)-(($D$9*0.5*$H$17)/(4*0.5*$H$17*0.5*$H$17))</f>
        <v>53.057500000000005</v>
      </c>
      <c r="AI11" s="72">
        <f>+(($D$8+$D$16)/$AA$11)</f>
        <v>58.995000000000005</v>
      </c>
      <c r="AJ11" s="168">
        <f>+(($D$8+$D$16)/$AA$11)+(($D$9*0.5*$H$17)/(4*0.5*$H$17*0.5*$H$17))</f>
        <v>64.932500000000005</v>
      </c>
      <c r="AK11" s="72">
        <v>0</v>
      </c>
      <c r="AL11" s="72">
        <v>0</v>
      </c>
      <c r="AM11" s="22">
        <f>+IF(0.5*$H$17-0.5*$O$43&gt;$D$30/100,(0.5*$H$17-0.5*$O$43),-(0.5*$H$17-0.5*$O$43))*100</f>
        <v>-10.000000000000004</v>
      </c>
      <c r="AN11" s="18"/>
      <c r="AO11" s="22">
        <f>+IF($AM$11=0,$AJ$11/2,IF($AM$11&gt;15,$AJ$11,IF($AM$11=0,0.5*$AJ$11,IF($AM$11&gt;ABS(-15),0,$AJ$11*($AM$11+15)/30))))*2</f>
        <v>21.644166666666653</v>
      </c>
      <c r="AP11" s="18"/>
      <c r="AQ11" s="170">
        <f>+$AO$11</f>
        <v>21.644166666666653</v>
      </c>
      <c r="AR11" s="22">
        <f>+IF(0.5*$H$17-0.5*$O$43&gt;$D$30*0.01*0.5,(0.5*$H$17-0.5*$O$43),-(0.5*$H$17-0.5*$O$43))*100</f>
        <v>-10.000000000000004</v>
      </c>
      <c r="AS11" s="18"/>
      <c r="AT11" s="22">
        <f>+IF($AR$11=0,$AJ$11/2,IF($AR$11&gt;15,$AJ$11,IF($AR$11=0,0.5*$AJ$11,IF($AR$11&gt;ABS(-15),0,$AJ$11*($AR$11+15)/30))))*2</f>
        <v>21.644166666666653</v>
      </c>
      <c r="AU11" s="18"/>
      <c r="AV11" s="173">
        <f>+$AT$11</f>
        <v>21.644166666666653</v>
      </c>
    </row>
    <row r="12" spans="1:48">
      <c r="A12" s="56" t="s">
        <v>123</v>
      </c>
      <c r="C12" s="155" t="s">
        <v>12</v>
      </c>
      <c r="D12" s="65">
        <v>28</v>
      </c>
      <c r="E12" s="155" t="s">
        <v>136</v>
      </c>
      <c r="F12" s="2" t="s">
        <v>7</v>
      </c>
      <c r="G12" s="19"/>
      <c r="H12" s="52">
        <f>0.5*$H$10*$D$7*$H$11</f>
        <v>18.450042416815911</v>
      </c>
      <c r="I12" t="s">
        <v>8</v>
      </c>
      <c r="K12" s="86" t="s">
        <v>164</v>
      </c>
      <c r="L12" s="33"/>
      <c r="M12" s="33"/>
      <c r="N12" s="33"/>
      <c r="O12" s="30"/>
      <c r="Q12" s="86" t="s">
        <v>167</v>
      </c>
      <c r="R12" s="33"/>
      <c r="S12" s="33"/>
      <c r="T12" s="30"/>
      <c r="Z12" s="53">
        <v>5</v>
      </c>
      <c r="AA12" s="53">
        <v>6</v>
      </c>
      <c r="AB12" s="72">
        <f t="shared" si="0"/>
        <v>52.131250000000001</v>
      </c>
      <c r="AC12" s="72">
        <f>+(($D$8)/$AA$12)+(($D$9*$H$17)/(4*$H$17*$H$17))</f>
        <v>45.71875</v>
      </c>
      <c r="AD12" s="53">
        <v>2</v>
      </c>
      <c r="AE12" s="167">
        <f>+(2*AJ12*(H17-(0.5*O43)))</f>
        <v>52.131250000000001</v>
      </c>
      <c r="AF12" s="53">
        <v>3</v>
      </c>
      <c r="AG12" s="22">
        <f>+(AH12+AI12+AJ12)*(0.5*H17-0.5*R43)</f>
        <v>36.871875000000003</v>
      </c>
      <c r="AH12" s="72">
        <f>+(($D$8+$D$16)/$AA$12)-(($D$9*$H$17)/(4*$H$17*$H$17))</f>
        <v>46.193750000000001</v>
      </c>
      <c r="AI12" s="72">
        <f>+(($D$8+$D$16)/$AA$12)</f>
        <v>49.162500000000001</v>
      </c>
      <c r="AJ12" s="168">
        <f>+(($D$8+$D$16)/$AA$12)+(($D$9*$H$17)/(4*$H$17*$H$17))</f>
        <v>52.131250000000001</v>
      </c>
      <c r="AK12" s="72">
        <v>0</v>
      </c>
      <c r="AL12" s="72">
        <v>0</v>
      </c>
      <c r="AM12" s="22">
        <f>+IF($H$17-(0.5*$O$43)&gt;$D$30/100,$H$17-(0.5*$O$43),-($H$17-(0.5*$O$43)))*100</f>
        <v>-50</v>
      </c>
      <c r="AO12" s="22">
        <f>+IF($AM$12=0,$AJ$12/2,IF($AM$12&gt;15,$AJ$12,IF($AM$12=0,0.5*$AJ$12,IF($AM$12&gt;ABS(-15),0,$AKJ$12*($AM$12+15)/30))))*2</f>
        <v>0</v>
      </c>
      <c r="AP12" s="22"/>
      <c r="AQ12" s="170">
        <f>+$AO$12</f>
        <v>0</v>
      </c>
      <c r="AR12" s="22">
        <f>+IF($H$17-(0.5*$O$43)&gt;$D$30*0.01*0.5,$H$17-(0.5*$O$43),-($H$17-(0.5*$O$43)))*100</f>
        <v>50</v>
      </c>
      <c r="AS12" s="18"/>
      <c r="AT12" s="22">
        <f>+IF($AR$12=0,$AJ$12/2,IF($AR$12&gt;15,$AJ$12,IF($AR$12=0,0.5*$AJ$12,IF($AR$12&gt;ABS(-15),0,$AKJ$12*($AR$12+15)/30))))*2</f>
        <v>104.2625</v>
      </c>
      <c r="AU12" s="18"/>
      <c r="AV12" s="173">
        <f>+$AT$12</f>
        <v>104.2625</v>
      </c>
    </row>
    <row r="13" spans="1:48">
      <c r="A13" s="56" t="s">
        <v>124</v>
      </c>
      <c r="C13" s="155" t="s">
        <v>12</v>
      </c>
      <c r="D13" s="66">
        <v>1</v>
      </c>
      <c r="E13" s="155" t="s">
        <v>3</v>
      </c>
      <c r="K13" s="86" t="s">
        <v>155</v>
      </c>
      <c r="L13" s="33"/>
      <c r="M13" s="33"/>
      <c r="N13" s="33"/>
      <c r="O13" s="30"/>
      <c r="Q13" s="86" t="s">
        <v>168</v>
      </c>
      <c r="R13" s="33"/>
      <c r="S13" s="33"/>
      <c r="T13" s="30"/>
      <c r="Z13" s="53">
        <v>6</v>
      </c>
      <c r="AA13" s="53">
        <v>7</v>
      </c>
      <c r="AB13" s="72">
        <f t="shared" si="0"/>
        <v>46.097619047619055</v>
      </c>
      <c r="AC13" s="72">
        <f>+(($D$8)/$AA$13)+(($D$9*$H$17)/((4*0.5*$H$17*0.5*$H$17)+(2*$H$17*$H$17)))</f>
        <v>40.601190476190482</v>
      </c>
      <c r="AD13" s="53">
        <v>3</v>
      </c>
      <c r="AE13" s="167">
        <f>+(AK13*2*(0.5*H17-0.5*O43))+(AL13*(H17-(0.5*O43)))</f>
        <v>31.872500000000009</v>
      </c>
      <c r="AF13" s="53">
        <v>2</v>
      </c>
      <c r="AG13" s="22">
        <f>+(AI13+AK13)*(H17-(0.5*R43))</f>
        <v>54.781071428571437</v>
      </c>
      <c r="AH13" s="72">
        <f>+(($D$8+$D$16)/$AA$13)-(($D$9*$H$17)/((4*0.5*$H$17*0.5*$H$17)+(2*$H$17*$H$17)))</f>
        <v>38.180952380952384</v>
      </c>
      <c r="AI13" s="72">
        <f>+(($D$8+$D$16)/$AA$13)-(($D$9*0.5*$H$17)/((4*0.5*$H$17*0.5*$H$17)+(2*$H$17*$H$17)))</f>
        <v>40.160119047619055</v>
      </c>
      <c r="AJ13" s="72">
        <f>+(($D$8+$D$16)/$AA$13)</f>
        <v>42.13928571428572</v>
      </c>
      <c r="AK13" s="72">
        <f>+(($D$8+$D$16)/$AA$13)+(($D$9*0.5*$H$17)/((4*0.5*$H$17*0.5*$H$17)+(2*$H$17*$H$17)))</f>
        <v>44.118452380952384</v>
      </c>
      <c r="AL13" s="168">
        <f>+(($D$8+$D$16)/$AA$13)+(($D$9*$H$17)/((4*0.5*$H$17*0.5*$H$17)+(2*$H$17*$H$17)))</f>
        <v>46.097619047619055</v>
      </c>
      <c r="AM13" s="22">
        <f>+IF(0.5*$H$17-0.5*$O$43&gt;$D$30/100,(0.5*$H$17-0.5*$O$43),-(0.5*$H$17-0.5*$O$43))*100</f>
        <v>-10.000000000000004</v>
      </c>
      <c r="AN13" s="22">
        <f>+IF($H$17-(0.5*$O$43)&gt;$D$30/100,$H$17-(0.5*$O$43),-($H$17-(0.5*$O$43)))*100</f>
        <v>-50</v>
      </c>
      <c r="AO13" s="22">
        <f>+IF($AM$13=0,$AK$13/2,IF($AM$13&gt;15,$AK$13,IF($AM$13=0,0.5*$AK$13,IF($AM$13&gt;ABS(-15),0,$AK$13*($AM$13+15)/30))))*2</f>
        <v>14.706150793650783</v>
      </c>
      <c r="AP13" s="22">
        <f>+IF($AN$13=0,$AL$13/2,IF($AN$13&gt;15,$AL$13,IF($AN$13=0,0.5*$AL$13,IF($AN$13&gt;ABS(-15),0,AKJ13*($AN$13+15)/30))))*2</f>
        <v>0</v>
      </c>
      <c r="AQ13" s="170">
        <f>+$AO$13+$AP$13</f>
        <v>14.706150793650783</v>
      </c>
      <c r="AR13" s="22">
        <f>+IF(0.5*$H$17-0.5*$O$43&gt;$D$30*0.01*0.5,(0.5*$H$17-0.5*$O$43),-(0.5*$H$17-0.5*$O$43))*100</f>
        <v>-10.000000000000004</v>
      </c>
      <c r="AS13" s="22">
        <f>+IF($H$17-(0.5*$O$43)&gt;$D$30*0.01*0.5,$H$17-(0.5*$O$43),-($H$17-(0.5*$O$43)))*100</f>
        <v>50</v>
      </c>
      <c r="AT13" s="22">
        <f>+IF($AR$13=0,$AK$13/2,IF($AR$13&gt;15,$AK$13,IF($AR$13=0,0.5*$AK$13,IF($AR$13&gt;ABS(-15),0,$AK$13*($AR$13+15)/30))))*2</f>
        <v>14.706150793650783</v>
      </c>
      <c r="AU13" s="22">
        <f>+IF($AS$13=0,$AL$13/2,IF($AS$13&gt;15,$AL$13,IF($AS$13=0,0.5*$AL$13,IF($AS$13&gt;ABS(-15),0,AKO13*($AS$13+15)/30))))*2</f>
        <v>92.195238095238111</v>
      </c>
      <c r="AV13" s="173">
        <f>+$AT$13+$AU$13</f>
        <v>106.90138888888889</v>
      </c>
    </row>
    <row r="14" spans="1:48">
      <c r="A14" s="56" t="s">
        <v>127</v>
      </c>
      <c r="C14" s="155" t="s">
        <v>12</v>
      </c>
      <c r="D14" s="66">
        <v>0.26</v>
      </c>
      <c r="E14" s="155" t="s">
        <v>3</v>
      </c>
      <c r="K14" s="86" t="s">
        <v>156</v>
      </c>
      <c r="L14" s="33"/>
      <c r="M14" s="33"/>
      <c r="N14" s="33"/>
      <c r="O14" s="30"/>
      <c r="Q14" s="86" t="s">
        <v>161</v>
      </c>
      <c r="R14" s="33"/>
      <c r="S14" s="33"/>
      <c r="T14" s="30"/>
      <c r="Z14" s="53">
        <v>7</v>
      </c>
      <c r="AA14" s="53">
        <v>8</v>
      </c>
      <c r="AB14" s="72">
        <f t="shared" si="0"/>
        <v>39.510763888888889</v>
      </c>
      <c r="AC14" s="72">
        <f>+(($D$8)/$AA$14)+(($D$9*$H$17)/((4*$H$17*$H$17)+(2*0.5*$H$17*0.5*$H$17)))</f>
        <v>34.701388888888886</v>
      </c>
      <c r="AD14" s="53">
        <v>3</v>
      </c>
      <c r="AE14" s="167">
        <f>+(AK14*(0.5*H17-0.5*O43))+(2*AL14*(H17-(0.5*O43)))</f>
        <v>43.329895833333332</v>
      </c>
      <c r="AF14" s="53">
        <v>3</v>
      </c>
      <c r="AG14" s="22">
        <f>+(AH14+AJ14+AL14)*(H17-(0.5*R43))</f>
        <v>71.900156250000009</v>
      </c>
      <c r="AH14" s="72">
        <f>+(($D$8+$D$16)/$AA$14)-(($D$9*$H$17)/((4*$H$17*$H$17)+(2*0.5*$H$17*0.5*$H$17)))</f>
        <v>34.232986111111117</v>
      </c>
      <c r="AI14" s="72">
        <f>+(($D$8+$D$16)/$AA$14)-(($D$9*0.5*$H$17)/((4*$H$17*$H$17)+(2*0.5*$H$17*0.5*$H$17)))</f>
        <v>35.55243055555556</v>
      </c>
      <c r="AJ14" s="72">
        <f>+(($D$8+$D$16)/$AA$14)</f>
        <v>36.871875000000003</v>
      </c>
      <c r="AK14" s="72">
        <f>+(($D$8+$D$16)/$AA$14)+(($D$9*0.5*$H$17)/((4*$H$17*$H$17)+(2*0.5*$H$17*0.5*$H$17)))</f>
        <v>38.191319444444446</v>
      </c>
      <c r="AL14" s="168">
        <f>+(($D$8+$D$16)/$AA$14)+(($D$9*$H$17)/((4*$H$17*$H$17)+(2*0.5*$H$17*0.5*$H$17)))</f>
        <v>39.510763888888889</v>
      </c>
      <c r="AM14" s="22">
        <f>+IF(0.5*$H$17-0.5*$O$43&gt;$D$30/100,(0.5*$H$17-0.5*$O$43),-(0.5*$H$17-0.5*$O$43))*100</f>
        <v>-10.000000000000004</v>
      </c>
      <c r="AN14" s="22">
        <f>+IF($H$17-(0.5*$O$43)&gt;$D$30/100,$H$17-(0.5*$O$43),-($H$17-(0.5*$O$43)))*100</f>
        <v>-50</v>
      </c>
      <c r="AO14" s="22">
        <f>+IF($AM$14=0,$AK$14/2,IF($AM$14&gt;15,$AK$14,IF($AM$14=0,0.5*$AK$14,IF($AM$14&gt;ABS(-15),0,$AK$14*($AM$14+15)/30))))*2</f>
        <v>12.730439814814806</v>
      </c>
      <c r="AP14" s="22">
        <f>+IF($AN$14=0,$AJ$14/2,IF($AN$14&gt;15,$AJ$14,IF($AN$14=0,0.5*$AJ$14,IF($AN$14&gt;ABS(-15),0,AKJ14*($AN$14+15)/30))))*2</f>
        <v>0</v>
      </c>
      <c r="AQ14" s="170">
        <f>+$AO$14+$AP$14</f>
        <v>12.730439814814806</v>
      </c>
      <c r="AR14" s="22">
        <f>+IF(0.5*$H$17-0.5*$O$43&gt;$D$30*0.01*0.5,(0.5*$H$17-0.5*$O$43),-(0.5*$H$17-0.5*$O$43))*100</f>
        <v>-10.000000000000004</v>
      </c>
      <c r="AS14" s="22">
        <f>+IF($H$17-(0.5*$O$43)&gt;$D$30*0.01*0.5,$H$17-(0.5*$O$43),-($H$17-(0.5*$O$43)))*100</f>
        <v>50</v>
      </c>
      <c r="AT14" s="22">
        <f>+IF($AR$14=0,$AK$14/2,IF($AR$14&gt;15,$AK$14,IF($AR$14=0,0.5*$AK$14,IF($AR$14&gt;ABS(-15),0,$AK$14*($AR$14+15)/30))))*2</f>
        <v>12.730439814814806</v>
      </c>
      <c r="AU14" s="22">
        <f>+IF($AS$14=0,$AL$14/2,IF($AS$14&gt;15,$AL$14,IF($AS$14=0,0.5*$AL$14,IF($AS$14&gt;ABS(-15),0,AKO14*($AS$14+15)/30))))*2</f>
        <v>79.021527777777777</v>
      </c>
      <c r="AV14" s="173">
        <f>+$AT$14+$AU$14</f>
        <v>91.751967592592578</v>
      </c>
    </row>
    <row r="15" spans="1:48">
      <c r="A15" s="69" t="s">
        <v>17</v>
      </c>
      <c r="D15" s="155"/>
      <c r="K15" s="86" t="s">
        <v>165</v>
      </c>
      <c r="L15" s="33"/>
      <c r="M15" s="33"/>
      <c r="N15" s="33"/>
      <c r="O15" s="30"/>
      <c r="Q15" s="86" t="s">
        <v>162</v>
      </c>
      <c r="R15" s="33"/>
      <c r="S15" s="33"/>
      <c r="T15" s="30"/>
      <c r="Z15" s="53">
        <v>8</v>
      </c>
      <c r="AA15" s="53">
        <v>9</v>
      </c>
      <c r="AB15" s="72">
        <f t="shared" si="0"/>
        <v>34.75416666666667</v>
      </c>
      <c r="AC15" s="72">
        <f>+(($D$8)/$AA$15)+(($D$9*$H$17)/(6*$H$17*$H$17))</f>
        <v>30.479166666666668</v>
      </c>
      <c r="AD15" s="53">
        <v>3</v>
      </c>
      <c r="AE15" s="167">
        <f>+(3*AJ15*(H17-(0.5*O43)))</f>
        <v>52.131250000000009</v>
      </c>
      <c r="AF15" s="53">
        <v>3</v>
      </c>
      <c r="AG15" s="22">
        <f>+(AH15+AI15+AJ15)*(H17-(0.5*R43))</f>
        <v>63.911250000000017</v>
      </c>
      <c r="AH15" s="72">
        <f>+(($D$8+$D$16)/$AA$15)-(($D$9*$H$17)/(6*$H$17*$H$17))</f>
        <v>30.795833333333338</v>
      </c>
      <c r="AI15" s="72">
        <f>+(($D$8+$D$16)/$AA$15)</f>
        <v>32.775000000000006</v>
      </c>
      <c r="AJ15" s="168">
        <f>+(($D$8+$D$16)/$AA$15)+(($D$9*$H$17)/(6*$H$17*$H$17))</f>
        <v>34.75416666666667</v>
      </c>
      <c r="AK15" s="72">
        <v>0</v>
      </c>
      <c r="AL15" s="72">
        <v>0</v>
      </c>
      <c r="AM15" s="22">
        <f>+IF($H$17-(0.5*$O$43)&gt;$D$30/100,$H$17-(0.5*$O$43),-($H$17-(0.5*$O$43)))*100</f>
        <v>-50</v>
      </c>
      <c r="AO15" s="22">
        <f>+IF($AM$15=0,$AJ$15/2,IF($AM$15&gt;15,$AJ$15,IF($AM$15=0,0.5*$AJ$15,IF($AM$15&gt;ABS(-15),0,AKJ15*($AM$15+15)/30))))*2</f>
        <v>0</v>
      </c>
      <c r="AP15" s="22"/>
      <c r="AQ15" s="170">
        <f>+$AO$15</f>
        <v>0</v>
      </c>
      <c r="AR15" s="22">
        <f>+IF($H$17-(0.5*$O$43)&gt;$D$30*0.01*0.5,$H$17-(0.5*$O$43),-($H$17-(0.5*$O$43)))*100</f>
        <v>50</v>
      </c>
      <c r="AS15" s="18"/>
      <c r="AT15" s="22">
        <f>+IF($AR$15=0,$AJ$15/2,IF($AR$15&gt;15,$AJ$15,IF($AR$15=0,0.5*$AJ$15,IF($AR$15&gt;ABS(-15),0,AKO15*($AR$15+15)/30))))*2</f>
        <v>69.50833333333334</v>
      </c>
      <c r="AU15" s="18"/>
      <c r="AV15" s="173">
        <f>+$AT$15</f>
        <v>69.50833333333334</v>
      </c>
    </row>
    <row r="16" spans="1:48" ht="17.25">
      <c r="A16" s="8" t="s">
        <v>90</v>
      </c>
      <c r="C16" s="3" t="s">
        <v>12</v>
      </c>
      <c r="D16" s="46">
        <f>0.15*($D$8)</f>
        <v>38.475000000000001</v>
      </c>
      <c r="E16" s="155" t="s">
        <v>134</v>
      </c>
      <c r="F16" t="s">
        <v>26</v>
      </c>
      <c r="H16" s="46">
        <f>3*$D$14</f>
        <v>0.78</v>
      </c>
      <c r="I16" s="155" t="s">
        <v>3</v>
      </c>
      <c r="K16" s="86" t="s">
        <v>189</v>
      </c>
      <c r="L16" s="33"/>
      <c r="M16" s="33"/>
      <c r="N16" s="33"/>
      <c r="O16" s="30"/>
      <c r="Q16" s="86" t="s">
        <v>169</v>
      </c>
      <c r="R16" s="33"/>
      <c r="S16" s="33"/>
      <c r="T16" s="30"/>
      <c r="Z16" s="53">
        <v>9</v>
      </c>
      <c r="AA16" s="53">
        <v>12</v>
      </c>
      <c r="AB16" s="72">
        <f t="shared" si="0"/>
        <v>25.768750000000001</v>
      </c>
      <c r="AC16" s="72">
        <f>+(($D$8)/$AA$16)+(($D$9*1.5*$H$17)/((6*1.5*$H$17*1.5*$H$17)+(6*0.5*$H$17*0.5*$H$17)))</f>
        <v>22.5625</v>
      </c>
      <c r="AD16" s="53">
        <v>6</v>
      </c>
      <c r="AE16" s="167">
        <f>+(AJ16*3*(0.5*H17-0.5*O43))+(AK16*3*(1.5*H17-0.5*O43))</f>
        <v>77.068750000000023</v>
      </c>
      <c r="AF16" s="53">
        <v>4</v>
      </c>
      <c r="AG16" s="22">
        <f>+(AH16+AI16+AJ16+AK16)*(H17-(0.5*R43))</f>
        <v>63.911250000000003</v>
      </c>
      <c r="AH16" s="72">
        <f>+(($D$8+$D$16)/$AA$16)-(($D$9*1.5*$H$17)/((6*1.5*$H$17*1.5*$H$17)+(6*0.5*$H$17*0.5*$H$17)))</f>
        <v>23.393750000000001</v>
      </c>
      <c r="AI16" s="72">
        <f>+(($D$8+$D$16)/$AA$16)-(($D$9*0.5*$H$17)/((6*1.5*$H$17*1.5*$H$17)+(6*0.5*$H$17*0.5*$H$17)))</f>
        <v>24.185416666666669</v>
      </c>
      <c r="AJ16" s="72">
        <f>+(($D$8+$D$16)/$AA$16)+(($D$9*0.5*$H$17)/((6*1.5*$H$17*1.5*$H$17)+(6*0.5*$H$17*0.5*$H$17)))</f>
        <v>24.977083333333333</v>
      </c>
      <c r="AK16" s="168">
        <f>+(($D$8+$D$16)/$AA$16)+(($D$9*1.5*$H$17)/((6*1.5*$H$17*1.5*$H$17)+(6*0.5*$H$17*0.5*$H$17)))</f>
        <v>25.768750000000001</v>
      </c>
      <c r="AL16" s="72">
        <v>0</v>
      </c>
      <c r="AM16" s="22">
        <f>+IF((0.5*$H$17-0.5*$O$43)&gt;$D$30*0.01,(0.5*$H$17-0.5*$O$43),-(0.5*$H$17-0.5*$O$43))*100</f>
        <v>-10.000000000000004</v>
      </c>
      <c r="AN16" s="22">
        <f>+IF((1.5*$H$17-0.5*$O$43)&gt;$D$30/100,(1.5*$H$17-0.5*$O$43),-(1.5*$H$17-0.5*$O$43))*100</f>
        <v>90.000000000000014</v>
      </c>
      <c r="AO16" s="22">
        <f>+IF($AM$16=0,$AJ$16/2,IF($AM$16&gt;15,$AJ$16,IF($AM$16=0,0.5*$AJ$16,IF($AM$16&gt;ABS(-15),0,$AJ$16*($AM$16+15)/30))))*3</f>
        <v>12.488541666666659</v>
      </c>
      <c r="AP16" s="22">
        <f>+IF($AN$16=0,$AK$16/2,IF($AN$16&gt;15,$AK$16,IF($AN$16=0,0.5*$AK$16,IF($AN$16&gt;ABS(-15),0,$AK$16*($AN$16+15)/30))))*3</f>
        <v>77.306250000000006</v>
      </c>
      <c r="AQ16" s="170">
        <f>+$AO$16+$AP$16</f>
        <v>89.794791666666669</v>
      </c>
      <c r="AR16" s="22">
        <f>+IF((0.5*$H$17-0.5*$O$43)&gt;$D$30*0.01*0.5,(0.5*$H$17-0.5*$O$43),-(0.5*$H$17-0.5*$O$43))*100</f>
        <v>-10.000000000000004</v>
      </c>
      <c r="AS16" s="22">
        <f>+IF((1.5*$H$17-0.5*$O$43)&gt;$D$30*0.01*0.5,(1.5*$H$17-0.5*$O$43),-(1.5*$H$17-0.5*$O$43))*100</f>
        <v>90.000000000000014</v>
      </c>
      <c r="AT16" s="22">
        <f>+IF($AR$16=0,$AJ$16/2,IF($AR$16&gt;15,$AJ$16,IF($AR$16=0,0.5*$AJ$16,IF($AR$16&gt;ABS(-15),0,$AJ$16*($AR$16+15)/30))))*3</f>
        <v>12.488541666666659</v>
      </c>
      <c r="AU16" s="22">
        <f>+IF($AS$16=0,$AK$16/2,IF($AS$16&gt;15,$AK$16,IF($AS$16=0,0.5*$AK$16,IF($AS$16&gt;ABS(-15),0,$AK$16*($AS$16+15)/30))))*3</f>
        <v>77.306250000000006</v>
      </c>
      <c r="AV16" s="173">
        <f>+$AT$16+$AU$16</f>
        <v>89.794791666666669</v>
      </c>
    </row>
    <row r="17" spans="1:48">
      <c r="A17" s="9" t="s">
        <v>11</v>
      </c>
      <c r="C17" s="3" t="s">
        <v>12</v>
      </c>
      <c r="D17" s="46">
        <f>+ROUNDUP(($D$8+$D$9+$D$16)/$D$12,0)</f>
        <v>11</v>
      </c>
      <c r="E17" s="155" t="s">
        <v>1</v>
      </c>
      <c r="F17" s="103" t="s">
        <v>107</v>
      </c>
      <c r="H17" s="66">
        <v>0.8</v>
      </c>
      <c r="I17" s="155" t="s">
        <v>3</v>
      </c>
      <c r="K17" s="86" t="s">
        <v>157</v>
      </c>
      <c r="L17" s="33"/>
      <c r="M17" s="33"/>
      <c r="N17" s="33"/>
      <c r="O17" s="30"/>
      <c r="Q17" s="86" t="s">
        <v>166</v>
      </c>
      <c r="R17" s="33"/>
      <c r="S17" s="33"/>
      <c r="T17" s="30"/>
      <c r="Z17" s="53">
        <v>10</v>
      </c>
      <c r="AA17" s="53">
        <v>16</v>
      </c>
      <c r="AB17" s="72">
        <f t="shared" si="0"/>
        <v>19.326562500000001</v>
      </c>
      <c r="AC17" s="72">
        <f>+(($D$8)/$AA$17)+(($D$9*1.5*$H$17)/((8*1.5*$H$17*1.5*$H$17)+(8*0.5*$H$17*0.5*$H$17)))</f>
        <v>16.921875</v>
      </c>
      <c r="AD17" s="53">
        <v>8</v>
      </c>
      <c r="AE17" s="167">
        <f>+(AJ17*4*(0.5*H17-0.5*O43))+(AK17*4*(1.5*H17-0.5*O43))</f>
        <v>77.068750000000023</v>
      </c>
      <c r="AF17" s="53">
        <v>8</v>
      </c>
      <c r="AG17" s="22">
        <f>+((AH17+AI17+AJ17+AK17)*(1.5*H17-0.5*R43))+((AH17+AI17+AJ17+AK17)*(0.5*H17-0.5*R43))</f>
        <v>95.866875000000022</v>
      </c>
      <c r="AH17" s="72">
        <f>+(($D$8+$D$16)/$AA$17)-(($D$9*1.5*$H$17)/((8*1.5*$H$17*1.5*$H$17)+(8*0.5*$H$17*0.5*$H$17)))</f>
        <v>17.545312500000001</v>
      </c>
      <c r="AI17" s="72">
        <f>+(($D$8+$D$16)/$AA$17)-(($D$9*0.5*$H$17)/((8*1.5*$H$17*1.5*$H$17)+(8*0.5*$H$17*0.5*$H$17)))</f>
        <v>18.139062500000001</v>
      </c>
      <c r="AJ17" s="72">
        <f>+(($D$8+$D$16)/$AA$17)+(($D$9*0.5*$H$17)/((8*1.5*$H$17*1.5*$H$17)+(8*0.5*$H$17*0.5*$H$17)))</f>
        <v>18.732812500000001</v>
      </c>
      <c r="AK17" s="168">
        <f>+(($D$8+$D$16)/$AA$17)+(($D$9*1.5*$H$17)/((8*1.5*$H$17*1.5*$H$17)+(8*0.5*$H$17*0.5*$H$17)))</f>
        <v>19.326562500000001</v>
      </c>
      <c r="AL17" s="72">
        <v>0</v>
      </c>
      <c r="AM17" s="22">
        <f>+IF(0.5*$H$17-0.5*$O$43&gt;$D$30/100,(0.5*$H$17-0.5*$O$43),-(0.5*$H$17-0.5*$O$43))*100</f>
        <v>-10.000000000000004</v>
      </c>
      <c r="AN17" s="22">
        <f>+IF((1.5*$H$17)-(0.5*$O$43)&gt;$D$30/100,(1.5*$H$17)-(0.5*$O$43),-((1.5*$H$17)-(0.5*$O$43)))*100</f>
        <v>90.000000000000014</v>
      </c>
      <c r="AO17" s="22">
        <f>+IF($AM$17=0,$AJ$17/2,IF($AM$17&gt;15,$AJ$17,IF($AM$17=0,0.5*$AJ$17,IF($AM$17&gt;ABS(-15),0,$AJ$17*($AM$17+15)/30))))*3</f>
        <v>9.3664062499999936</v>
      </c>
      <c r="AP17" s="22">
        <f>+IF($AN$17=0,$AK$17/2,IF($AN$17&gt;15,$AK$17,IF($AN$17=0,0.5*$AK$17,IF($AN$17&gt;ABS(-15),0,$AK$17*($AN$17+15)/30))))*3</f>
        <v>57.979687500000004</v>
      </c>
      <c r="AQ17" s="170">
        <f>+$AO$17+$AP$17</f>
        <v>67.346093749999994</v>
      </c>
      <c r="AR17" s="22">
        <f>+IF(0.5*$H$17-0.5*$O$43&gt;$D$30*0.01*0.5,(0.5*$H$17-0.5*$O$43),-(0.5*$H$17-0.5*$O$43))*100</f>
        <v>-10.000000000000004</v>
      </c>
      <c r="AS17" s="22">
        <f>+IF((1.5*$H$17)-(0.5*$O$43)&gt;$D$30*0.01*0.5,(1.5*$H$17)-(0.5*$O$43),-((1.5*$H$17)-(0.5*$O$43)))*100</f>
        <v>90.000000000000014</v>
      </c>
      <c r="AT17" s="22">
        <f>+IF($AR$17=0,$AJ$17/2,IF($AR$17&gt;15,$AJ$17,IF($AR$17=0,0.5*$AJ$17,IF($AR$17&gt;ABS(-15),0,$AJ$17*($AR$17+15)/30))))*3</f>
        <v>9.3664062499999936</v>
      </c>
      <c r="AU17" s="22">
        <f>+IF($AS$17=0,$AK$17/2,IF($AS$17&gt;15,$AK$17,IF($AS$17=0,0.5*$AK$17,IF($AS$17&gt;ABS(-15),0,$AK$17*($AS$17+15)/30))))*3</f>
        <v>57.979687500000004</v>
      </c>
      <c r="AV17" s="173">
        <f>+$AT$17+$AU$17</f>
        <v>67.346093749999994</v>
      </c>
    </row>
    <row r="18" spans="1:48" ht="15.75">
      <c r="A18" s="56" t="s">
        <v>126</v>
      </c>
      <c r="C18" s="3" t="s">
        <v>12</v>
      </c>
      <c r="D18" s="120"/>
      <c r="E18" s="100" t="s">
        <v>1</v>
      </c>
      <c r="F18" s="63" t="s">
        <v>108</v>
      </c>
      <c r="G18" s="64" t="s">
        <v>12</v>
      </c>
      <c r="H18" s="24"/>
      <c r="I18" s="155" t="s">
        <v>70</v>
      </c>
      <c r="K18" s="86" t="s">
        <v>190</v>
      </c>
      <c r="L18" s="33"/>
      <c r="M18" s="33"/>
      <c r="N18" s="33"/>
      <c r="O18" s="30"/>
      <c r="Q18" s="86"/>
      <c r="R18" s="33"/>
      <c r="S18" s="33"/>
      <c r="T18" s="30"/>
      <c r="Z18" s="112"/>
      <c r="AA18" s="17"/>
      <c r="AB18" s="17"/>
      <c r="AC18" s="17"/>
      <c r="AD18" s="17"/>
      <c r="AE18" s="43"/>
      <c r="AF18" s="164"/>
      <c r="AG18" s="136"/>
      <c r="AH18" s="17"/>
      <c r="AI18" s="17"/>
      <c r="AJ18" s="17"/>
      <c r="AK18" s="17"/>
      <c r="AL18" s="17"/>
      <c r="AM18" s="18"/>
      <c r="AN18" s="18"/>
      <c r="AO18" s="18"/>
      <c r="AP18" s="22"/>
      <c r="AQ18" s="170"/>
      <c r="AR18" s="22"/>
      <c r="AS18" s="18"/>
      <c r="AT18" s="18"/>
      <c r="AU18" s="18"/>
      <c r="AV18" s="18"/>
    </row>
    <row r="19" spans="1:48" ht="16.5" customHeight="1">
      <c r="A19" s="56" t="s">
        <v>16</v>
      </c>
      <c r="C19" s="3" t="s">
        <v>12</v>
      </c>
      <c r="D19" s="155"/>
      <c r="E19" s="3" t="s">
        <v>24</v>
      </c>
      <c r="F19" s="155" t="s">
        <v>3</v>
      </c>
      <c r="K19" s="86" t="s">
        <v>158</v>
      </c>
      <c r="L19" s="33"/>
      <c r="M19" s="33"/>
      <c r="N19" s="33"/>
      <c r="O19" s="30"/>
      <c r="Q19" s="41"/>
      <c r="R19" s="42"/>
      <c r="S19" s="42"/>
      <c r="T19" s="43"/>
    </row>
    <row r="20" spans="1:48">
      <c r="D20" s="155"/>
      <c r="K20" s="86" t="s">
        <v>191</v>
      </c>
      <c r="L20" s="33"/>
      <c r="M20" s="33"/>
      <c r="N20" s="33"/>
      <c r="O20" s="30"/>
    </row>
    <row r="21" spans="1:48">
      <c r="A21" s="9" t="s">
        <v>68</v>
      </c>
      <c r="B21" s="53" t="s">
        <v>67</v>
      </c>
      <c r="C21" s="3" t="s">
        <v>12</v>
      </c>
      <c r="D21" s="49">
        <f>+$AB$21*1000</f>
        <v>25768.75</v>
      </c>
      <c r="E21" s="155" t="s">
        <v>0</v>
      </c>
      <c r="F21" s="61" t="str">
        <f>+IF(D21&lt;D12*1000," &lt;&lt;  น้อยกว่า  &gt;&gt; "," &lt;&lt;  มากกว่า  &gt;&gt;")</f>
        <v xml:space="preserve"> &lt;&lt;  น้อยกว่า  &gt;&gt; </v>
      </c>
      <c r="G21" s="44">
        <f>+$D$12*1000</f>
        <v>28000</v>
      </c>
      <c r="H21" s="61" t="str">
        <f>+IF($D$21&lt;$G$21,"O.K.","NO")</f>
        <v>O.K.</v>
      </c>
      <c r="K21" s="86" t="s">
        <v>192</v>
      </c>
      <c r="L21" s="33"/>
      <c r="M21" s="33"/>
      <c r="N21" s="33"/>
      <c r="O21" s="30"/>
      <c r="Y21" t="s">
        <v>105</v>
      </c>
      <c r="AA21" s="53">
        <v>9</v>
      </c>
      <c r="AB21" s="72">
        <f>+VLOOKUP(AA21,Z8:AB17,3)</f>
        <v>25.768750000000001</v>
      </c>
    </row>
    <row r="22" spans="1:48">
      <c r="B22" s="155"/>
      <c r="C22" s="155"/>
      <c r="K22" s="86" t="s">
        <v>159</v>
      </c>
      <c r="L22" s="33"/>
      <c r="M22" s="33"/>
      <c r="N22" s="33"/>
      <c r="O22" s="30"/>
    </row>
    <row r="23" spans="1:48">
      <c r="A23" s="70" t="s">
        <v>18</v>
      </c>
      <c r="B23" s="155"/>
      <c r="C23" s="155"/>
      <c r="K23" s="16" t="s">
        <v>198</v>
      </c>
      <c r="L23" s="16"/>
      <c r="M23" s="16"/>
      <c r="N23" s="86"/>
      <c r="O23" s="30"/>
      <c r="AB23" s="100"/>
      <c r="AC23" s="101"/>
    </row>
    <row r="24" spans="1:48">
      <c r="A24" s="9" t="s">
        <v>69</v>
      </c>
      <c r="B24" s="53" t="s">
        <v>67</v>
      </c>
      <c r="C24" s="155" t="s">
        <v>12</v>
      </c>
      <c r="D24" s="49">
        <f>+VLOOKUP(AA21,Z8:AC17,4)*1000</f>
        <v>22562.5</v>
      </c>
      <c r="E24" s="155" t="s">
        <v>103</v>
      </c>
      <c r="K24" s="16" t="s">
        <v>195</v>
      </c>
      <c r="L24" s="16"/>
      <c r="M24" s="16"/>
      <c r="N24" s="86"/>
      <c r="O24" s="30"/>
    </row>
    <row r="25" spans="1:48">
      <c r="C25" s="155"/>
      <c r="K25" s="16" t="s">
        <v>196</v>
      </c>
      <c r="L25" s="16"/>
      <c r="M25" s="86"/>
      <c r="N25" s="33"/>
      <c r="O25" s="30"/>
    </row>
    <row r="26" spans="1:48" ht="12.75" customHeight="1">
      <c r="A26" s="70" t="s">
        <v>19</v>
      </c>
      <c r="C26" s="155"/>
      <c r="K26" s="16" t="s">
        <v>194</v>
      </c>
      <c r="L26" s="33"/>
      <c r="M26" s="33"/>
      <c r="N26" s="33"/>
      <c r="O26" s="30"/>
    </row>
    <row r="27" spans="1:48" ht="14.25" customHeight="1">
      <c r="A27" s="71" t="s">
        <v>60</v>
      </c>
      <c r="B27" s="107" t="s">
        <v>114</v>
      </c>
      <c r="C27" s="155" t="s">
        <v>12</v>
      </c>
      <c r="D27" s="102">
        <f>+VLOOKUP($AA$21,Z8:AE18,6)*1000</f>
        <v>77068.750000000029</v>
      </c>
      <c r="E27" s="155" t="s">
        <v>23</v>
      </c>
      <c r="F27" t="s">
        <v>22</v>
      </c>
      <c r="G27" s="155" t="s">
        <v>12</v>
      </c>
      <c r="H27" s="88">
        <f>+VLOOKUP(AA21,Z7:AD18,5)</f>
        <v>6</v>
      </c>
      <c r="I27" t="s">
        <v>1</v>
      </c>
      <c r="K27" s="179" t="s">
        <v>193</v>
      </c>
      <c r="L27" s="42"/>
      <c r="M27" s="42"/>
      <c r="N27" s="42"/>
      <c r="O27" s="43"/>
    </row>
    <row r="28" spans="1:48" ht="12.75" customHeight="1">
      <c r="A28" s="9" t="s">
        <v>46</v>
      </c>
      <c r="B28" s="53" t="s">
        <v>20</v>
      </c>
      <c r="C28" s="155" t="s">
        <v>12</v>
      </c>
      <c r="D28" s="22">
        <f>+SQRT($D$27/($H$12*$N$119))</f>
        <v>44.599585831585451</v>
      </c>
      <c r="E28" s="155" t="s">
        <v>2</v>
      </c>
    </row>
    <row r="29" spans="1:48" ht="15" customHeight="1">
      <c r="A29" s="56" t="s">
        <v>27</v>
      </c>
      <c r="B29" s="89" t="s">
        <v>28</v>
      </c>
      <c r="C29" s="10" t="s">
        <v>12</v>
      </c>
      <c r="E29" s="3" t="s">
        <v>3</v>
      </c>
      <c r="F29" s="59" t="s">
        <v>85</v>
      </c>
      <c r="H29" s="3" t="s">
        <v>77</v>
      </c>
    </row>
    <row r="30" spans="1:48">
      <c r="A30" s="9" t="s">
        <v>45</v>
      </c>
      <c r="B30" s="53" t="s">
        <v>20</v>
      </c>
      <c r="C30" s="155" t="s">
        <v>12</v>
      </c>
      <c r="D30" s="22">
        <f>+$O$60*100-$H$6-$S$65/20</f>
        <v>78.75</v>
      </c>
      <c r="E30" s="3" t="s">
        <v>2</v>
      </c>
      <c r="P30" t="s">
        <v>21</v>
      </c>
    </row>
    <row r="31" spans="1:48">
      <c r="O31" s="155" t="s">
        <v>81</v>
      </c>
      <c r="R31" s="155" t="s">
        <v>82</v>
      </c>
    </row>
    <row r="32" spans="1:48">
      <c r="A32" s="69" t="s">
        <v>98</v>
      </c>
      <c r="B32" s="4"/>
      <c r="C32" s="4"/>
      <c r="D32" s="4"/>
      <c r="N32" s="11">
        <v>1</v>
      </c>
      <c r="O32" s="12">
        <v>0.2</v>
      </c>
      <c r="P32" s="13"/>
      <c r="Q32" s="11">
        <v>1</v>
      </c>
      <c r="R32" s="12">
        <v>0.2</v>
      </c>
    </row>
    <row r="33" spans="1:24" ht="17.25">
      <c r="A33" s="9" t="s">
        <v>49</v>
      </c>
      <c r="B33" s="165" t="s">
        <v>175</v>
      </c>
      <c r="C33" s="3" t="s">
        <v>12</v>
      </c>
      <c r="D33" s="22">
        <f>+VLOOKUP($AA$21,Z8:AM17,14)</f>
        <v>-10.000000000000004</v>
      </c>
      <c r="E33" s="3" t="s">
        <v>2</v>
      </c>
      <c r="F33" s="54"/>
      <c r="G33" s="100"/>
      <c r="H33" s="33"/>
      <c r="I33" s="100"/>
      <c r="N33" s="14">
        <v>2</v>
      </c>
      <c r="O33" s="15">
        <v>0.25</v>
      </c>
      <c r="P33" s="16"/>
      <c r="Q33" s="14">
        <v>2</v>
      </c>
      <c r="R33" s="15">
        <v>0.25</v>
      </c>
    </row>
    <row r="34" spans="1:24" ht="17.25">
      <c r="A34" s="9" t="s">
        <v>49</v>
      </c>
      <c r="B34" s="166" t="s">
        <v>176</v>
      </c>
      <c r="C34" s="155" t="s">
        <v>12</v>
      </c>
      <c r="D34" s="22">
        <f>+VLOOKUP($AA$21,Z8:AN17,15)</f>
        <v>90.000000000000014</v>
      </c>
      <c r="E34" s="3" t="s">
        <v>2</v>
      </c>
      <c r="F34" s="33"/>
      <c r="G34" s="33"/>
      <c r="H34" s="33"/>
      <c r="I34" s="33"/>
      <c r="N34" s="14">
        <v>3</v>
      </c>
      <c r="O34" s="15">
        <v>0.3</v>
      </c>
      <c r="P34" s="16"/>
      <c r="Q34" s="14">
        <v>3</v>
      </c>
      <c r="R34" s="15">
        <v>0.3</v>
      </c>
    </row>
    <row r="35" spans="1:24">
      <c r="A35" s="9" t="s">
        <v>47</v>
      </c>
      <c r="B35" s="88" t="s">
        <v>48</v>
      </c>
      <c r="C35" s="3" t="s">
        <v>12</v>
      </c>
      <c r="D35" s="47">
        <f>+VLOOKUP($AA$21,Z8:AQ17,18)*1000</f>
        <v>89794.791666666672</v>
      </c>
      <c r="E35" s="3" t="s">
        <v>0</v>
      </c>
      <c r="N35" s="14">
        <v>4</v>
      </c>
      <c r="O35" s="15">
        <v>0.35</v>
      </c>
      <c r="P35" s="16"/>
      <c r="Q35" s="14">
        <v>4</v>
      </c>
      <c r="R35" s="15">
        <v>0.35</v>
      </c>
    </row>
    <row r="36" spans="1:24" ht="17.25">
      <c r="A36" s="9" t="s">
        <v>51</v>
      </c>
      <c r="B36" s="88" t="s">
        <v>50</v>
      </c>
      <c r="C36" s="155" t="s">
        <v>12</v>
      </c>
      <c r="D36" s="48">
        <f>0.29*SQRT($H$7)*$K$119*100*$D$30</f>
        <v>113215.0491763352</v>
      </c>
      <c r="E36" s="3" t="s">
        <v>0</v>
      </c>
      <c r="F36" s="61" t="str">
        <f>+IF($D$36&gt;$D$35, " &lt;&lt;  มากกว่า  &gt;&gt;  ","&lt;&lt;  น้อยกว่า  &gt;&gt;")</f>
        <v xml:space="preserve"> &lt;&lt;  มากกว่า  &gt;&gt;  </v>
      </c>
      <c r="G36" s="109">
        <f>+D35</f>
        <v>89794.791666666672</v>
      </c>
      <c r="H36" s="61" t="str">
        <f>+IF($D$36&gt;$G$36,"O.K.","NO")</f>
        <v>O.K.</v>
      </c>
      <c r="N36" s="14">
        <v>5</v>
      </c>
      <c r="O36" s="15">
        <v>0.4</v>
      </c>
      <c r="P36" s="16"/>
      <c r="Q36" s="14">
        <v>5</v>
      </c>
      <c r="R36" s="15">
        <v>0.4</v>
      </c>
    </row>
    <row r="37" spans="1:24">
      <c r="A37" s="71" t="s">
        <v>53</v>
      </c>
      <c r="G37" s="155"/>
      <c r="N37" s="14">
        <v>6</v>
      </c>
      <c r="O37" s="15">
        <v>0.45</v>
      </c>
      <c r="P37" s="16"/>
      <c r="Q37" s="14">
        <v>6</v>
      </c>
      <c r="R37" s="15">
        <v>0.45</v>
      </c>
    </row>
    <row r="38" spans="1:24">
      <c r="A38" s="71" t="s">
        <v>61</v>
      </c>
      <c r="G38" s="155"/>
      <c r="N38" s="14">
        <v>7</v>
      </c>
      <c r="O38" s="15">
        <v>0.5</v>
      </c>
      <c r="P38" s="16"/>
      <c r="Q38" s="14">
        <v>7</v>
      </c>
      <c r="R38" s="15">
        <v>0.5</v>
      </c>
    </row>
    <row r="39" spans="1:24">
      <c r="B39" s="88" t="s">
        <v>55</v>
      </c>
      <c r="C39" s="155" t="s">
        <v>12</v>
      </c>
      <c r="D39" s="18">
        <f>+((2*$O$43)+(2*$R$43))*100 + ($D$30*4)</f>
        <v>495</v>
      </c>
      <c r="E39" s="3" t="s">
        <v>2</v>
      </c>
      <c r="G39" s="155"/>
      <c r="N39" s="14">
        <v>8</v>
      </c>
      <c r="O39" s="15">
        <v>0.55000000000000004</v>
      </c>
      <c r="P39" s="16"/>
      <c r="Q39" s="14">
        <v>8</v>
      </c>
      <c r="R39" s="15">
        <v>0.55000000000000004</v>
      </c>
    </row>
    <row r="40" spans="1:24" ht="17.25">
      <c r="A40" s="9" t="s">
        <v>49</v>
      </c>
      <c r="B40" s="88" t="s">
        <v>175</v>
      </c>
      <c r="C40" s="155" t="s">
        <v>12</v>
      </c>
      <c r="D40" s="22">
        <f>+VLOOKUP($AA$21,Z8:AR17,19)</f>
        <v>-10.000000000000004</v>
      </c>
      <c r="E40" s="3" t="s">
        <v>2</v>
      </c>
      <c r="N40" s="14">
        <v>9</v>
      </c>
      <c r="O40" s="15">
        <v>0.6</v>
      </c>
      <c r="P40" s="16"/>
      <c r="Q40" s="14">
        <v>9</v>
      </c>
      <c r="R40" s="15">
        <v>0.6</v>
      </c>
    </row>
    <row r="41" spans="1:24" ht="17.25">
      <c r="A41" s="9" t="s">
        <v>49</v>
      </c>
      <c r="B41" s="166" t="s">
        <v>176</v>
      </c>
      <c r="C41" s="3" t="s">
        <v>12</v>
      </c>
      <c r="D41" s="22">
        <f>+VLOOKUP($AA$21,Z8:AS17,20)</f>
        <v>90.000000000000014</v>
      </c>
      <c r="E41" s="3" t="s">
        <v>2</v>
      </c>
      <c r="G41" s="155"/>
      <c r="N41" s="14">
        <v>10</v>
      </c>
      <c r="O41" s="15">
        <v>0.65</v>
      </c>
      <c r="P41" s="16"/>
      <c r="Q41" s="14">
        <v>10</v>
      </c>
      <c r="R41" s="15">
        <v>0.65</v>
      </c>
    </row>
    <row r="42" spans="1:24">
      <c r="A42" s="9" t="s">
        <v>47</v>
      </c>
      <c r="B42" s="88" t="s">
        <v>56</v>
      </c>
      <c r="C42" s="155" t="s">
        <v>12</v>
      </c>
      <c r="D42" s="104">
        <f>+VLOOKUP($AA$21,Z8:AV17,23)*1000</f>
        <v>89794.791666666672</v>
      </c>
      <c r="E42" s="3" t="s">
        <v>0</v>
      </c>
      <c r="G42" s="155"/>
      <c r="N42" s="16"/>
      <c r="O42" s="16"/>
      <c r="P42" s="16"/>
      <c r="Q42" s="16"/>
      <c r="R42" s="16"/>
    </row>
    <row r="43" spans="1:24" ht="17.25">
      <c r="A43" s="9" t="s">
        <v>59</v>
      </c>
      <c r="B43" s="88" t="s">
        <v>50</v>
      </c>
      <c r="C43" s="155" t="s">
        <v>12</v>
      </c>
      <c r="D43" s="48">
        <f>0.53*SQRT($H$7)*($D$39*$D$30)</f>
        <v>320064.31197641749</v>
      </c>
      <c r="E43" s="3" t="s">
        <v>0</v>
      </c>
      <c r="F43" s="61" t="str">
        <f>+IF(D43&gt;$D$42,"&lt;&lt;  มากกว่า  &gt;&gt;","&lt;&lt;  น้อยกว่า  &gt;&gt;")</f>
        <v>&lt;&lt;  มากกว่า  &gt;&gt;</v>
      </c>
      <c r="G43" s="105">
        <f>+$D$42</f>
        <v>89794.791666666672</v>
      </c>
      <c r="H43" s="61" t="str">
        <f>+IF($D$43&gt;$D$42,"O.K.","NO")</f>
        <v>O.K.</v>
      </c>
      <c r="N43" s="18">
        <v>9</v>
      </c>
      <c r="O43" s="72">
        <f>+VLOOKUP(N43,N32:O41,2)</f>
        <v>0.6</v>
      </c>
      <c r="P43" s="18"/>
      <c r="Q43" s="18">
        <v>3</v>
      </c>
      <c r="R43" s="72">
        <f>+VLOOKUP(Q43,Q32:R41,2)</f>
        <v>0.3</v>
      </c>
    </row>
    <row r="44" spans="1:24">
      <c r="N44" s="16"/>
      <c r="O44" s="16"/>
      <c r="P44" s="16"/>
      <c r="Q44" s="16"/>
      <c r="R44" s="16"/>
    </row>
    <row r="45" spans="1:24">
      <c r="A45" s="71" t="s">
        <v>62</v>
      </c>
      <c r="B45" s="88" t="s">
        <v>55</v>
      </c>
      <c r="C45" s="155" t="s">
        <v>12</v>
      </c>
      <c r="D45" s="18">
        <f>+($D$30*4)+($D$14*100*4)</f>
        <v>419</v>
      </c>
      <c r="E45" s="3" t="s">
        <v>2</v>
      </c>
      <c r="G45" s="155"/>
      <c r="H45" s="62"/>
      <c r="N45" s="17"/>
      <c r="O45" s="17"/>
      <c r="P45" s="17"/>
      <c r="Q45" s="17"/>
      <c r="R45" s="17"/>
    </row>
    <row r="46" spans="1:24">
      <c r="A46" s="9" t="s">
        <v>57</v>
      </c>
      <c r="B46" s="88" t="s">
        <v>58</v>
      </c>
      <c r="C46" s="155" t="s">
        <v>12</v>
      </c>
      <c r="D46" s="47">
        <f>+$D$24</f>
        <v>22562.5</v>
      </c>
      <c r="E46" s="3" t="s">
        <v>0</v>
      </c>
      <c r="G46" s="155"/>
      <c r="H46" s="62"/>
    </row>
    <row r="47" spans="1:24" ht="17.25">
      <c r="A47" s="9" t="s">
        <v>59</v>
      </c>
      <c r="B47" s="88" t="s">
        <v>50</v>
      </c>
      <c r="C47" s="155" t="s">
        <v>12</v>
      </c>
      <c r="D47" s="48">
        <f>0.53*SQRT($H$7)*$D$45*$D$30</f>
        <v>270923.12468306854</v>
      </c>
      <c r="E47" s="3" t="s">
        <v>0</v>
      </c>
      <c r="F47" s="61" t="str">
        <f>+IF($D$47&gt;$D$46,"&lt;&lt;  มากกว่า  &gt;&gt;"," &lt;&lt;  น้อยกว่า  &gt;&gt;")</f>
        <v>&lt;&lt;  มากกว่า  &gt;&gt;</v>
      </c>
      <c r="G47" s="45">
        <f>+$D$46</f>
        <v>22562.5</v>
      </c>
      <c r="H47" s="61" t="str">
        <f>+IF($D$47&gt;$D$46,"O.K.","NO")</f>
        <v>O.K.</v>
      </c>
      <c r="N47" s="23" t="s">
        <v>29</v>
      </c>
      <c r="O47" s="26"/>
    </row>
    <row r="48" spans="1:24">
      <c r="A48" s="69" t="s">
        <v>63</v>
      </c>
      <c r="H48" s="62"/>
      <c r="N48" s="86">
        <v>1</v>
      </c>
      <c r="O48" s="135">
        <v>0.2</v>
      </c>
      <c r="Q48" s="23"/>
      <c r="R48" s="24"/>
      <c r="S48" s="24"/>
      <c r="T48" s="24"/>
      <c r="U48" s="25"/>
      <c r="V48" s="25"/>
      <c r="W48" s="25" t="s">
        <v>30</v>
      </c>
      <c r="X48" s="26"/>
    </row>
    <row r="49" spans="1:24">
      <c r="A49" s="9" t="s">
        <v>64</v>
      </c>
      <c r="C49" s="155" t="s">
        <v>12</v>
      </c>
      <c r="D49" s="18">
        <f>+$O$60*$K$119*$N$119*2400</f>
        <v>14515.200000000003</v>
      </c>
      <c r="E49" s="3" t="s">
        <v>0</v>
      </c>
      <c r="H49" s="62"/>
      <c r="N49" s="86">
        <v>2</v>
      </c>
      <c r="O49" s="135">
        <v>0.3</v>
      </c>
      <c r="Q49" s="27" t="s">
        <v>31</v>
      </c>
      <c r="R49" s="28" t="s">
        <v>32</v>
      </c>
      <c r="S49" s="29" t="s">
        <v>33</v>
      </c>
      <c r="T49" s="29" t="s">
        <v>34</v>
      </c>
      <c r="U49" s="29"/>
      <c r="V49" s="29"/>
      <c r="X49" s="30"/>
    </row>
    <row r="50" spans="1:24">
      <c r="A50" s="9" t="s">
        <v>65</v>
      </c>
      <c r="C50" s="155" t="s">
        <v>12</v>
      </c>
      <c r="D50" s="18">
        <f>+($D$13-$O$60)*$K$119*$N$119*$W$6</f>
        <v>1075.1999999999998</v>
      </c>
      <c r="E50" s="3" t="s">
        <v>0</v>
      </c>
      <c r="H50" s="62"/>
      <c r="N50" s="86">
        <v>3</v>
      </c>
      <c r="O50" s="135">
        <v>0.4</v>
      </c>
      <c r="Q50" s="27">
        <v>1</v>
      </c>
      <c r="R50" s="31" t="s">
        <v>35</v>
      </c>
      <c r="S50" s="28">
        <v>6</v>
      </c>
      <c r="T50" s="28">
        <f>0.25*PI()*(S50*0.1)^2</f>
        <v>0.28274333882308145</v>
      </c>
      <c r="U50" s="29"/>
      <c r="V50" s="29"/>
      <c r="W50" s="28">
        <v>1</v>
      </c>
      <c r="X50" s="30"/>
    </row>
    <row r="51" spans="1:24">
      <c r="A51" s="9" t="s">
        <v>66</v>
      </c>
      <c r="C51" s="155" t="s">
        <v>12</v>
      </c>
      <c r="D51" s="18">
        <f>+$D$49+$D$50</f>
        <v>15590.400000000001</v>
      </c>
      <c r="E51" s="3" t="s">
        <v>0</v>
      </c>
      <c r="F51" s="61" t="str">
        <f>+IF($D$51&lt;($D$16*1000),"&lt;&lt;  น้อยกว่า  &gt;&gt;"," &lt;&lt;  มากกว่า  &gt;&gt;")</f>
        <v>&lt;&lt;  น้อยกว่า  &gt;&gt;</v>
      </c>
      <c r="G51" s="44">
        <f>+$D$16*1000</f>
        <v>38475</v>
      </c>
      <c r="H51" s="61" t="str">
        <f>+IF($D$51&lt;$G$51,"O.K.","NO")</f>
        <v>O.K.</v>
      </c>
      <c r="N51" s="86">
        <v>4</v>
      </c>
      <c r="O51" s="135">
        <v>0.5</v>
      </c>
      <c r="Q51" s="27">
        <v>2</v>
      </c>
      <c r="R51" s="31" t="s">
        <v>36</v>
      </c>
      <c r="S51" s="28">
        <v>9</v>
      </c>
      <c r="T51" s="28">
        <f>0.25*PI()*(S51*0.1)^2</f>
        <v>0.63617251235193317</v>
      </c>
      <c r="U51" s="29"/>
      <c r="V51" s="29"/>
      <c r="W51" s="28">
        <v>2</v>
      </c>
      <c r="X51" s="30"/>
    </row>
    <row r="52" spans="1:24">
      <c r="N52" s="86">
        <v>5</v>
      </c>
      <c r="O52" s="135">
        <v>0.6</v>
      </c>
      <c r="Q52" s="27">
        <v>3</v>
      </c>
      <c r="R52" s="31" t="s">
        <v>37</v>
      </c>
      <c r="S52" s="28">
        <v>10</v>
      </c>
      <c r="T52" s="28">
        <f t="shared" ref="T52:T57" si="1">0.25*PI()*(S52*0.1)^2</f>
        <v>0.78539816339744828</v>
      </c>
      <c r="U52" s="29"/>
      <c r="V52" s="29"/>
      <c r="W52" s="28">
        <v>3</v>
      </c>
      <c r="X52" s="30"/>
    </row>
    <row r="53" spans="1:24">
      <c r="A53" s="69" t="s">
        <v>73</v>
      </c>
      <c r="N53" s="86">
        <v>6</v>
      </c>
      <c r="O53" s="135">
        <v>0.7</v>
      </c>
      <c r="Q53" s="27">
        <v>4</v>
      </c>
      <c r="R53" s="31" t="s">
        <v>38</v>
      </c>
      <c r="S53" s="28">
        <v>12</v>
      </c>
      <c r="T53" s="28">
        <f t="shared" si="1"/>
        <v>1.1309733552923258</v>
      </c>
      <c r="U53" s="29"/>
      <c r="V53" s="29"/>
      <c r="W53" s="28">
        <v>4</v>
      </c>
      <c r="X53" s="30"/>
    </row>
    <row r="54" spans="1:24" ht="15.75">
      <c r="A54" s="9" t="s">
        <v>94</v>
      </c>
      <c r="B54" s="53" t="s">
        <v>74</v>
      </c>
      <c r="C54" s="155" t="s">
        <v>12</v>
      </c>
      <c r="D54" s="106">
        <f>+$D$27*100/($H$9*$H$11*$D$30)</f>
        <v>75.084567408589791</v>
      </c>
      <c r="E54" s="3" t="s">
        <v>78</v>
      </c>
      <c r="F54" s="60" t="s">
        <v>84</v>
      </c>
      <c r="G54" s="3" t="s">
        <v>77</v>
      </c>
      <c r="N54" s="86">
        <v>7</v>
      </c>
      <c r="O54" s="135">
        <v>0.8</v>
      </c>
      <c r="Q54" s="27">
        <v>5</v>
      </c>
      <c r="R54" s="31" t="s">
        <v>39</v>
      </c>
      <c r="S54" s="28">
        <v>15</v>
      </c>
      <c r="T54" s="28">
        <f t="shared" si="1"/>
        <v>1.7671458676442586</v>
      </c>
      <c r="U54" s="29"/>
      <c r="V54" s="29"/>
      <c r="W54" s="28">
        <v>5</v>
      </c>
      <c r="X54" s="30"/>
    </row>
    <row r="55" spans="1:24" ht="15.75">
      <c r="A55" s="9" t="s">
        <v>75</v>
      </c>
      <c r="B55" s="53" t="s">
        <v>74</v>
      </c>
      <c r="C55" s="155" t="s">
        <v>12</v>
      </c>
      <c r="D55" s="22">
        <f>14*($N$119*100*$D$30)/$D$6</f>
        <v>77.174999999999997</v>
      </c>
      <c r="E55" s="3" t="s">
        <v>78</v>
      </c>
      <c r="F55" s="60" t="s">
        <v>83</v>
      </c>
      <c r="G55" s="3" t="s">
        <v>76</v>
      </c>
      <c r="N55" s="86">
        <v>8</v>
      </c>
      <c r="O55" s="135">
        <v>0.9</v>
      </c>
      <c r="Q55" s="27">
        <v>6</v>
      </c>
      <c r="R55" s="31" t="s">
        <v>40</v>
      </c>
      <c r="S55" s="28">
        <v>16</v>
      </c>
      <c r="T55" s="28">
        <f t="shared" si="1"/>
        <v>2.0106192982974678</v>
      </c>
      <c r="U55" s="29"/>
      <c r="V55" s="29"/>
      <c r="W55" s="28">
        <v>6</v>
      </c>
      <c r="X55" s="30"/>
    </row>
    <row r="56" spans="1:24" ht="15.75">
      <c r="A56" s="9" t="s">
        <v>79</v>
      </c>
      <c r="B56" s="53" t="s">
        <v>74</v>
      </c>
      <c r="C56" s="155" t="s">
        <v>12</v>
      </c>
      <c r="D56" s="22">
        <f>+U92*$W$99</f>
        <v>78.539816339744831</v>
      </c>
      <c r="E56" s="3" t="s">
        <v>78</v>
      </c>
      <c r="F56" s="61" t="str">
        <f>+IF($D$56&gt;($D$54),"&lt;&lt;  มากกว่า  &gt;&gt;"," &lt;&lt;  น้อยกว่า  &gt;&gt;")</f>
        <v>&lt;&lt;  มากกว่า  &gt;&gt;</v>
      </c>
      <c r="G56" s="119">
        <f>+MAX($D$54,$D$55)</f>
        <v>77.174999999999997</v>
      </c>
      <c r="H56" s="61" t="str">
        <f>+IF($D$56&gt;$G$56,"O.K.","NO")</f>
        <v>O.K.</v>
      </c>
      <c r="N56" s="86">
        <v>9</v>
      </c>
      <c r="O56" s="135">
        <v>1</v>
      </c>
      <c r="Q56" s="27">
        <v>7</v>
      </c>
      <c r="R56" s="31" t="s">
        <v>41</v>
      </c>
      <c r="S56" s="28">
        <v>20</v>
      </c>
      <c r="T56" s="28">
        <f t="shared" si="1"/>
        <v>3.1415926535897931</v>
      </c>
      <c r="U56" s="29"/>
      <c r="V56" s="29"/>
      <c r="W56" s="28">
        <v>7</v>
      </c>
      <c r="X56" s="30"/>
    </row>
    <row r="57" spans="1:24" ht="18.75">
      <c r="A57" s="9" t="s">
        <v>79</v>
      </c>
      <c r="B57" s="55" t="s">
        <v>80</v>
      </c>
      <c r="C57" s="155" t="s">
        <v>12</v>
      </c>
      <c r="D57" s="22">
        <f>+VLOOKUP($T$92,Q78:U87,5)*$W$99</f>
        <v>125.66370614359172</v>
      </c>
      <c r="E57" s="3" t="s">
        <v>2</v>
      </c>
      <c r="N57" s="41"/>
      <c r="O57" s="43"/>
      <c r="Q57" s="27">
        <v>8</v>
      </c>
      <c r="R57" s="31" t="s">
        <v>42</v>
      </c>
      <c r="S57" s="28">
        <v>25</v>
      </c>
      <c r="T57" s="28">
        <f t="shared" si="1"/>
        <v>4.908738521234052</v>
      </c>
      <c r="U57" s="29"/>
      <c r="V57" s="29"/>
      <c r="W57" s="28">
        <v>8</v>
      </c>
      <c r="X57" s="30"/>
    </row>
    <row r="58" spans="1:24">
      <c r="A58" s="54" t="s">
        <v>109</v>
      </c>
      <c r="B58" s="53" t="s">
        <v>89</v>
      </c>
      <c r="C58" s="155" t="s">
        <v>12</v>
      </c>
      <c r="D58" s="22">
        <f>IF($V$90&lt;35,V90,35)</f>
        <v>20.015577933199928</v>
      </c>
      <c r="E58" s="3" t="s">
        <v>8</v>
      </c>
      <c r="Q58" s="27">
        <v>9</v>
      </c>
      <c r="R58" s="31" t="s">
        <v>43</v>
      </c>
      <c r="S58" s="28">
        <v>28</v>
      </c>
      <c r="T58" s="28">
        <f>0.25*PI()*(S58*0.1)^2</f>
        <v>6.1575216010359961</v>
      </c>
      <c r="U58" s="29"/>
      <c r="V58" s="29"/>
      <c r="W58" s="28">
        <v>9</v>
      </c>
      <c r="X58" s="30"/>
    </row>
    <row r="59" spans="1:24">
      <c r="Q59" s="27">
        <v>10</v>
      </c>
      <c r="R59" s="31" t="s">
        <v>44</v>
      </c>
      <c r="S59" s="28">
        <v>32</v>
      </c>
      <c r="T59" s="28">
        <f>0.25*PI()*(S59*0.1)^2</f>
        <v>8.0424771931898711</v>
      </c>
      <c r="U59" s="29"/>
      <c r="V59" s="29"/>
      <c r="W59" s="28">
        <v>10</v>
      </c>
      <c r="X59" s="30"/>
    </row>
    <row r="60" spans="1:24" ht="15.75">
      <c r="A60" s="9" t="s">
        <v>95</v>
      </c>
      <c r="B60" s="53" t="s">
        <v>74</v>
      </c>
      <c r="C60" s="155" t="s">
        <v>12</v>
      </c>
      <c r="D60" s="106">
        <f>+$D$10*100*1000/($H$9*$H$11*$D$30)</f>
        <v>62.265815376429906</v>
      </c>
      <c r="E60" s="3" t="s">
        <v>78</v>
      </c>
      <c r="F60" s="60" t="s">
        <v>84</v>
      </c>
      <c r="G60" s="3" t="s">
        <v>77</v>
      </c>
      <c r="N60" s="21">
        <v>8</v>
      </c>
      <c r="O60" s="22">
        <f>+VLOOKUP(N60,N48:O56,2)</f>
        <v>0.9</v>
      </c>
      <c r="Q60" s="86"/>
      <c r="U60" s="29"/>
      <c r="V60" s="29"/>
      <c r="W60" s="28">
        <v>11</v>
      </c>
      <c r="X60" s="30"/>
    </row>
    <row r="61" spans="1:24" ht="15.75">
      <c r="A61" s="9" t="s">
        <v>75</v>
      </c>
      <c r="B61" s="53" t="s">
        <v>74</v>
      </c>
      <c r="C61" s="155" t="s">
        <v>12</v>
      </c>
      <c r="D61" s="106">
        <f>MAX(14*($N$119*100*$D$30)/$D$6,0.002*$K$119*$D$30*100)</f>
        <v>77.174999999999997</v>
      </c>
      <c r="E61" s="3" t="s">
        <v>78</v>
      </c>
      <c r="F61" s="60" t="s">
        <v>83</v>
      </c>
      <c r="G61" s="3" t="s">
        <v>76</v>
      </c>
      <c r="Q61" s="32"/>
      <c r="R61" s="33"/>
      <c r="S61" s="33"/>
      <c r="T61" s="33"/>
      <c r="U61" s="29"/>
      <c r="V61" s="29"/>
      <c r="W61" s="28">
        <v>12</v>
      </c>
      <c r="X61" s="30"/>
    </row>
    <row r="62" spans="1:24" ht="15.75">
      <c r="A62" s="9" t="s">
        <v>79</v>
      </c>
      <c r="B62" s="53" t="s">
        <v>74</v>
      </c>
      <c r="C62" s="155" t="s">
        <v>12</v>
      </c>
      <c r="D62" s="22">
        <f>+AB92*AF99</f>
        <v>78.539816339744831</v>
      </c>
      <c r="E62" s="3" t="s">
        <v>78</v>
      </c>
      <c r="F62" s="61" t="str">
        <f>+IF($D$62&gt;MAX($D$60,$D$61),"&lt;&lt;  มากกว่า  &gt;&gt;"," &lt;&lt;  น้อยกว่า  &gt;&gt;")</f>
        <v>&lt;&lt;  มากกว่า  &gt;&gt;</v>
      </c>
      <c r="G62" s="119">
        <f>+MAX($D$60,$D$61)</f>
        <v>77.174999999999997</v>
      </c>
      <c r="H62" s="61" t="str">
        <f>+IF($D$62&gt;$G$62,"O.K.","NO")</f>
        <v>O.K.</v>
      </c>
      <c r="Q62" s="32"/>
      <c r="R62" s="33"/>
      <c r="S62" s="33"/>
      <c r="T62" s="33"/>
      <c r="U62" s="34"/>
      <c r="V62" s="34"/>
      <c r="W62" s="35">
        <v>13</v>
      </c>
      <c r="X62" s="30"/>
    </row>
    <row r="63" spans="1:24" ht="18.75">
      <c r="A63" s="9" t="s">
        <v>79</v>
      </c>
      <c r="B63" s="55" t="s">
        <v>80</v>
      </c>
      <c r="C63" s="155" t="s">
        <v>12</v>
      </c>
      <c r="D63" s="22">
        <f>+VLOOKUP($AA$92,Z78:AD87,5)*$AF$99</f>
        <v>125.66370614359172</v>
      </c>
      <c r="E63" s="3" t="s">
        <v>2</v>
      </c>
      <c r="J63" s="23"/>
      <c r="K63" s="145" t="s">
        <v>9</v>
      </c>
      <c r="L63" s="26"/>
      <c r="M63" s="24"/>
      <c r="N63" s="24" t="s">
        <v>10</v>
      </c>
      <c r="O63" s="26"/>
      <c r="Q63" s="32"/>
      <c r="R63" s="36">
        <v>8</v>
      </c>
      <c r="S63" s="37">
        <v>0</v>
      </c>
      <c r="T63" s="38"/>
      <c r="U63" s="29"/>
      <c r="V63" s="29"/>
      <c r="W63" s="28">
        <v>14</v>
      </c>
      <c r="X63" s="30"/>
    </row>
    <row r="64" spans="1:24">
      <c r="A64" s="54" t="s">
        <v>109</v>
      </c>
      <c r="B64" s="53" t="s">
        <v>89</v>
      </c>
      <c r="C64" s="155" t="s">
        <v>12</v>
      </c>
      <c r="D64" s="22">
        <f>+IF(AE90&lt;35,AE90,35)</f>
        <v>20.015577933199928</v>
      </c>
      <c r="E64" s="3" t="s">
        <v>8</v>
      </c>
      <c r="J64" s="86">
        <v>1</v>
      </c>
      <c r="K64" s="146">
        <v>0.5</v>
      </c>
      <c r="L64" s="30"/>
      <c r="M64" s="33">
        <v>1</v>
      </c>
      <c r="N64" s="147">
        <v>0.5</v>
      </c>
      <c r="O64" s="30"/>
      <c r="Q64" s="32"/>
      <c r="R64" s="28"/>
      <c r="S64" s="35"/>
      <c r="T64" s="34"/>
      <c r="U64" s="29"/>
      <c r="V64" s="29"/>
      <c r="W64" s="28">
        <v>15</v>
      </c>
      <c r="X64" s="30"/>
    </row>
    <row r="65" spans="1:33">
      <c r="J65" s="86">
        <v>2</v>
      </c>
      <c r="K65" s="146">
        <v>0.6</v>
      </c>
      <c r="L65" s="30"/>
      <c r="M65" s="33">
        <v>2</v>
      </c>
      <c r="N65" s="147">
        <v>0.6</v>
      </c>
      <c r="O65" s="30"/>
      <c r="Q65" s="32"/>
      <c r="R65" s="37">
        <v>1</v>
      </c>
      <c r="S65" s="39">
        <f>VLOOKUP(R63,Q50:S59,3)</f>
        <v>25</v>
      </c>
      <c r="T65" s="38"/>
      <c r="U65" s="29"/>
      <c r="V65" s="29"/>
      <c r="W65" s="28">
        <v>16</v>
      </c>
      <c r="X65" s="30"/>
    </row>
    <row r="66" spans="1:33">
      <c r="J66" s="86">
        <v>3</v>
      </c>
      <c r="K66" s="146">
        <v>0.7</v>
      </c>
      <c r="L66" s="30"/>
      <c r="M66" s="33">
        <v>3</v>
      </c>
      <c r="N66" s="147">
        <v>0.7</v>
      </c>
      <c r="O66" s="30"/>
      <c r="Q66" s="32"/>
      <c r="R66" s="29"/>
      <c r="S66" s="40"/>
      <c r="T66" s="29"/>
      <c r="U66" s="29"/>
      <c r="V66" s="29"/>
      <c r="W66" s="28">
        <v>17</v>
      </c>
      <c r="X66" s="30"/>
    </row>
    <row r="67" spans="1:33">
      <c r="A67" s="74" t="s">
        <v>118</v>
      </c>
      <c r="J67" s="86">
        <v>4</v>
      </c>
      <c r="K67" s="146">
        <v>0.8</v>
      </c>
      <c r="L67" s="30"/>
      <c r="M67" s="33">
        <v>4</v>
      </c>
      <c r="N67" s="147">
        <v>0.8</v>
      </c>
      <c r="O67" s="30"/>
      <c r="Q67" s="32"/>
      <c r="R67" s="37">
        <v>1</v>
      </c>
      <c r="S67" s="37">
        <f>VLOOKUP(R67,Q50:S59,3)</f>
        <v>6</v>
      </c>
      <c r="T67" s="38"/>
      <c r="U67" s="29"/>
      <c r="V67" s="29"/>
      <c r="W67" s="28">
        <v>18</v>
      </c>
      <c r="X67" s="30"/>
    </row>
    <row r="68" spans="1:33" ht="18.75">
      <c r="A68" s="9" t="s">
        <v>138</v>
      </c>
      <c r="B68" s="55" t="s">
        <v>80</v>
      </c>
      <c r="C68" s="3" t="s">
        <v>12</v>
      </c>
      <c r="D68" s="22">
        <f>+($D$24*$H$27*$S$65*0.1)/(3.23*SQRT($H$7)*$H$11*$D$30)</f>
        <v>98.840278867031742</v>
      </c>
      <c r="E68" s="3" t="s">
        <v>2</v>
      </c>
      <c r="F68" s="61" t="str">
        <f>+IF(D68&lt;D57,"&lt;&lt; น้อยกว่า &gt;&gt;","&lt;&lt; มากกว่า &gt;&gt;")</f>
        <v>&lt;&lt; น้อยกว่า &gt;&gt;</v>
      </c>
      <c r="G68" s="20">
        <f>+$D$57</f>
        <v>125.66370614359172</v>
      </c>
      <c r="H68" s="61" t="str">
        <f>+IF($D$68&lt;$D$57,"O.K.","NO")</f>
        <v>O.K.</v>
      </c>
      <c r="J68" s="86">
        <v>5</v>
      </c>
      <c r="K68" s="146">
        <v>0.9</v>
      </c>
      <c r="L68" s="30"/>
      <c r="M68" s="33">
        <v>5</v>
      </c>
      <c r="N68" s="147">
        <v>0.9</v>
      </c>
      <c r="O68" s="30"/>
      <c r="Q68" s="32"/>
      <c r="R68" s="29"/>
      <c r="S68" s="29"/>
      <c r="T68" s="29"/>
      <c r="U68" s="29"/>
      <c r="V68" s="29"/>
      <c r="W68" s="28">
        <v>19</v>
      </c>
      <c r="X68" s="30"/>
    </row>
    <row r="69" spans="1:33" ht="21" customHeight="1">
      <c r="A69" s="54" t="s">
        <v>86</v>
      </c>
      <c r="B69" s="87" t="s">
        <v>91</v>
      </c>
      <c r="C69" s="3" t="s">
        <v>12</v>
      </c>
      <c r="D69" s="22">
        <f>+$S$65*0.1*$H$9/(4*D58)</f>
        <v>46.83851763505487</v>
      </c>
      <c r="E69" s="3" t="s">
        <v>2</v>
      </c>
      <c r="J69" s="86">
        <v>6</v>
      </c>
      <c r="K69" s="146">
        <v>1</v>
      </c>
      <c r="L69" s="30"/>
      <c r="M69" s="33">
        <v>6</v>
      </c>
      <c r="N69" s="147">
        <v>1</v>
      </c>
      <c r="O69" s="30"/>
      <c r="Q69" s="32"/>
      <c r="R69" s="38"/>
      <c r="S69" s="38"/>
      <c r="T69" s="38"/>
      <c r="U69" s="29"/>
      <c r="V69" s="29"/>
      <c r="W69" s="28">
        <v>20</v>
      </c>
      <c r="X69" s="30"/>
    </row>
    <row r="70" spans="1:33" ht="18" customHeight="1">
      <c r="A70" s="9" t="s">
        <v>87</v>
      </c>
      <c r="B70" s="87" t="s">
        <v>91</v>
      </c>
      <c r="C70" s="3" t="s">
        <v>12</v>
      </c>
      <c r="D70" s="18">
        <f>+(($K$119*0.5)-($O$43*0.5))*100-$H$6</f>
        <v>120</v>
      </c>
      <c r="E70" s="3" t="s">
        <v>2</v>
      </c>
      <c r="F70" s="61" t="str">
        <f>+IF(D70&gt;D69,"&lt;&lt; มากกว่า &gt;&gt;","&lt;&lt; น้อยกว่า &gt;&gt;")</f>
        <v>&lt;&lt; มากกว่า &gt;&gt;</v>
      </c>
      <c r="G70">
        <f>+$D$69</f>
        <v>46.83851763505487</v>
      </c>
      <c r="H70" s="61" t="str">
        <f>+IF($D$70&gt;$D$69,"O.K.","NO")</f>
        <v>O.K.</v>
      </c>
      <c r="J70" s="86">
        <v>7</v>
      </c>
      <c r="K70" s="146">
        <v>1.1000000000000001</v>
      </c>
      <c r="L70" s="30"/>
      <c r="M70" s="33">
        <v>7</v>
      </c>
      <c r="N70" s="147">
        <v>1.1000000000000001</v>
      </c>
      <c r="O70" s="30"/>
      <c r="Q70" s="32"/>
      <c r="R70" s="29"/>
      <c r="S70" s="29"/>
      <c r="T70" s="29"/>
      <c r="U70" s="29"/>
      <c r="V70" s="29"/>
      <c r="W70" s="28"/>
      <c r="X70" s="30"/>
    </row>
    <row r="71" spans="1:33" ht="15" thickBot="1">
      <c r="J71" s="86">
        <v>8</v>
      </c>
      <c r="K71" s="146">
        <v>1.2</v>
      </c>
      <c r="L71" s="30"/>
      <c r="M71" s="33">
        <v>8</v>
      </c>
      <c r="N71" s="147">
        <v>1.2</v>
      </c>
      <c r="O71" s="30"/>
      <c r="Q71" s="32"/>
      <c r="R71" s="29"/>
      <c r="S71" s="40"/>
      <c r="T71" s="29"/>
      <c r="U71" s="29"/>
      <c r="V71" s="29"/>
      <c r="W71" s="37">
        <v>7</v>
      </c>
      <c r="X71" s="30"/>
    </row>
    <row r="72" spans="1:33" ht="15" thickTop="1">
      <c r="A72" s="122" t="s">
        <v>92</v>
      </c>
      <c r="B72" s="123">
        <f>+K119</f>
        <v>3.2</v>
      </c>
      <c r="C72" s="124" t="s">
        <v>24</v>
      </c>
      <c r="D72" s="125">
        <f>+N119</f>
        <v>2.1</v>
      </c>
      <c r="E72" s="124" t="s">
        <v>131</v>
      </c>
      <c r="F72" s="125">
        <f>+O60</f>
        <v>0.9</v>
      </c>
      <c r="G72" s="126"/>
      <c r="H72" s="127"/>
      <c r="J72" s="86">
        <v>9</v>
      </c>
      <c r="K72" s="146">
        <v>1.25</v>
      </c>
      <c r="L72" s="30"/>
      <c r="M72" s="33">
        <v>9</v>
      </c>
      <c r="N72" s="147">
        <v>1.25</v>
      </c>
      <c r="O72" s="30"/>
      <c r="Q72" s="41"/>
      <c r="R72" s="42"/>
      <c r="S72" s="42"/>
      <c r="T72" s="42"/>
      <c r="U72" s="42"/>
      <c r="V72" s="42"/>
      <c r="W72" s="42"/>
      <c r="X72" s="43"/>
    </row>
    <row r="73" spans="1:33">
      <c r="A73" s="128" t="s">
        <v>93</v>
      </c>
      <c r="B73" s="33">
        <f>+VLOOKUP($AA$21,Z8:AA17,2)</f>
        <v>12</v>
      </c>
      <c r="C73" s="33"/>
      <c r="D73" s="33" t="s">
        <v>130</v>
      </c>
      <c r="E73" s="33"/>
      <c r="F73" s="137">
        <f>+D14</f>
        <v>0.26</v>
      </c>
      <c r="G73" s="33" t="s">
        <v>132</v>
      </c>
      <c r="H73" s="153">
        <f>+$D$12</f>
        <v>28</v>
      </c>
      <c r="J73" s="86">
        <v>10</v>
      </c>
      <c r="K73" s="146">
        <v>1.3</v>
      </c>
      <c r="L73" s="30"/>
      <c r="M73" s="33">
        <v>10</v>
      </c>
      <c r="N73" s="147">
        <v>1.3</v>
      </c>
      <c r="O73" s="30"/>
    </row>
    <row r="74" spans="1:33">
      <c r="A74" s="128" t="s">
        <v>99</v>
      </c>
      <c r="B74" s="33">
        <f>+W99</f>
        <v>16</v>
      </c>
      <c r="C74" s="98" t="s">
        <v>101</v>
      </c>
      <c r="D74" s="99">
        <f>+VLOOKUP(T92,Q78:S87,3)</f>
        <v>25</v>
      </c>
      <c r="E74" s="3" t="s">
        <v>77</v>
      </c>
      <c r="F74" s="33"/>
      <c r="G74" s="33"/>
      <c r="H74" s="153" t="s">
        <v>133</v>
      </c>
      <c r="J74" s="86">
        <v>11</v>
      </c>
      <c r="K74" s="146">
        <v>1.35</v>
      </c>
      <c r="L74" s="30"/>
      <c r="M74" s="33">
        <v>11</v>
      </c>
      <c r="N74" s="147">
        <v>1.35</v>
      </c>
      <c r="O74" s="30"/>
      <c r="R74" t="s">
        <v>96</v>
      </c>
      <c r="AA74" t="s">
        <v>97</v>
      </c>
    </row>
    <row r="75" spans="1:33" ht="15" thickBot="1">
      <c r="A75" s="129" t="s">
        <v>100</v>
      </c>
      <c r="B75" s="130">
        <f>+AF99</f>
        <v>16</v>
      </c>
      <c r="C75" s="131" t="s">
        <v>101</v>
      </c>
      <c r="D75" s="131">
        <f>+VLOOKUP(AA92,Z78:AB87,3)</f>
        <v>25</v>
      </c>
      <c r="E75" s="131" t="s">
        <v>77</v>
      </c>
      <c r="F75" s="130"/>
      <c r="G75" s="130"/>
      <c r="H75" s="132"/>
      <c r="J75" s="86">
        <v>12</v>
      </c>
      <c r="K75" s="146">
        <v>1.4</v>
      </c>
      <c r="L75" s="30"/>
      <c r="M75" s="33">
        <v>12</v>
      </c>
      <c r="N75" s="147">
        <v>1.4</v>
      </c>
      <c r="O75" s="30"/>
    </row>
    <row r="76" spans="1:33" ht="15" thickTop="1">
      <c r="J76" s="86">
        <v>13</v>
      </c>
      <c r="K76" s="146">
        <v>1.45</v>
      </c>
      <c r="L76" s="30"/>
      <c r="M76" s="33">
        <v>13</v>
      </c>
      <c r="N76" s="147">
        <v>1.45</v>
      </c>
      <c r="O76" s="30"/>
      <c r="Q76" s="23"/>
      <c r="R76" s="24"/>
      <c r="S76" s="24"/>
      <c r="T76" s="24"/>
      <c r="U76" s="92"/>
      <c r="V76" s="25"/>
      <c r="W76" s="24"/>
      <c r="X76" s="26"/>
      <c r="Z76" s="23"/>
      <c r="AA76" s="24"/>
      <c r="AB76" s="24"/>
      <c r="AC76" s="24"/>
      <c r="AD76" s="92"/>
      <c r="AE76" s="25"/>
      <c r="AF76" s="24"/>
      <c r="AG76" s="26"/>
    </row>
    <row r="77" spans="1:33" ht="18.75">
      <c r="J77" s="86">
        <v>14</v>
      </c>
      <c r="K77" s="146">
        <v>1.5</v>
      </c>
      <c r="L77" s="30"/>
      <c r="M77" s="33">
        <v>14</v>
      </c>
      <c r="N77" s="147">
        <v>1.5</v>
      </c>
      <c r="O77" s="30"/>
      <c r="Q77" s="27" t="s">
        <v>31</v>
      </c>
      <c r="R77" s="28" t="s">
        <v>32</v>
      </c>
      <c r="S77" s="29" t="s">
        <v>33</v>
      </c>
      <c r="T77" s="29" t="s">
        <v>34</v>
      </c>
      <c r="U77" s="55" t="s">
        <v>80</v>
      </c>
      <c r="V77" s="28" t="s">
        <v>88</v>
      </c>
      <c r="W77" s="29" t="s">
        <v>30</v>
      </c>
      <c r="X77" s="113"/>
      <c r="Z77" s="27" t="s">
        <v>31</v>
      </c>
      <c r="AA77" s="28" t="s">
        <v>32</v>
      </c>
      <c r="AB77" s="29" t="s">
        <v>33</v>
      </c>
      <c r="AC77" s="29" t="s">
        <v>34</v>
      </c>
      <c r="AD77" s="55" t="s">
        <v>80</v>
      </c>
      <c r="AE77" s="28" t="s">
        <v>88</v>
      </c>
      <c r="AF77" s="29" t="s">
        <v>30</v>
      </c>
      <c r="AG77" s="113"/>
    </row>
    <row r="78" spans="1:33">
      <c r="J78" s="86">
        <v>15</v>
      </c>
      <c r="K78" s="146">
        <v>1.55</v>
      </c>
      <c r="L78" s="30"/>
      <c r="M78" s="33">
        <v>15</v>
      </c>
      <c r="N78" s="147">
        <v>1.55</v>
      </c>
      <c r="O78" s="30"/>
      <c r="Q78" s="83">
        <v>1</v>
      </c>
      <c r="R78" s="84" t="s">
        <v>35</v>
      </c>
      <c r="S78" s="82">
        <v>6</v>
      </c>
      <c r="T78" s="85">
        <f>0.25*PI()*(S78*0.1)^2</f>
        <v>0.28274333882308145</v>
      </c>
      <c r="U78" s="20">
        <f t="shared" ref="U78:U87" si="2">+PI()*S78/10</f>
        <v>1.8849555921538759</v>
      </c>
      <c r="V78" s="81">
        <f>3.23*SQRT($H$7)/($S78/10)</f>
        <v>83.398241388333048</v>
      </c>
      <c r="W78" s="82">
        <v>1</v>
      </c>
      <c r="X78" s="114"/>
      <c r="Z78" s="83">
        <v>1</v>
      </c>
      <c r="AA78" s="84" t="s">
        <v>35</v>
      </c>
      <c r="AB78" s="82">
        <v>6</v>
      </c>
      <c r="AC78" s="85">
        <f>0.25*PI()*(AB78*0.1)^2</f>
        <v>0.28274333882308145</v>
      </c>
      <c r="AD78" s="20">
        <f t="shared" ref="AD78:AD87" si="3">+PI()*AB78/10</f>
        <v>1.8849555921538759</v>
      </c>
      <c r="AE78" s="81">
        <f>3.23*SQRT($H$7)/($S78/10)</f>
        <v>83.398241388333048</v>
      </c>
      <c r="AF78" s="82">
        <v>1</v>
      </c>
      <c r="AG78" s="114"/>
    </row>
    <row r="79" spans="1:33">
      <c r="J79" s="86">
        <v>16</v>
      </c>
      <c r="K79" s="146">
        <v>1.6</v>
      </c>
      <c r="L79" s="33"/>
      <c r="M79" s="86">
        <v>16</v>
      </c>
      <c r="N79" s="147">
        <v>1.6</v>
      </c>
      <c r="O79" s="30"/>
      <c r="Q79" s="27">
        <v>2</v>
      </c>
      <c r="R79" s="31" t="s">
        <v>36</v>
      </c>
      <c r="S79" s="28">
        <v>9</v>
      </c>
      <c r="T79" s="29">
        <f>0.25*PI()*(S79*0.1)^2</f>
        <v>0.63617251235193317</v>
      </c>
      <c r="U79" s="20">
        <f t="shared" si="2"/>
        <v>2.8274333882308138</v>
      </c>
      <c r="V79" s="75">
        <f t="shared" ref="V79:V87" si="4">3.23*SQRT($H$7)/($S79/10)</f>
        <v>55.598827592222023</v>
      </c>
      <c r="W79" s="28">
        <v>2</v>
      </c>
      <c r="X79" s="115"/>
      <c r="Z79" s="27">
        <v>2</v>
      </c>
      <c r="AA79" s="31" t="s">
        <v>36</v>
      </c>
      <c r="AB79" s="28">
        <v>9</v>
      </c>
      <c r="AC79" s="29">
        <f>0.25*PI()*(AB79*0.1)^2</f>
        <v>0.63617251235193317</v>
      </c>
      <c r="AD79" s="20">
        <f t="shared" si="3"/>
        <v>2.8274333882308138</v>
      </c>
      <c r="AE79" s="75">
        <f t="shared" ref="AE79:AE87" si="5">3.23*SQRT($H$7)/($S79/10)</f>
        <v>55.598827592222023</v>
      </c>
      <c r="AF79" s="28">
        <v>2</v>
      </c>
      <c r="AG79" s="115"/>
    </row>
    <row r="80" spans="1:33">
      <c r="J80" s="86">
        <v>17</v>
      </c>
      <c r="K80" s="161">
        <v>1.65</v>
      </c>
      <c r="M80" s="86">
        <v>17</v>
      </c>
      <c r="N80" s="161">
        <v>1.65</v>
      </c>
      <c r="O80" s="30"/>
      <c r="Q80" s="27">
        <v>3</v>
      </c>
      <c r="R80" s="31" t="s">
        <v>37</v>
      </c>
      <c r="S80" s="28">
        <v>10</v>
      </c>
      <c r="T80" s="29">
        <f t="shared" ref="T80:T87" si="6">0.25*PI()*(S80*0.1)^2</f>
        <v>0.78539816339744828</v>
      </c>
      <c r="U80" s="20">
        <f t="shared" si="2"/>
        <v>3.1415926535897931</v>
      </c>
      <c r="V80" s="75">
        <f t="shared" si="4"/>
        <v>50.038944832999825</v>
      </c>
      <c r="W80" s="28">
        <v>3</v>
      </c>
      <c r="X80" s="115"/>
      <c r="Z80" s="27">
        <v>3</v>
      </c>
      <c r="AA80" s="31" t="s">
        <v>37</v>
      </c>
      <c r="AB80" s="28">
        <v>10</v>
      </c>
      <c r="AC80" s="29">
        <f t="shared" ref="AC80:AC87" si="7">0.25*PI()*(AB80*0.1)^2</f>
        <v>0.78539816339744828</v>
      </c>
      <c r="AD80" s="20">
        <f t="shared" si="3"/>
        <v>3.1415926535897931</v>
      </c>
      <c r="AE80" s="75">
        <f t="shared" si="5"/>
        <v>50.038944832999825</v>
      </c>
      <c r="AF80" s="28">
        <v>3</v>
      </c>
      <c r="AG80" s="115"/>
    </row>
    <row r="81" spans="10:33">
      <c r="J81" s="86">
        <v>18</v>
      </c>
      <c r="K81" s="161">
        <v>1.7</v>
      </c>
      <c r="L81" s="33"/>
      <c r="M81" s="86">
        <v>18</v>
      </c>
      <c r="N81" s="161">
        <v>1.7</v>
      </c>
      <c r="O81" s="30"/>
      <c r="Q81" s="27">
        <v>4</v>
      </c>
      <c r="R81" s="31" t="s">
        <v>38</v>
      </c>
      <c r="S81" s="28">
        <v>12</v>
      </c>
      <c r="T81" s="29">
        <f t="shared" si="6"/>
        <v>1.1309733552923258</v>
      </c>
      <c r="U81" s="20">
        <f t="shared" si="2"/>
        <v>3.7699111843077517</v>
      </c>
      <c r="V81" s="75">
        <f t="shared" si="4"/>
        <v>41.699120694166524</v>
      </c>
      <c r="W81" s="28">
        <v>4</v>
      </c>
      <c r="X81" s="115"/>
      <c r="Z81" s="27">
        <v>4</v>
      </c>
      <c r="AA81" s="31" t="s">
        <v>38</v>
      </c>
      <c r="AB81" s="28">
        <v>12</v>
      </c>
      <c r="AC81" s="29">
        <f t="shared" si="7"/>
        <v>1.1309733552923258</v>
      </c>
      <c r="AD81" s="20">
        <f t="shared" si="3"/>
        <v>3.7699111843077517</v>
      </c>
      <c r="AE81" s="75">
        <f t="shared" si="5"/>
        <v>41.699120694166524</v>
      </c>
      <c r="AF81" s="28">
        <v>4</v>
      </c>
      <c r="AG81" s="115"/>
    </row>
    <row r="82" spans="10:33">
      <c r="J82" s="86">
        <v>19</v>
      </c>
      <c r="K82" s="161">
        <v>1.75</v>
      </c>
      <c r="M82" s="86">
        <v>19</v>
      </c>
      <c r="N82" s="161">
        <v>1.75</v>
      </c>
      <c r="O82" s="30"/>
      <c r="Q82" s="27">
        <v>5</v>
      </c>
      <c r="R82" s="31" t="s">
        <v>39</v>
      </c>
      <c r="S82" s="28">
        <v>15</v>
      </c>
      <c r="T82" s="29">
        <f t="shared" si="6"/>
        <v>1.7671458676442586</v>
      </c>
      <c r="U82" s="20">
        <f t="shared" si="2"/>
        <v>4.7123889803846897</v>
      </c>
      <c r="V82" s="75">
        <f t="shared" si="4"/>
        <v>33.359296555333216</v>
      </c>
      <c r="W82" s="28">
        <v>5</v>
      </c>
      <c r="X82" s="115"/>
      <c r="Z82" s="27">
        <v>5</v>
      </c>
      <c r="AA82" s="31" t="s">
        <v>39</v>
      </c>
      <c r="AB82" s="28">
        <v>15</v>
      </c>
      <c r="AC82" s="29">
        <f t="shared" si="7"/>
        <v>1.7671458676442586</v>
      </c>
      <c r="AD82" s="20">
        <f t="shared" si="3"/>
        <v>4.7123889803846897</v>
      </c>
      <c r="AE82" s="75">
        <f t="shared" si="5"/>
        <v>33.359296555333216</v>
      </c>
      <c r="AF82" s="28">
        <v>5</v>
      </c>
      <c r="AG82" s="115"/>
    </row>
    <row r="83" spans="10:33">
      <c r="J83" s="86">
        <v>20</v>
      </c>
      <c r="K83" s="177">
        <v>1.8</v>
      </c>
      <c r="L83" s="174"/>
      <c r="M83" s="86">
        <v>20</v>
      </c>
      <c r="N83" s="177">
        <v>1.8</v>
      </c>
      <c r="O83" s="30"/>
      <c r="Q83" s="27">
        <v>6</v>
      </c>
      <c r="R83" s="31" t="s">
        <v>40</v>
      </c>
      <c r="S83" s="28">
        <v>16</v>
      </c>
      <c r="T83" s="29">
        <f t="shared" si="6"/>
        <v>2.0106192982974678</v>
      </c>
      <c r="U83" s="20">
        <f t="shared" si="2"/>
        <v>5.026548245743669</v>
      </c>
      <c r="V83" s="75">
        <f t="shared" si="4"/>
        <v>31.274340520624889</v>
      </c>
      <c r="W83" s="28">
        <v>6</v>
      </c>
      <c r="X83" s="115"/>
      <c r="Z83" s="27">
        <v>6</v>
      </c>
      <c r="AA83" s="31" t="s">
        <v>40</v>
      </c>
      <c r="AB83" s="28">
        <v>16</v>
      </c>
      <c r="AC83" s="29">
        <f t="shared" si="7"/>
        <v>2.0106192982974678</v>
      </c>
      <c r="AD83" s="20">
        <f t="shared" si="3"/>
        <v>5.026548245743669</v>
      </c>
      <c r="AE83" s="75">
        <f t="shared" si="5"/>
        <v>31.274340520624889</v>
      </c>
      <c r="AF83" s="28">
        <v>6</v>
      </c>
      <c r="AG83" s="115"/>
    </row>
    <row r="84" spans="10:33">
      <c r="J84" s="86">
        <v>21</v>
      </c>
      <c r="K84" s="161">
        <v>1.85</v>
      </c>
      <c r="M84" s="86">
        <v>21</v>
      </c>
      <c r="N84" s="161">
        <v>1.85</v>
      </c>
      <c r="O84" s="30"/>
      <c r="Q84" s="27">
        <v>7</v>
      </c>
      <c r="R84" s="31" t="s">
        <v>41</v>
      </c>
      <c r="S84" s="28">
        <v>20</v>
      </c>
      <c r="T84" s="29">
        <f t="shared" si="6"/>
        <v>3.1415926535897931</v>
      </c>
      <c r="U84" s="20">
        <f t="shared" si="2"/>
        <v>6.2831853071795862</v>
      </c>
      <c r="V84" s="75">
        <f t="shared" si="4"/>
        <v>25.019472416499912</v>
      </c>
      <c r="W84" s="28">
        <v>7</v>
      </c>
      <c r="X84" s="115"/>
      <c r="Z84" s="27">
        <v>7</v>
      </c>
      <c r="AA84" s="31" t="s">
        <v>41</v>
      </c>
      <c r="AB84" s="28">
        <v>20</v>
      </c>
      <c r="AC84" s="29">
        <f t="shared" si="7"/>
        <v>3.1415926535897931</v>
      </c>
      <c r="AD84" s="20">
        <f t="shared" si="3"/>
        <v>6.2831853071795862</v>
      </c>
      <c r="AE84" s="75">
        <f t="shared" si="5"/>
        <v>25.019472416499912</v>
      </c>
      <c r="AF84" s="28">
        <v>7</v>
      </c>
      <c r="AG84" s="115"/>
    </row>
    <row r="85" spans="10:33">
      <c r="J85" s="86">
        <v>22</v>
      </c>
      <c r="K85" s="161">
        <v>1.9</v>
      </c>
      <c r="M85" s="86">
        <v>22</v>
      </c>
      <c r="N85" s="161">
        <v>1.9</v>
      </c>
      <c r="O85" s="30"/>
      <c r="Q85" s="27">
        <v>8</v>
      </c>
      <c r="R85" s="31" t="s">
        <v>42</v>
      </c>
      <c r="S85" s="28">
        <v>25</v>
      </c>
      <c r="T85" s="29">
        <f t="shared" si="6"/>
        <v>4.908738521234052</v>
      </c>
      <c r="U85" s="20">
        <f t="shared" si="2"/>
        <v>7.8539816339744828</v>
      </c>
      <c r="V85" s="75">
        <f t="shared" si="4"/>
        <v>20.015577933199928</v>
      </c>
      <c r="W85" s="28">
        <v>8</v>
      </c>
      <c r="X85" s="115"/>
      <c r="Z85" s="27">
        <v>8</v>
      </c>
      <c r="AA85" s="31" t="s">
        <v>42</v>
      </c>
      <c r="AB85" s="28">
        <v>25</v>
      </c>
      <c r="AC85" s="29">
        <f t="shared" si="7"/>
        <v>4.908738521234052</v>
      </c>
      <c r="AD85" s="20">
        <f t="shared" si="3"/>
        <v>7.8539816339744828</v>
      </c>
      <c r="AE85" s="75">
        <f t="shared" si="5"/>
        <v>20.015577933199928</v>
      </c>
      <c r="AF85" s="28">
        <v>8</v>
      </c>
      <c r="AG85" s="115"/>
    </row>
    <row r="86" spans="10:33">
      <c r="J86" s="86">
        <v>23</v>
      </c>
      <c r="K86" s="161">
        <v>1.95</v>
      </c>
      <c r="M86" s="86">
        <v>23</v>
      </c>
      <c r="N86" s="161">
        <v>1.95</v>
      </c>
      <c r="O86" s="30"/>
      <c r="Q86" s="27">
        <v>9</v>
      </c>
      <c r="R86" s="31" t="s">
        <v>43</v>
      </c>
      <c r="S86" s="28">
        <v>28</v>
      </c>
      <c r="T86" s="29">
        <f t="shared" si="6"/>
        <v>6.1575216010359961</v>
      </c>
      <c r="U86" s="20">
        <f t="shared" si="2"/>
        <v>8.7964594300514207</v>
      </c>
      <c r="V86" s="75">
        <f t="shared" si="4"/>
        <v>17.871051726071368</v>
      </c>
      <c r="W86" s="28">
        <v>9</v>
      </c>
      <c r="X86" s="115"/>
      <c r="Z86" s="27">
        <v>9</v>
      </c>
      <c r="AA86" s="31" t="s">
        <v>43</v>
      </c>
      <c r="AB86" s="28">
        <v>28</v>
      </c>
      <c r="AC86" s="29">
        <f t="shared" si="7"/>
        <v>6.1575216010359961</v>
      </c>
      <c r="AD86" s="20">
        <f t="shared" si="3"/>
        <v>8.7964594300514207</v>
      </c>
      <c r="AE86" s="75">
        <f t="shared" si="5"/>
        <v>17.871051726071368</v>
      </c>
      <c r="AF86" s="28">
        <v>9</v>
      </c>
      <c r="AG86" s="115"/>
    </row>
    <row r="87" spans="10:33">
      <c r="J87" s="86">
        <v>24</v>
      </c>
      <c r="K87" s="161">
        <v>2</v>
      </c>
      <c r="M87" s="86">
        <v>24</v>
      </c>
      <c r="N87" s="161">
        <v>2</v>
      </c>
      <c r="O87" s="30"/>
      <c r="Q87" s="27">
        <v>10</v>
      </c>
      <c r="R87" s="31" t="s">
        <v>44</v>
      </c>
      <c r="S87" s="28">
        <v>32</v>
      </c>
      <c r="T87" s="29">
        <f t="shared" si="6"/>
        <v>8.0424771931898711</v>
      </c>
      <c r="U87" s="20">
        <f t="shared" si="2"/>
        <v>10.053096491487338</v>
      </c>
      <c r="V87" s="75">
        <f t="shared" si="4"/>
        <v>15.637170260312445</v>
      </c>
      <c r="W87" s="28">
        <v>10</v>
      </c>
      <c r="X87" s="115"/>
      <c r="Z87" s="27">
        <v>10</v>
      </c>
      <c r="AA87" s="31" t="s">
        <v>44</v>
      </c>
      <c r="AB87" s="28">
        <v>32</v>
      </c>
      <c r="AC87" s="29">
        <f t="shared" si="7"/>
        <v>8.0424771931898711</v>
      </c>
      <c r="AD87" s="20">
        <f t="shared" si="3"/>
        <v>10.053096491487338</v>
      </c>
      <c r="AE87" s="75">
        <f t="shared" si="5"/>
        <v>15.637170260312445</v>
      </c>
      <c r="AF87" s="28">
        <v>10</v>
      </c>
      <c r="AG87" s="115"/>
    </row>
    <row r="88" spans="10:33">
      <c r="J88" s="86">
        <v>25</v>
      </c>
      <c r="K88" s="161">
        <v>2.0499999999999998</v>
      </c>
      <c r="M88" s="86">
        <v>25</v>
      </c>
      <c r="N88" s="161">
        <v>2.0499999999999998</v>
      </c>
      <c r="O88" s="30"/>
      <c r="Q88" s="32"/>
      <c r="R88" s="33"/>
      <c r="S88" s="33"/>
      <c r="T88" s="33"/>
      <c r="U88" s="20"/>
      <c r="V88" s="29"/>
      <c r="W88" s="28">
        <v>11</v>
      </c>
      <c r="X88" s="115"/>
      <c r="Z88" s="32"/>
      <c r="AA88" s="33"/>
      <c r="AB88" s="33"/>
      <c r="AC88" s="33"/>
      <c r="AD88" s="20"/>
      <c r="AE88" s="29"/>
      <c r="AF88" s="28">
        <v>11</v>
      </c>
      <c r="AG88" s="115"/>
    </row>
    <row r="89" spans="10:33">
      <c r="J89" s="86">
        <v>26</v>
      </c>
      <c r="K89" s="161">
        <v>2.1</v>
      </c>
      <c r="M89" s="86">
        <v>26</v>
      </c>
      <c r="N89" s="161">
        <v>2.1</v>
      </c>
      <c r="O89" s="30"/>
      <c r="Q89" s="32"/>
      <c r="R89" s="33"/>
      <c r="S89" s="33"/>
      <c r="T89" s="33"/>
      <c r="U89" s="73"/>
      <c r="V89" s="34"/>
      <c r="W89" s="28">
        <v>12</v>
      </c>
      <c r="X89" s="115"/>
      <c r="Z89" s="32"/>
      <c r="AA89" s="33"/>
      <c r="AB89" s="33"/>
      <c r="AC89" s="33"/>
      <c r="AD89" s="73"/>
      <c r="AE89" s="34"/>
      <c r="AF89" s="28">
        <v>12</v>
      </c>
      <c r="AG89" s="115"/>
    </row>
    <row r="90" spans="10:33">
      <c r="J90" s="86">
        <v>27</v>
      </c>
      <c r="K90" s="161">
        <v>2.15</v>
      </c>
      <c r="M90" s="86">
        <v>27</v>
      </c>
      <c r="N90" s="161">
        <v>2.15</v>
      </c>
      <c r="O90" s="30"/>
      <c r="Q90" s="32"/>
      <c r="R90" s="36">
        <v>5</v>
      </c>
      <c r="S90" s="37">
        <v>1</v>
      </c>
      <c r="T90" s="76">
        <v>1</v>
      </c>
      <c r="U90" s="77">
        <f>+VLOOKUP(T90,Q78:U87,5)</f>
        <v>1.8849555921538759</v>
      </c>
      <c r="V90" s="77">
        <f>+VLOOKUP(T92,Q78:V87,6)</f>
        <v>20.015577933199928</v>
      </c>
      <c r="W90" s="35">
        <v>13</v>
      </c>
      <c r="X90" s="116"/>
      <c r="Z90" s="32"/>
      <c r="AA90" s="36">
        <v>5</v>
      </c>
      <c r="AB90" s="37">
        <v>1</v>
      </c>
      <c r="AC90" s="76">
        <v>1</v>
      </c>
      <c r="AD90" s="77">
        <f>+VLOOKUP(AC90,Z78:AD87,5)</f>
        <v>1.8849555921538759</v>
      </c>
      <c r="AE90" s="77">
        <f>+VLOOKUP(AA92,Z78:AE87,6)</f>
        <v>20.015577933199928</v>
      </c>
      <c r="AF90" s="35">
        <v>13</v>
      </c>
      <c r="AG90" s="116"/>
    </row>
    <row r="91" spans="10:33">
      <c r="J91" s="86">
        <v>28</v>
      </c>
      <c r="K91" s="161">
        <v>2.2000000000000002</v>
      </c>
      <c r="M91" s="86">
        <v>28</v>
      </c>
      <c r="N91" s="161">
        <v>2.2000000000000002</v>
      </c>
      <c r="O91" s="30"/>
      <c r="Q91" s="32"/>
      <c r="R91" s="28"/>
      <c r="S91" s="35"/>
      <c r="T91" s="34"/>
      <c r="U91" s="29"/>
      <c r="V91" s="29"/>
      <c r="W91" s="28">
        <v>14</v>
      </c>
      <c r="X91" s="115"/>
      <c r="Z91" s="32"/>
      <c r="AA91" s="28"/>
      <c r="AB91" s="35"/>
      <c r="AC91" s="34"/>
      <c r="AD91" s="29"/>
      <c r="AE91" s="29"/>
      <c r="AF91" s="28">
        <v>14</v>
      </c>
      <c r="AG91" s="115"/>
    </row>
    <row r="92" spans="10:33">
      <c r="J92" s="86">
        <v>29</v>
      </c>
      <c r="K92" s="161">
        <v>2.25</v>
      </c>
      <c r="M92" s="86">
        <v>29</v>
      </c>
      <c r="N92" s="161">
        <v>2.25</v>
      </c>
      <c r="O92" s="30"/>
      <c r="Q92" s="32"/>
      <c r="R92" s="79">
        <v>2</v>
      </c>
      <c r="S92" s="78">
        <f>VLOOKUP(R92,Q78:T87,4)</f>
        <v>0.63617251235193317</v>
      </c>
      <c r="T92" s="38">
        <v>8</v>
      </c>
      <c r="U92" s="80">
        <f>+VLOOKUP(T92,Q78:T87,4)</f>
        <v>4.908738521234052</v>
      </c>
      <c r="W92" s="28">
        <v>15</v>
      </c>
      <c r="X92" s="115"/>
      <c r="Z92" s="32"/>
      <c r="AA92" s="79">
        <v>8</v>
      </c>
      <c r="AB92" s="78">
        <f>VLOOKUP(AA92,Z78:AC87,4)</f>
        <v>4.908738521234052</v>
      </c>
      <c r="AC92" s="38">
        <v>7</v>
      </c>
      <c r="AD92" s="80">
        <f>+VLOOKUP(AC92,Z78:AC87,4)</f>
        <v>3.1415926535897931</v>
      </c>
      <c r="AF92" s="28">
        <v>15</v>
      </c>
      <c r="AG92" s="115"/>
    </row>
    <row r="93" spans="10:33">
      <c r="J93" s="86">
        <v>30</v>
      </c>
      <c r="K93" s="161">
        <v>2.2999999999999998</v>
      </c>
      <c r="M93" s="86">
        <v>30</v>
      </c>
      <c r="N93" s="161">
        <v>2.2999999999999998</v>
      </c>
      <c r="O93" s="30"/>
      <c r="Q93" s="32"/>
      <c r="R93" s="29"/>
      <c r="S93" s="40"/>
      <c r="T93" s="29"/>
      <c r="U93" s="29"/>
      <c r="V93" s="29"/>
      <c r="W93" s="28">
        <v>16</v>
      </c>
      <c r="X93" s="115"/>
      <c r="Z93" s="32"/>
      <c r="AA93" s="29"/>
      <c r="AB93" s="40"/>
      <c r="AC93" s="29"/>
      <c r="AD93" s="29"/>
      <c r="AE93" s="29"/>
      <c r="AF93" s="28">
        <v>16</v>
      </c>
      <c r="AG93" s="115"/>
    </row>
    <row r="94" spans="10:33">
      <c r="J94" s="86">
        <v>31</v>
      </c>
      <c r="K94" s="161">
        <v>2.35</v>
      </c>
      <c r="M94" s="86">
        <v>31</v>
      </c>
      <c r="N94" s="161">
        <v>2.35</v>
      </c>
      <c r="O94" s="30"/>
      <c r="Q94" s="32"/>
      <c r="R94" s="37">
        <v>1</v>
      </c>
      <c r="S94" s="37">
        <f>VLOOKUP(R94,Q78:S87,3)</f>
        <v>6</v>
      </c>
      <c r="T94" s="38"/>
      <c r="U94" s="29"/>
      <c r="V94" s="29"/>
      <c r="W94" s="28">
        <v>17</v>
      </c>
      <c r="X94" s="115"/>
      <c r="Z94" s="32"/>
      <c r="AA94" s="35">
        <v>1</v>
      </c>
      <c r="AB94" s="35">
        <f>VLOOKUP(AA94,Z78:AB87,3)</f>
        <v>6</v>
      </c>
      <c r="AC94" s="94"/>
      <c r="AD94" s="94"/>
      <c r="AE94" s="29"/>
      <c r="AF94" s="28">
        <v>17</v>
      </c>
      <c r="AG94" s="115"/>
    </row>
    <row r="95" spans="10:33">
      <c r="J95" s="86">
        <v>32</v>
      </c>
      <c r="K95" s="161">
        <v>2.4</v>
      </c>
      <c r="M95" s="86">
        <v>32</v>
      </c>
      <c r="N95" s="161">
        <v>2.4</v>
      </c>
      <c r="O95" s="30"/>
      <c r="Q95" s="32"/>
      <c r="R95" s="29"/>
      <c r="S95" s="29"/>
      <c r="T95" s="29"/>
      <c r="U95" s="29"/>
      <c r="V95" s="29"/>
      <c r="W95" s="28">
        <v>18</v>
      </c>
      <c r="X95" s="115"/>
      <c r="Z95" s="32"/>
      <c r="AA95" s="29"/>
      <c r="AB95" s="29"/>
      <c r="AC95" s="29"/>
      <c r="AD95" s="29"/>
      <c r="AE95" s="77"/>
      <c r="AF95" s="28">
        <v>18</v>
      </c>
      <c r="AG95" s="115"/>
    </row>
    <row r="96" spans="10:33">
      <c r="J96" s="86">
        <v>33</v>
      </c>
      <c r="K96" s="161">
        <v>2.4500000000000002</v>
      </c>
      <c r="M96" s="86">
        <v>33</v>
      </c>
      <c r="N96" s="161">
        <v>2.4500000000000002</v>
      </c>
      <c r="O96" s="30"/>
      <c r="Q96" s="32"/>
      <c r="R96" s="38"/>
      <c r="S96" s="38"/>
      <c r="T96" s="91">
        <v>7</v>
      </c>
      <c r="U96" s="90">
        <f>+VLOOKUP(T96,Q78:U87,5)</f>
        <v>6.2831853071795862</v>
      </c>
      <c r="V96" s="90">
        <f>+VLOOKUP(T96,Q78:V87,6)</f>
        <v>25.019472416499912</v>
      </c>
      <c r="W96" s="28">
        <v>19</v>
      </c>
      <c r="X96" s="115"/>
      <c r="Z96" s="32"/>
      <c r="AA96" s="94"/>
      <c r="AB96" s="94"/>
      <c r="AC96" s="94"/>
      <c r="AD96" s="95"/>
      <c r="AE96" s="95"/>
      <c r="AF96" s="28">
        <v>19</v>
      </c>
      <c r="AG96" s="115"/>
    </row>
    <row r="97" spans="10:33">
      <c r="J97" s="86">
        <v>34</v>
      </c>
      <c r="K97" s="161">
        <v>2.5</v>
      </c>
      <c r="M97" s="86">
        <v>34</v>
      </c>
      <c r="N97" s="161">
        <v>2.5</v>
      </c>
      <c r="O97" s="30"/>
      <c r="Q97" s="32"/>
      <c r="R97" s="29"/>
      <c r="S97" s="29"/>
      <c r="T97" s="29"/>
      <c r="U97" s="29"/>
      <c r="V97" s="29"/>
      <c r="W97" s="28">
        <v>20</v>
      </c>
      <c r="X97" s="115"/>
      <c r="Z97" s="32"/>
      <c r="AA97" s="94"/>
      <c r="AB97" s="94"/>
      <c r="AC97" s="94"/>
      <c r="AD97" s="94"/>
      <c r="AE97" s="94"/>
      <c r="AF97" s="28">
        <v>20</v>
      </c>
      <c r="AG97" s="115"/>
    </row>
    <row r="98" spans="10:33">
      <c r="J98" s="86">
        <v>35</v>
      </c>
      <c r="K98" s="161">
        <v>2.5499999999999998</v>
      </c>
      <c r="M98" s="86">
        <v>35</v>
      </c>
      <c r="N98" s="161">
        <v>2.5499999999999998</v>
      </c>
      <c r="O98" s="30"/>
      <c r="Q98" s="32"/>
      <c r="R98" s="29"/>
      <c r="S98" s="40"/>
      <c r="T98" s="38"/>
      <c r="U98" s="80"/>
      <c r="V98" s="29"/>
      <c r="X98" s="30"/>
      <c r="Z98" s="32"/>
      <c r="AA98" s="94"/>
      <c r="AB98" s="96"/>
      <c r="AC98" s="94"/>
      <c r="AD98" s="93"/>
      <c r="AE98" s="94"/>
      <c r="AG98" s="30"/>
    </row>
    <row r="99" spans="10:33">
      <c r="J99" s="86">
        <v>36</v>
      </c>
      <c r="K99" s="161">
        <v>2.6</v>
      </c>
      <c r="M99" s="86">
        <v>36</v>
      </c>
      <c r="N99" s="161">
        <v>2.6</v>
      </c>
      <c r="O99" s="30"/>
      <c r="Q99" s="41"/>
      <c r="R99" s="42"/>
      <c r="S99" s="42"/>
      <c r="T99" s="42"/>
      <c r="U99" s="42"/>
      <c r="V99" s="42"/>
      <c r="W99" s="118">
        <v>16</v>
      </c>
      <c r="X99" s="117"/>
      <c r="Z99" s="41"/>
      <c r="AA99" s="42"/>
      <c r="AB99" s="42"/>
      <c r="AC99" s="42"/>
      <c r="AD99" s="42"/>
      <c r="AE99" s="42"/>
      <c r="AF99" s="118">
        <v>16</v>
      </c>
      <c r="AG99" s="117"/>
    </row>
    <row r="100" spans="10:33">
      <c r="J100" s="86">
        <v>37</v>
      </c>
      <c r="K100" s="161">
        <v>2.65</v>
      </c>
      <c r="M100" s="86">
        <v>37</v>
      </c>
      <c r="N100" s="161">
        <v>2.65</v>
      </c>
      <c r="O100" s="30"/>
    </row>
    <row r="101" spans="10:33">
      <c r="J101" s="86">
        <v>38</v>
      </c>
      <c r="K101" s="161">
        <v>2.7</v>
      </c>
      <c r="M101" s="86">
        <v>38</v>
      </c>
      <c r="N101" s="161">
        <v>2.7</v>
      </c>
      <c r="O101" s="30"/>
    </row>
    <row r="102" spans="10:33">
      <c r="J102" s="86">
        <v>39</v>
      </c>
      <c r="K102" s="161">
        <v>2.75</v>
      </c>
      <c r="M102" s="86">
        <v>39</v>
      </c>
      <c r="N102" s="161">
        <v>2.75</v>
      </c>
      <c r="O102" s="30"/>
    </row>
    <row r="103" spans="10:33">
      <c r="J103" s="86">
        <v>40</v>
      </c>
      <c r="K103" s="161">
        <v>2.8</v>
      </c>
      <c r="M103" s="86">
        <v>40</v>
      </c>
      <c r="N103" s="161">
        <v>2.8</v>
      </c>
      <c r="O103" s="30"/>
    </row>
    <row r="104" spans="10:33">
      <c r="J104" s="86">
        <v>41</v>
      </c>
      <c r="K104" s="161">
        <v>2.85</v>
      </c>
      <c r="M104" s="86">
        <v>41</v>
      </c>
      <c r="N104" s="161">
        <v>2.85</v>
      </c>
      <c r="O104" s="30"/>
    </row>
    <row r="105" spans="10:33">
      <c r="J105" s="86">
        <v>42</v>
      </c>
      <c r="K105" s="161">
        <v>2.9</v>
      </c>
      <c r="M105" s="86">
        <v>42</v>
      </c>
      <c r="N105" s="161">
        <v>2.9</v>
      </c>
      <c r="O105" s="30"/>
    </row>
    <row r="106" spans="10:33">
      <c r="J106" s="86">
        <v>43</v>
      </c>
      <c r="K106" s="161">
        <v>2.95</v>
      </c>
      <c r="M106" s="86">
        <v>43</v>
      </c>
      <c r="N106" s="161">
        <v>2.95</v>
      </c>
      <c r="O106" s="30"/>
    </row>
    <row r="107" spans="10:33">
      <c r="J107" s="86">
        <v>44</v>
      </c>
      <c r="K107" s="161">
        <v>3</v>
      </c>
      <c r="M107" s="86">
        <v>44</v>
      </c>
      <c r="N107" s="161">
        <v>3</v>
      </c>
      <c r="O107" s="30"/>
    </row>
    <row r="108" spans="10:33">
      <c r="J108" s="86">
        <v>45</v>
      </c>
      <c r="K108" s="161">
        <v>3.05</v>
      </c>
      <c r="M108" s="86">
        <v>45</v>
      </c>
      <c r="N108" s="161">
        <v>3.05</v>
      </c>
      <c r="O108" s="30"/>
    </row>
    <row r="109" spans="10:33">
      <c r="J109" s="86">
        <v>46</v>
      </c>
      <c r="K109" s="161">
        <v>3.1</v>
      </c>
      <c r="M109" s="86">
        <v>46</v>
      </c>
      <c r="N109" s="161">
        <v>3.1</v>
      </c>
      <c r="O109" s="30"/>
    </row>
    <row r="110" spans="10:33">
      <c r="J110" s="86">
        <v>47</v>
      </c>
      <c r="K110" s="161">
        <v>3.15</v>
      </c>
      <c r="M110" s="86">
        <v>47</v>
      </c>
      <c r="N110" s="161">
        <v>3.15</v>
      </c>
      <c r="O110" s="30"/>
    </row>
    <row r="111" spans="10:33">
      <c r="J111" s="86">
        <v>48</v>
      </c>
      <c r="K111" s="161">
        <v>3.2</v>
      </c>
      <c r="M111" s="86">
        <v>48</v>
      </c>
      <c r="N111" s="161">
        <v>3.2</v>
      </c>
      <c r="O111" s="30"/>
    </row>
    <row r="112" spans="10:33">
      <c r="J112" s="86">
        <v>49</v>
      </c>
      <c r="K112" s="161">
        <v>3.25</v>
      </c>
      <c r="M112" s="86">
        <v>49</v>
      </c>
      <c r="N112" s="161">
        <v>3.25</v>
      </c>
      <c r="O112" s="30"/>
    </row>
    <row r="113" spans="10:15">
      <c r="J113" s="86">
        <v>50</v>
      </c>
      <c r="K113" s="161">
        <v>3.3</v>
      </c>
      <c r="M113" s="86">
        <v>50</v>
      </c>
      <c r="N113" s="161">
        <v>3.3</v>
      </c>
      <c r="O113" s="30"/>
    </row>
    <row r="114" spans="10:15">
      <c r="J114" s="86">
        <v>51</v>
      </c>
      <c r="K114" s="161">
        <v>3.35</v>
      </c>
      <c r="M114" s="86">
        <v>51</v>
      </c>
      <c r="N114" s="161">
        <v>3.35</v>
      </c>
      <c r="O114" s="30"/>
    </row>
    <row r="115" spans="10:15">
      <c r="J115" s="86">
        <v>52</v>
      </c>
      <c r="K115" s="161">
        <v>3.4</v>
      </c>
      <c r="M115" s="86">
        <v>52</v>
      </c>
      <c r="N115" s="161">
        <v>3.4</v>
      </c>
      <c r="O115" s="30"/>
    </row>
    <row r="116" spans="10:15">
      <c r="J116" s="41">
        <v>53</v>
      </c>
      <c r="K116" s="175">
        <v>3.45</v>
      </c>
      <c r="L116" s="42"/>
      <c r="M116" s="41">
        <v>53</v>
      </c>
      <c r="N116" s="176">
        <v>3.45</v>
      </c>
      <c r="O116" s="43"/>
    </row>
    <row r="119" spans="10:15">
      <c r="J119" s="158">
        <v>48</v>
      </c>
      <c r="K119" s="159">
        <f>+VLOOKUP(J119,J64:K116,2)</f>
        <v>3.2</v>
      </c>
      <c r="L119" s="160"/>
      <c r="M119" s="159">
        <v>26</v>
      </c>
      <c r="N119" s="159">
        <f>+VLOOKUP(M119,M64:N116,2)</f>
        <v>2.1</v>
      </c>
      <c r="O119" s="160"/>
    </row>
  </sheetData>
  <sheetProtection password="C649" sheet="1" objects="1" scenarios="1"/>
  <mergeCells count="1">
    <mergeCell ref="A1:I1"/>
  </mergeCells>
  <pageMargins left="1.2204724409448819" right="0.74803149606299213" top="0.55118110236220474" bottom="0.74803149606299213" header="0.31496062992125984" footer="0.31496062992125984"/>
  <pageSetup paperSize="9" scale="6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8:L58"/>
  <sheetViews>
    <sheetView showGridLines="0" topLeftCell="A10" workbookViewId="0">
      <selection activeCell="D7" sqref="D7"/>
    </sheetView>
  </sheetViews>
  <sheetFormatPr defaultRowHeight="14.25"/>
  <sheetData>
    <row r="8" spans="2:12">
      <c r="B8" s="199" t="s">
        <v>148</v>
      </c>
      <c r="C8" s="199"/>
    </row>
    <row r="10" spans="2:12">
      <c r="G10" t="s">
        <v>147</v>
      </c>
      <c r="K10" s="199" t="s">
        <v>146</v>
      </c>
      <c r="L10" s="199"/>
    </row>
    <row r="20" spans="2:12">
      <c r="B20" s="199" t="s">
        <v>143</v>
      </c>
      <c r="C20" s="199"/>
      <c r="G20" t="s">
        <v>144</v>
      </c>
    </row>
    <row r="25" spans="2:12">
      <c r="K25" s="199" t="s">
        <v>145</v>
      </c>
      <c r="L25" s="199"/>
    </row>
    <row r="32" spans="2:12">
      <c r="B32" s="199" t="s">
        <v>142</v>
      </c>
      <c r="C32" s="199"/>
    </row>
    <row r="33" spans="4:7">
      <c r="G33" t="s">
        <v>141</v>
      </c>
    </row>
    <row r="48" spans="4:7">
      <c r="D48" s="199" t="s">
        <v>140</v>
      </c>
      <c r="E48" s="199"/>
    </row>
    <row r="50" spans="5:12">
      <c r="L50" t="s">
        <v>139</v>
      </c>
    </row>
    <row r="53" spans="5:12" ht="18">
      <c r="E53" s="154" t="s">
        <v>149</v>
      </c>
      <c r="F53" s="154"/>
      <c r="G53" s="154"/>
    </row>
    <row r="54" spans="5:12" ht="18">
      <c r="E54" s="154"/>
      <c r="F54" s="154"/>
      <c r="G54" s="154"/>
    </row>
    <row r="55" spans="5:12" ht="18">
      <c r="E55" s="154" t="s">
        <v>150</v>
      </c>
      <c r="F55" s="154"/>
      <c r="G55" s="154"/>
    </row>
    <row r="56" spans="5:12" ht="18">
      <c r="E56" s="154"/>
      <c r="F56" s="154"/>
      <c r="G56" s="154"/>
    </row>
    <row r="57" spans="5:12" ht="18">
      <c r="E57" s="154" t="s">
        <v>151</v>
      </c>
      <c r="F57" s="154"/>
      <c r="G57" s="154"/>
    </row>
    <row r="58" spans="5:12" ht="18">
      <c r="E58" s="154"/>
      <c r="F58" s="154"/>
      <c r="G58" s="154"/>
    </row>
  </sheetData>
  <sheetProtection password="C649" sheet="1" objects="1" scenarios="1"/>
  <mergeCells count="6">
    <mergeCell ref="D48:E48"/>
    <mergeCell ref="B32:C32"/>
    <mergeCell ref="B20:C20"/>
    <mergeCell ref="K25:L25"/>
    <mergeCell ref="B8:C8"/>
    <mergeCell ref="K10:L10"/>
  </mergeCells>
  <pageMargins left="0.70866141732283472" right="0.70866141732283472" top="1.3385826771653544" bottom="0.74803149606299213" header="0.31496062992125984" footer="0.31496062992125984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Test Design</vt:lpstr>
      <vt:lpstr>Design Footting</vt:lpstr>
      <vt:lpstr>การจัดกลุ่มเสาเข็ม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TUY</dc:creator>
  <cp:lastModifiedBy>TUY</cp:lastModifiedBy>
  <cp:lastPrinted>2010-09-21T04:12:21Z</cp:lastPrinted>
  <dcterms:created xsi:type="dcterms:W3CDTF">2010-07-17T06:00:45Z</dcterms:created>
  <dcterms:modified xsi:type="dcterms:W3CDTF">2010-09-21T04:28:36Z</dcterms:modified>
</cp:coreProperties>
</file>